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Sheet1!$C$1:$C$4951</definedName>
    <definedName hidden="1" localSheetId="0" name="Z_4EAFBBCD_45B0_40B1_9C9D_DCF815ABFB17_.wvu.FilterData">Sheet1!$D$1:$D$4951</definedName>
  </definedNames>
  <calcPr/>
  <customWorkbookViews>
    <customWorkbookView activeSheetId="0" maximized="1" tabRatio="600" windowHeight="0" windowWidth="0" guid="{4EAFBBCD-45B0-40B1-9C9D-DCF815ABFB17}" name="过滤器1"/>
  </customWorkbookViews>
</workbook>
</file>

<file path=xl/sharedStrings.xml><?xml version="1.0" encoding="utf-8"?>
<sst xmlns="http://schemas.openxmlformats.org/spreadsheetml/2006/main" count="14857" uniqueCount="8096">
  <si>
    <t>date</t>
  </si>
  <si>
    <t>title_translate</t>
  </si>
  <si>
    <t>title</t>
  </si>
  <si>
    <t>searchCount</t>
  </si>
  <si>
    <t>rank</t>
  </si>
  <si>
    <t>words_list</t>
  </si>
  <si>
    <t xml:space="preserve">Coron-Related ( 1 yes, 0 not ) </t>
  </si>
  <si>
    <t>2020/01/01</t>
  </si>
  <si>
    <t>小米商标侵权判赔1200万</t>
  </si>
  <si>
    <t>['小米', '商标', '侵权', '判赔', '1200', '万']</t>
  </si>
  <si>
    <t>荷兰没有改名</t>
  </si>
  <si>
    <t>['荷兰', '没有', '改名']</t>
  </si>
  <si>
    <t>易烊千玺立麦狙击</t>
  </si>
  <si>
    <t>['易', '烊', '千玺', '立麦', '狙击']</t>
  </si>
  <si>
    <t>杨幂腾格尔合唱野狼disco</t>
  </si>
  <si>
    <t>['杨幂', '腾格尔', '合唱', '野狼', 'disco']</t>
  </si>
  <si>
    <t>张艺兴国外唱K</t>
  </si>
  <si>
    <t>['张艺', '兴国', '外唱', 'K']</t>
  </si>
  <si>
    <t>澳洲火灾市民下海逃生</t>
  </si>
  <si>
    <t>['澳洲', '火灾', '市民', '下海', '逃生']</t>
  </si>
  <si>
    <t>邓家佳哭戏演技炸裂</t>
  </si>
  <si>
    <t>['邓家佳', '哭', '戏', '演技', '炸裂']</t>
  </si>
  <si>
    <t>杨紫 高空秋千</t>
  </si>
  <si>
    <t>['杨紫', ' ', '高空', '秋千']</t>
  </si>
  <si>
    <t>迪丽热巴高伟光2020限定祝福</t>
  </si>
  <si>
    <t>['迪丽', '热巴', '高伟光', '2020', '限定', '祝福']</t>
  </si>
  <si>
    <t>操场埋尸案原校长高喊我错了</t>
  </si>
  <si>
    <t>['操场', '埋', '尸案', '原', '校长', '高喊', '我错', '了']</t>
  </si>
  <si>
    <t>薛之谦好忙</t>
  </si>
  <si>
    <t>['薛之谦好', '忙']</t>
  </si>
  <si>
    <t>薛之谦灌篮高手提词器</t>
  </si>
  <si>
    <t>['薛之谦', '灌篮', '高手', '灌篮高手', '提词', '器']</t>
  </si>
  <si>
    <t>王力宏谭维维对唱</t>
  </si>
  <si>
    <t>['王力宏', '谭', '维维', '对唱']</t>
  </si>
  <si>
    <t>鹿晗吃播</t>
  </si>
  <si>
    <t>['鹿晗', '吃播']</t>
  </si>
  <si>
    <t>蔡徐坤现场</t>
  </si>
  <si>
    <t>['蔡', '徐坤', '现场']</t>
  </si>
  <si>
    <t>2020请对我好一点</t>
  </si>
  <si>
    <t>['2020', '请', '对', '我', '好', '一点']</t>
  </si>
  <si>
    <t>叫我火炫风</t>
  </si>
  <si>
    <t>['叫', '我', '火炫风']</t>
  </si>
  <si>
    <t>Bella发文告别高以翔</t>
  </si>
  <si>
    <t>['Bella', '发文', '告别', '高以翔']</t>
  </si>
  <si>
    <t>王一博水中唱跳</t>
  </si>
  <si>
    <t>['王一博', '水中', '唱', '跳']</t>
  </si>
  <si>
    <t>王源被舞台烟花溅到眼睛</t>
  </si>
  <si>
    <t>['王源', '被', '舞台', '烟花', '溅', '到', '眼睛']</t>
  </si>
  <si>
    <t>王一博专业动作请勿模仿</t>
  </si>
  <si>
    <t>['王一博', '专业', '动作', '请勿', '模仿']</t>
  </si>
  <si>
    <t>韩庚卢靖姗婚礼视频曝光</t>
  </si>
  <si>
    <t>['韩庚', '卢靖姗', '婚礼', '视频', '曝光']</t>
  </si>
  <si>
    <t>易烊千玺胡先煦李兰迪期末合照</t>
  </si>
  <si>
    <t>['易', '烊', '千玺', '胡先煦', '李兰迪', '期末', '合照']</t>
  </si>
  <si>
    <t>肖战 余年MV</t>
  </si>
  <si>
    <t>['肖战', ' ', '余年', 'MV']</t>
  </si>
  <si>
    <t>重庆加州花园大火</t>
  </si>
  <si>
    <t>['重庆', '加州', '花园', '大火']</t>
  </si>
  <si>
    <t>跨年文案</t>
  </si>
  <si>
    <t>['跨年', '文案']</t>
  </si>
  <si>
    <t>王嘉尔林俊杰合唱曹操</t>
  </si>
  <si>
    <t>['王嘉尔', '俊杰', '林俊杰', '合唱', '曹操']</t>
  </si>
  <si>
    <t>普京早年曾与海豚游泳</t>
  </si>
  <si>
    <t>['普京', '早年', '曾', '与', '海豚', '游泳']</t>
  </si>
  <si>
    <t>肖战 重庆</t>
  </si>
  <si>
    <t>['肖战', ' ', '重庆']</t>
  </si>
  <si>
    <t>谢娜现场回应主持争议</t>
  </si>
  <si>
    <t>['谢娜', '现场', '回应', '主持', '争议']</t>
  </si>
  <si>
    <t>王思聪三亚跨年</t>
  </si>
  <si>
    <t>['王思聪', '三亚', '跨年']</t>
  </si>
  <si>
    <t>李现 你紧张吗</t>
  </si>
  <si>
    <t>['李现', ' ', '你', '紧张', '吗']</t>
  </si>
  <si>
    <t>_x0008_TFBOYS跨年合体</t>
  </si>
  <si>
    <t>['\x08', 'TFBOYS', '跨年', '合体']</t>
  </si>
  <si>
    <t>马航回应MH319起飞后返航</t>
  </si>
  <si>
    <t>['马航', '回应', 'MH319', '起飞', '后', '返航']</t>
  </si>
  <si>
    <t>他的跨年祝福让人泪奔</t>
  </si>
  <si>
    <t>['他', '的', '跨', '年', '祝福', '让', '人泪', '奔']</t>
  </si>
  <si>
    <t>郑州闲置8年电梯开始运转</t>
  </si>
  <si>
    <t>['郑州', '闲置', '8', '年', '电梯', '开始', '运转', '开始运转']</t>
  </si>
  <si>
    <t>邓紫棋陈伟霆 兄妹相认现场</t>
  </si>
  <si>
    <t>['邓紫棋', '陈伟霆', ' ', '兄妹', '相认', '现场']</t>
  </si>
  <si>
    <t>魔术主场致敬卡特</t>
  </si>
  <si>
    <t>['魔术', '主场', '致敬', '卡特']</t>
  </si>
  <si>
    <t>杜海涛求合影惨遭拒</t>
  </si>
  <si>
    <t>['杜', '海涛', '求', '合影', '惨遭', '拒']</t>
  </si>
  <si>
    <t>邓紫棋现场超稳</t>
  </si>
  <si>
    <t>['邓紫棋', '现场', '超稳']</t>
  </si>
  <si>
    <t>云南检方通报丽江反杀案</t>
  </si>
  <si>
    <t>['云南', '检方', '通报', '丽江', '反杀案']</t>
  </si>
  <si>
    <t>四川自贡4.3级地震</t>
  </si>
  <si>
    <t>['四川', '自贡', '4.3', '级', '地震']</t>
  </si>
  <si>
    <t>武汉华南海鲜市场休市整治</t>
  </si>
  <si>
    <t>['武汉', '华南', '海鲜', '市场', '休市', '整治']</t>
  </si>
  <si>
    <t>郑爽想尝试反面角色</t>
  </si>
  <si>
    <t>['郑爽', '想', '尝试', '反面', '面角', '角色', '反面角色']</t>
  </si>
  <si>
    <t>全国487个省界收费站全部取消</t>
  </si>
  <si>
    <t>['全国', '487', '个', '省界', '收费', '收费站', '全部', '取消']</t>
  </si>
  <si>
    <t>2020年第一缕阳光</t>
  </si>
  <si>
    <t>['2020', '年', '第一', '一缕', '第一缕', '阳光']</t>
  </si>
  <si>
    <t>跨年</t>
  </si>
  <si>
    <t>['跨年']</t>
  </si>
  <si>
    <t>李宇春表演途中擦掉口红</t>
  </si>
  <si>
    <t>['李宇春', '表演', '途中', '擦掉', '口红']</t>
  </si>
  <si>
    <t>首批20后来了</t>
  </si>
  <si>
    <t>['首批', '20', '后来', '了']</t>
  </si>
  <si>
    <t>贺军翔</t>
  </si>
  <si>
    <t>['贺军翔']</t>
  </si>
  <si>
    <t>2020/01/02</t>
  </si>
  <si>
    <t>金希澈MOMO承认恋情</t>
  </si>
  <si>
    <t>['金希澈', 'MOMO', '承认', '恋情']</t>
  </si>
  <si>
    <t>刘宇宁我行即我道</t>
  </si>
  <si>
    <t>['刘宇宁', '我行', '即', '我', '道']</t>
  </si>
  <si>
    <t>章莹颖家人民事诉讼被驳回</t>
  </si>
  <si>
    <t>['章莹颖', '家人', '民事', '诉讼', '民事诉讼', '被', '驳回']</t>
  </si>
  <si>
    <t>快本为何炅改播出时间</t>
  </si>
  <si>
    <t>['快本', '为何', '炅', '改', '播出', '时间']</t>
  </si>
  <si>
    <t>吴亦凡 脖子</t>
  </si>
  <si>
    <t>['吴亦凡', ' ', '脖子']</t>
  </si>
  <si>
    <t>设计师肖战的职业病</t>
  </si>
  <si>
    <t>['设计', '设计师', '肖战', '的', '职业', '职业病']</t>
  </si>
  <si>
    <t>肖战讲笑话自己笑出了框</t>
  </si>
  <si>
    <t>['肖战', '讲', '笑话', '自己', '笑', '出', '了', '框']</t>
  </si>
  <si>
    <t>腊八节</t>
  </si>
  <si>
    <t>['腊八', '八节', '腊八节']</t>
  </si>
  <si>
    <t>NBA前总裁斯特恩去世</t>
  </si>
  <si>
    <t>['NBA', '前', '总裁', '斯特', '斯特恩', '去世']</t>
  </si>
  <si>
    <t>孤单探戈</t>
  </si>
  <si>
    <t>['孤单', '探戈']</t>
  </si>
  <si>
    <t>扔硬币致航班取消被判赔12万</t>
  </si>
  <si>
    <t>['扔', '硬币', '致', '航班', '取消', '被判', '被判赔', '12', '万']</t>
  </si>
  <si>
    <t>李铁出任国足主帅</t>
  </si>
  <si>
    <t>['李铁', '出任', '国', '足', '主帅']</t>
  </si>
  <si>
    <t>武汉航班现疑似传染病人为不实消息</t>
  </si>
  <si>
    <t>['武汉', '航班', '现', '疑似', '传染', '染病', '传染病', '人为', '不', '实', '消息']</t>
  </si>
  <si>
    <t>关晓彤穿鹿晗的卫衣</t>
  </si>
  <si>
    <t>['关晓彤', '穿', '鹿晗', '的', '卫衣']</t>
  </si>
  <si>
    <t>王菲李亚鹏周迅窦靖童同框</t>
  </si>
  <si>
    <t>['王菲', '李亚鹏', '周迅', '窦靖童', '同框']</t>
  </si>
  <si>
    <t>长江十年禁渔</t>
  </si>
  <si>
    <t>['长江', '十年', '禁渔']</t>
  </si>
  <si>
    <t>消防员救完火多了一层冰铠甲</t>
  </si>
  <si>
    <t>['消防', '消防员', '救', '完火', '多', '了', '一层', '冰', '铠甲']</t>
  </si>
  <si>
    <t>星辰大海mv发布</t>
  </si>
  <si>
    <t>['星辰', '大海', 'mv', '发布']</t>
  </si>
  <si>
    <t>努力营业凌潇肃</t>
  </si>
  <si>
    <t>['努力', '营业', '凌潇肃']</t>
  </si>
  <si>
    <t>王俊凯北电期末公演</t>
  </si>
  <si>
    <t>['王俊凯', '北电', '期末', '公演']</t>
  </si>
  <si>
    <t>王菲 新裤子现场蹦迪</t>
  </si>
  <si>
    <t>['王菲', ' ', '新', '裤子', '现场', '蹦迪']</t>
  </si>
  <si>
    <t>岳父遭父亲羞辱新郎大闹婚礼</t>
  </si>
  <si>
    <t>['岳父', '遭', '父亲', '羞辱', '新郎', '大闹', '婚礼']</t>
  </si>
  <si>
    <t>网约车司机跨年夜猝死</t>
  </si>
  <si>
    <t>['网约车', '司机', '跨年', '夜', '猝死']</t>
  </si>
  <si>
    <t>做心肺复苏压断老太12根肋骨</t>
  </si>
  <si>
    <t>['做', '心肺', '复苏', '压断', '老太', '12', '肋骨', '根肋骨']</t>
  </si>
  <si>
    <t>周冬雨银灰寸头</t>
  </si>
  <si>
    <t>['周', '冬雨', '银灰', '寸头']</t>
  </si>
  <si>
    <t>民警被逼得说giaogiao</t>
  </si>
  <si>
    <t>['民警', '被', '逼', '得', '说', 'giaogiao']</t>
  </si>
  <si>
    <t>你的被子里有一个小可爱吗</t>
  </si>
  <si>
    <t>['你', '的', '被子', '里', '有', '一个', '小可', '可爱', '小可爱', '吗']</t>
  </si>
  <si>
    <t>吴昕身高体重曝光</t>
  </si>
  <si>
    <t>['吴昕', '身高', '体重', '身高体重', '曝光']</t>
  </si>
  <si>
    <t>台湾一架黑鹰直升机迫降</t>
  </si>
  <si>
    <t>['台湾', '一架', '黑鹰', '直升', '升机', '直升机', '迫降']</t>
  </si>
  <si>
    <t>花泽香菜汪苏泷有点甜</t>
  </si>
  <si>
    <t>['花泽', '香菜', '汪苏', '泷', '有点', '甜']</t>
  </si>
  <si>
    <t>金龟子王宁谈初恋</t>
  </si>
  <si>
    <t>['金龟', '金龟子', '王宁谈', '初恋']</t>
  </si>
  <si>
    <t>国产HPV疫苗正式获批</t>
  </si>
  <si>
    <t>['国产', 'HPV', '疫苗', '正式', '获批']</t>
  </si>
  <si>
    <t>李一桐李鸿其送粉丝狗粮</t>
  </si>
  <si>
    <t>['李一桐', '李鸿其', '送', '粉丝', '狗', '粮']</t>
  </si>
  <si>
    <t>徐峥戴毛毛姐假发</t>
  </si>
  <si>
    <t>['徐峥', '戴', '毛毛', '姐', '假发']</t>
  </si>
  <si>
    <t>老妈后爸撒狗粮甜翻众人</t>
  </si>
  <si>
    <t>['老妈', '后爸', '撒狗', '粮甜', '翻', '众人']</t>
  </si>
  <si>
    <t>2020/01/03</t>
  </si>
  <si>
    <t>朱婷回应国庆兵哥哥硬核表白</t>
  </si>
  <si>
    <t>['朱婷', '回应', '国庆', '兵哥', '哥哥', '兵哥哥', '硬核', '表白']</t>
  </si>
  <si>
    <t>鹿晗空降抖音攒火锅局</t>
  </si>
  <si>
    <t>['鹿晗', '空降', '抖音', '攒', '火锅', '局']</t>
  </si>
  <si>
    <t>张雪迎美甲技术</t>
  </si>
  <si>
    <t>['张雪迎', '美甲', '技术']</t>
  </si>
  <si>
    <t>章子怡二胎生子</t>
  </si>
  <si>
    <t>['章子', '章子怡', '二胎', '生子']</t>
  </si>
  <si>
    <t>舞台无处不在</t>
  </si>
  <si>
    <t>['舞台', '无处', '不在', '无处不在']</t>
  </si>
  <si>
    <t>我挺国潮</t>
  </si>
  <si>
    <t>['我', '挺', '国潮']</t>
  </si>
  <si>
    <t>纸折太乙真人的猪</t>
  </si>
  <si>
    <t>['纸折', '太', '乙', '真人', '的', '猪']</t>
  </si>
  <si>
    <t>归国四子齐聚抖音</t>
  </si>
  <si>
    <t>['归国', '四子', '齐聚', '抖音']</t>
  </si>
  <si>
    <t>ETC余额2000多万行长回应</t>
  </si>
  <si>
    <t>['ETC', '余额', '2000', '多万', '行长', '回应']</t>
  </si>
  <si>
    <t>张雪迎笑称虎牙长变形</t>
  </si>
  <si>
    <t>['张雪迎', '笑', '称', '虎牙', '长', '变形']</t>
  </si>
  <si>
    <t>王思聪庆生派对</t>
  </si>
  <si>
    <t>['王思聪', '庆生', '派对']</t>
  </si>
  <si>
    <t>肖战蹦蹦哒哒去吃小面</t>
  </si>
  <si>
    <t>['肖战', '蹦蹦', '哒', '哒', '去', '吃', '小面']</t>
  </si>
  <si>
    <t>漫展表情包cos</t>
  </si>
  <si>
    <t>['漫展', '表情', '包', 'cos']</t>
  </si>
  <si>
    <t>唐一菲回应发六万红包</t>
  </si>
  <si>
    <t>['唐一菲', '回应', '发', '六万', '红包']</t>
  </si>
  <si>
    <t>邓超 感谢孙俪在茫茫大海找到我</t>
  </si>
  <si>
    <t>['邓超', ' ', '感谢', '孙俪', '在', '茫茫', '大海', '茫茫大海', '找到', '我']</t>
  </si>
  <si>
    <t>误吞AirPod医生建议自行排出</t>
  </si>
  <si>
    <t>['误吞', 'AirPod', '医生', '建议', '自行', '排出']</t>
  </si>
  <si>
    <t>伊朗最高领导人称将严厉报复美国</t>
  </si>
  <si>
    <t>['伊朗', '最高', '领导', '领导人', '称', '将', '严厉', '报复', '美国']</t>
  </si>
  <si>
    <t>杜江 努力是最不值得一提的事</t>
  </si>
  <si>
    <t>['杜江', ' ', '努力', '是', '最', '不', '值得', '值得一提', '的', '事']</t>
  </si>
  <si>
    <t>当你妈问你回家吃饭吗</t>
  </si>
  <si>
    <t>['当', '你', '妈', '问', '你', '回家', '吃饭', '吗']</t>
  </si>
  <si>
    <t>成龙夸赞杨洋很爷们</t>
  </si>
  <si>
    <t>['成龙', '夸赞', '杨洋', '很', '爷们']</t>
  </si>
  <si>
    <t>河比赛医生偷偷作弊</t>
  </si>
  <si>
    <t>['河', '比赛', '医生', '偷偷', '作弊']</t>
  </si>
  <si>
    <t>张艺兴面对黄牛票</t>
  </si>
  <si>
    <t>['张艺兴', '面对', '黄牛', '黄牛票']</t>
  </si>
  <si>
    <t>女司机违停被查态度嚣张</t>
  </si>
  <si>
    <t>['司机', '女司机', '违停', '被', '查', '态度', '嚣张']</t>
  </si>
  <si>
    <t>妈妈替儿子追星刘昊然</t>
  </si>
  <si>
    <t>['妈妈', '替', '儿子', '追星', '刘昊然']</t>
  </si>
  <si>
    <t>岳云鹏唱桥边姑娘</t>
  </si>
  <si>
    <t>['岳云鹏', '唱', '桥边', '姑娘']</t>
  </si>
  <si>
    <t>没安装ETC救护车被强行收费</t>
  </si>
  <si>
    <t>['没', '安装', 'ETC', '救护', '护车', '救护车', '被', '强行', '收费']</t>
  </si>
  <si>
    <t>6岁孩子走6万步山路上学</t>
  </si>
  <si>
    <t>['6', '岁', '孩子', '走', '6', '万步', '山路', '上学']</t>
  </si>
  <si>
    <t>拔河比赛医生偷偷作弊</t>
  </si>
  <si>
    <t>['拔河', '比赛', '拔河比赛', '医生', '偷偷', '作弊']</t>
  </si>
  <si>
    <t>罗云熙梳脏辫刺绣</t>
  </si>
  <si>
    <t>['罗云熙', '梳脏', '辫', '刺绣']</t>
  </si>
  <si>
    <t>海警战士购票后向售票员敬礼</t>
  </si>
  <si>
    <t>['海警', '战士', '购票', '后', '向', '售票', '售票员', '敬礼']</t>
  </si>
  <si>
    <t>吴昕杜海涛吵架因4块钱和好</t>
  </si>
  <si>
    <t>['吴昕', '杜', '海涛', '吵架', '因', '4', '块钱', '和', '好']</t>
  </si>
  <si>
    <t>民警跳入水中托举救人</t>
  </si>
  <si>
    <t>['民警', '跳入', '水中', '托举', '救人']</t>
  </si>
  <si>
    <t>何炅穿越人海拥抱谢娜</t>
  </si>
  <si>
    <t>['何炅', '穿越', '人', '海', '拥抱', '谢娜']</t>
  </si>
  <si>
    <t>郭麒麟 我比我爸火</t>
  </si>
  <si>
    <t>['郭', '麒麟', ' ', '我', '比', '我', '爸火']</t>
  </si>
  <si>
    <t>药水哥 一龙</t>
  </si>
  <si>
    <t>['药水', '哥', ' ', '一龙']</t>
  </si>
  <si>
    <t>东契奇力压詹姆斯成西部票王</t>
  </si>
  <si>
    <t>['东契奇力', '压', '詹姆斯', '成', '西部', '票王']</t>
  </si>
  <si>
    <t>易烊千玺寸头</t>
  </si>
  <si>
    <t>['易', '烊', '千玺', '寸头']</t>
  </si>
  <si>
    <t>2020双闰年</t>
  </si>
  <si>
    <t>['2020', '双', '闰年']</t>
  </si>
  <si>
    <t>王凯假视频案胜诉</t>
  </si>
  <si>
    <t>['王凯', '假', '视频', '案', '胜诉']</t>
  </si>
  <si>
    <t>2020/01/04</t>
  </si>
  <si>
    <t>特朗普称美军空袭为阻止战争</t>
  </si>
  <si>
    <t>['特朗普', '称', '美军', '空袭', '为', '阻止', '战争']</t>
  </si>
  <si>
    <t>伊拉克民兵组织车队遭空袭6人死亡</t>
  </si>
  <si>
    <t>['伊拉', '拉克', '伊拉克', '民兵', '组织', '民兵组织', '车队', '遭', '空袭', '6', '人', '死亡']</t>
  </si>
  <si>
    <t>辛弃疾1162</t>
  </si>
  <si>
    <t>['辛弃疾', '1162']</t>
  </si>
  <si>
    <t>蒋劲夫乌拉圭前女友回应起诉</t>
  </si>
  <si>
    <t>['蒋劲夫', '乌拉', '乌拉圭', '女友', '前女友', '回应', '起诉']</t>
  </si>
  <si>
    <t>周震南喝香槟辣出鸡爪手</t>
  </si>
  <si>
    <t>['周震南', '喝', '香槟', '辣出', '鸡爪', '手']</t>
  </si>
  <si>
    <t>新年造万象</t>
  </si>
  <si>
    <t>['新年', '造', '万象']</t>
  </si>
  <si>
    <t>热巴带你新年顺到飞起</t>
  </si>
  <si>
    <t>['热巴', '带', '你', '新年', '顺到', '飞起']</t>
  </si>
  <si>
    <t>吴尊汪东城聚会合拍</t>
  </si>
  <si>
    <t>['吴尊', '东城', '汪东城', '聚会', '合拍']</t>
  </si>
  <si>
    <t>张艺兴直男式卷头发</t>
  </si>
  <si>
    <t>['张艺兴直', '男式', '卷', '头发']</t>
  </si>
  <si>
    <t>40岁的李栋旭</t>
  </si>
  <si>
    <t>['40', '岁', '的', '李栋旭']</t>
  </si>
  <si>
    <t>林志颖再唱十七岁的雨季</t>
  </si>
  <si>
    <t>['林志颖', '再', '唱', '十七', '七岁', '十七岁', '的', '雨季']</t>
  </si>
  <si>
    <t>肖战 清唱</t>
  </si>
  <si>
    <t>['肖战', ' ', '清唱']</t>
  </si>
  <si>
    <t>长江白鲟的最后踪迹</t>
  </si>
  <si>
    <t>['长江', '白鲟', '的', '最后', '踪迹']</t>
  </si>
  <si>
    <t>小小周弹唱听妈妈的话</t>
  </si>
  <si>
    <t>['小小', '周', '弹唱', '听', '妈妈', '的话']</t>
  </si>
  <si>
    <t>2020年首场流星雨</t>
  </si>
  <si>
    <t>['2020', '年', '首场', '流星', '流星雨']</t>
  </si>
  <si>
    <t>吴磊和自己握手</t>
  </si>
  <si>
    <t>['吴磊', '和', '自己', '握手']</t>
  </si>
  <si>
    <t>国航处分泄露明星乘客信息员工</t>
  </si>
  <si>
    <t>['国航', '处分', '泄露', '明星', '乘客', '信息', '员工']</t>
  </si>
  <si>
    <t>Angelababy模仿吴亦凡录歌</t>
  </si>
  <si>
    <t>['Angelababy', '模仿', '吴亦凡', '录歌']</t>
  </si>
  <si>
    <t>比伯新歌</t>
  </si>
  <si>
    <t>['新歌', '比伯新歌']</t>
  </si>
  <si>
    <t>蔡依林邓紫棋同台</t>
  </si>
  <si>
    <t>['蔡依林', '邓紫棋', '同台']</t>
  </si>
  <si>
    <t>高速行驶550公里收费3870元</t>
  </si>
  <si>
    <t>['高速', '行驶', '高速行驶', '550', '公里', '收费', '3870', '元']</t>
  </si>
  <si>
    <t>张柏芝想和星爷再合作</t>
  </si>
  <si>
    <t>['张柏芝', '想', '和', '星爷', '再', '合作']</t>
  </si>
  <si>
    <t>任嘉伦眼神杀</t>
  </si>
  <si>
    <t>['任嘉伦', '眼神', '杀']</t>
  </si>
  <si>
    <t>价值1.8亿元毕加索名画被撕</t>
  </si>
  <si>
    <t>['价值', '1.8', '亿元', '毕加索', '名画', '被', '撕']</t>
  </si>
  <si>
    <t>明星去KTV是什么样子</t>
  </si>
  <si>
    <t>['明星', '去', 'KTV', '是', '什么', '样子']</t>
  </si>
  <si>
    <t>12岁少年救了整楼居民</t>
  </si>
  <si>
    <t>['12', '岁', '少年', '救', '了', '整楼', '居民']</t>
  </si>
  <si>
    <t>美国华盛顿进入戒备状态</t>
  </si>
  <si>
    <t>['美国', '华盛', '华盛顿', '进入', '戒备', '状态', '戒备状态']</t>
  </si>
  <si>
    <t>火锅店为学渣设奖学金</t>
  </si>
  <si>
    <t>['火锅', '火锅店', '为学渣', '设', '奖学', '奖学金']</t>
  </si>
  <si>
    <t>陈伟霆爆料钟楚曦很能吃</t>
  </si>
  <si>
    <t>['陈伟霆', '爆料', '钟楚曦', '很', '能', '吃']</t>
  </si>
  <si>
    <t>小托马斯开场88秒遭驱逐</t>
  </si>
  <si>
    <t>['小', '托马', '托马斯', '开场', '88', '秒', '遭', '驱逐']</t>
  </si>
  <si>
    <t>李兰迪哭了</t>
  </si>
  <si>
    <t>['李兰迪', '哭', '了']</t>
  </si>
  <si>
    <t>小鹿生气的时候怎么叫</t>
  </si>
  <si>
    <t>['小鹿', '生气', '的', '时候', '怎么', '叫']</t>
  </si>
  <si>
    <t>讨薪农民工一块钱吃一天</t>
  </si>
  <si>
    <t>['讨薪', '农民', '民工', '农民工', '一块', '块钱', '一块钱', '吃', '一天']</t>
  </si>
  <si>
    <t>吴尊晒与辰亦儒汪东城合照</t>
  </si>
  <si>
    <t>['吴尊', '晒', '与', '辰', '亦', '儒', '东城', '汪东城', '合照']</t>
  </si>
  <si>
    <t>刘德华王宝强刘昊然同框演唱</t>
  </si>
  <si>
    <t>['德华', '刘德华', '王宝强', '刘昊然', '同框', '演唱']</t>
  </si>
  <si>
    <t>赵丽颖吐槽粉丝彩虹屁</t>
  </si>
  <si>
    <t>['赵丽颖', '吐', '槽', '粉丝', '彩虹', '屁']</t>
  </si>
  <si>
    <t>77岁教授裸捐8208万</t>
  </si>
  <si>
    <t>['77', '岁', '教授', '裸捐', '8208', '万']</t>
  </si>
  <si>
    <t>张翰被马天宇举高高</t>
  </si>
  <si>
    <t>['张翰', '被', '马', '天宇', '举', '高高']</t>
  </si>
  <si>
    <t>CBA江苏主帅与球迷冲突罚单</t>
  </si>
  <si>
    <t>['CBA', '江苏', '主帅', '与', '球迷', '冲突', '罚单']</t>
  </si>
  <si>
    <t>2020/01/05</t>
  </si>
  <si>
    <t>武磊绝平巴萨</t>
  </si>
  <si>
    <t>['武磊', '绝平', '巴萨']</t>
  </si>
  <si>
    <t>国内镜头下的Lisa</t>
  </si>
  <si>
    <t>['国内', '镜头', '下', '的', 'Lisa']</t>
  </si>
  <si>
    <t>剑王朝大结局</t>
  </si>
  <si>
    <t>['剑', '王朝', '结局', '大结局']</t>
  </si>
  <si>
    <t>浣熊被吓出表情包</t>
  </si>
  <si>
    <t>['浣熊', '被', '吓', '出', '表情', '包']</t>
  </si>
  <si>
    <t>李现 退场方式</t>
  </si>
  <si>
    <t>['李现', ' ', '退场', '方式']</t>
  </si>
  <si>
    <t>美驻伊使馆附近及空军基地遭袭</t>
  </si>
  <si>
    <t>['美驻', '伊', '使馆', '附近', '及', '空军', '基地', '空军基地', '遭袭']</t>
  </si>
  <si>
    <t>雷克萨斯行驶中发生自燃</t>
  </si>
  <si>
    <t>['萨斯', '雷克萨', '雷克萨斯', '行驶', '中', '发生', '自燃']</t>
  </si>
  <si>
    <t>2020太原第一场雪</t>
  </si>
  <si>
    <t>['2020', '太原', '第一', '一场', '第一场', '雪']</t>
  </si>
  <si>
    <t>陈立农穿婚纱</t>
  </si>
  <si>
    <t>['陈立', '农穿', '婚纱']</t>
  </si>
  <si>
    <t>Jennie双马尾</t>
  </si>
  <si>
    <t>['Jennie', '双', '马尾']</t>
  </si>
  <si>
    <t>男孩心脏骤停遇过路护士抢救成功</t>
  </si>
  <si>
    <t>['男孩', '心脏', '骤', '停遇', '过路', '护士', '抢救', '成功']</t>
  </si>
  <si>
    <t>铁锹怒砸违停车大妈回应</t>
  </si>
  <si>
    <t>['铁锹', '怒', '砸', '违', '停车', '大妈', '回应']</t>
  </si>
  <si>
    <t>莫兰特复制哈登神作</t>
  </si>
  <si>
    <t>['莫', '兰特', '复制', '哈登', '神作']</t>
  </si>
  <si>
    <t>李铁 武磊给中国足球争光</t>
  </si>
  <si>
    <t>['李铁', ' ', '武磊', '给', '中国', '足球', '争光']</t>
  </si>
  <si>
    <t>当孩子被爸爸带的时候</t>
  </si>
  <si>
    <t>['当', '孩子', '被', '爸爸', '带', '的', '时候']</t>
  </si>
  <si>
    <t>乐福骑士内讧</t>
  </si>
  <si>
    <t>['乐福', '骑士', '内讧']</t>
  </si>
  <si>
    <t>董又霖吐槽汪海林</t>
  </si>
  <si>
    <t>['董又霖', '吐', '槽', '汪', '海林']</t>
  </si>
  <si>
    <t>使馆提醒在美中国公民注意安全</t>
  </si>
  <si>
    <t>['使馆', '提醒', '在', '美', '中国', '公民', '注意', '安全', '注意安全']</t>
  </si>
  <si>
    <t>伊能静单膝下跪求婚秦昊</t>
  </si>
  <si>
    <t>['伊能静', '单', '膝下', '跪', '求婚', '秦昊']</t>
  </si>
  <si>
    <t>遭领导劝酒致酒精中毒死亡</t>
  </si>
  <si>
    <t>['遭', '领导', '劝酒', '致', '酒精', '中毒', '酒精中毒', '死亡']</t>
  </si>
  <si>
    <t>7个凳子召唤邓紫棋</t>
  </si>
  <si>
    <t>['7', '个', '凳子', '召唤', '邓紫棋']</t>
  </si>
  <si>
    <t>郑爽联合国发言vlog</t>
  </si>
  <si>
    <t>['郑爽', '联合', '联合国', '发言', 'vlog']</t>
  </si>
  <si>
    <t>庞博吐槽热依扎</t>
  </si>
  <si>
    <t>['庞博吐槽', '热依扎']</t>
  </si>
  <si>
    <t>郑州初雪</t>
  </si>
  <si>
    <t>['郑州', '初雪']</t>
  </si>
  <si>
    <t>重庆棒棒扛货扛出一套房</t>
  </si>
  <si>
    <t>['重庆', '棒棒', '扛', '货', '扛出', '一', '套房']</t>
  </si>
  <si>
    <t>唐人街探案3路演</t>
  </si>
  <si>
    <t>['唐人', '唐人街', '探案', '3', '路演']</t>
  </si>
  <si>
    <t>邓紫棋评论鹿晗</t>
  </si>
  <si>
    <t>['邓紫棋', '评论', '鹿晗']</t>
  </si>
  <si>
    <t>澳洲山火</t>
  </si>
  <si>
    <t>['澳洲', '山火']</t>
  </si>
  <si>
    <t>Amber回忆雪莉</t>
  </si>
  <si>
    <t>['Amber', '回忆', '雪莉']</t>
  </si>
  <si>
    <t>2020年首个暴雪预警</t>
  </si>
  <si>
    <t>['2020', '年', '首个', '暴雪', '预警']</t>
  </si>
  <si>
    <t>2020首个暴雪预警</t>
  </si>
  <si>
    <t>['2020', '首个', '暴雪', '预警']</t>
  </si>
  <si>
    <t>阿黛尔瘦了</t>
  </si>
  <si>
    <t>['阿黛尔', '瘦', '了']</t>
  </si>
  <si>
    <t>郑爽回眸</t>
  </si>
  <si>
    <t>['郑爽', '回眸']</t>
  </si>
  <si>
    <t>外国人眼中的国潮单品</t>
  </si>
  <si>
    <t>['外国', '国人', '外国人', '眼中', '的', '国潮', '单品']</t>
  </si>
  <si>
    <t>卡特飞跃四个年代</t>
  </si>
  <si>
    <t>['卡特', '飞跃', '四个', '年代']</t>
  </si>
  <si>
    <t>美国70多城举行反战示威活动</t>
  </si>
  <si>
    <t>['美国', '70', '多城', '举行', '反战', '示威', '活动']</t>
  </si>
  <si>
    <t>2020/01/06</t>
  </si>
  <si>
    <t>周二珂恋情</t>
  </si>
  <si>
    <t>['周二', '珂', '恋情']</t>
  </si>
  <si>
    <t>当李佳琦遇到韩红</t>
  </si>
  <si>
    <t>['当', '李佳琦', '遇到', '韩红']</t>
  </si>
  <si>
    <t>肖战 银发造型</t>
  </si>
  <si>
    <t>['肖战', ' ', '银发', '造型']</t>
  </si>
  <si>
    <t>蔡依林演唱会遭醉酒男子闹场</t>
  </si>
  <si>
    <t>['蔡依林', '演唱', '演唱会', '遭', '醉酒', '男子', '闹场']</t>
  </si>
  <si>
    <t>卢靖姗旁观韩庚拍吻戏</t>
  </si>
  <si>
    <t>['卢靖姗', '旁观', '韩庚', '拍', '吻', '戏']</t>
  </si>
  <si>
    <t>伊朗少将遗体被运回国</t>
  </si>
  <si>
    <t>['伊朗', '少将', '遗体', '被', '运', '回国']</t>
  </si>
  <si>
    <t>肖战刘宇宁开卡丁车</t>
  </si>
  <si>
    <t>['肖战', '刘宇宁开', '卡丁车']</t>
  </si>
  <si>
    <t>邓紫棋 深V礼服</t>
  </si>
  <si>
    <t>['邓紫棋', ' ', '深', 'V', '礼服']</t>
  </si>
  <si>
    <t>蓝盈莹 被演戏耽误的歌手</t>
  </si>
  <si>
    <t>['蓝盈莹', ' ', '被', '演戏', '耽误', '的', '歌手']</t>
  </si>
  <si>
    <t>抖inCity年度收官盛典</t>
  </si>
  <si>
    <t>['抖', 'inCity', '年度', '收官', '盛典']</t>
  </si>
  <si>
    <t>孙艺洲被女主持拔腿毛</t>
  </si>
  <si>
    <t>['孙艺洲', '被', '主持', '女主持', '拔腿', '毛']</t>
  </si>
  <si>
    <t>亲爱的戎装官宣</t>
  </si>
  <si>
    <t>['亲爱', '的', '戎装', '官宣']</t>
  </si>
  <si>
    <t>高铁偶遇徐峥</t>
  </si>
  <si>
    <t>['高铁', '偶遇', '徐峥']</t>
  </si>
  <si>
    <t>肖战张韶涵呐喊</t>
  </si>
  <si>
    <t>['肖战', '张韶涵', '呐喊']</t>
  </si>
  <si>
    <t>全国消防拉歌赛</t>
  </si>
  <si>
    <t>['全国', '消防', '拉歌赛']</t>
  </si>
  <si>
    <t>伊朗宣布退出伊核协议</t>
  </si>
  <si>
    <t>['伊朗', '宣布', '退出', '伊核', '协议']</t>
  </si>
  <si>
    <t>当外国人在中国遇到外国人</t>
  </si>
  <si>
    <t>['当', '外国', '国人', '外国人', '在', '中国', '遇到', '外国', '国人', '外国人']</t>
  </si>
  <si>
    <t>特朗普 美军不会离开伊拉克</t>
  </si>
  <si>
    <t>['特朗普', ' ', '美军', '不会', '离开', '伊拉', '拉克', '伊拉克']</t>
  </si>
  <si>
    <t>阚清子花式夸张翰</t>
  </si>
  <si>
    <t>['阚清子', '花式', '夸张', '翰']</t>
  </si>
  <si>
    <t>大妈偷衣服被抓亲店主手臂求饶</t>
  </si>
  <si>
    <t>['大妈', '偷', '衣服', '被', '抓亲', '店主', '手臂', '求饶']</t>
  </si>
  <si>
    <t>武警集体婚礼新年伊始就撒糖</t>
  </si>
  <si>
    <t>['武警', '集体', '婚礼', '集体婚礼', '新年', '伊始', '新年伊始', '就', '撒糖']</t>
  </si>
  <si>
    <t>权志龙 小松菜奈</t>
  </si>
  <si>
    <t>['权志龙', ' ', '小松', '菜奈']</t>
  </si>
  <si>
    <t>救人白衣小姐姐自己也是传奇</t>
  </si>
  <si>
    <t>['救人', '白衣', '小姐', '姐姐', '小姐姐', '自己', '也', '是', '传奇']</t>
  </si>
  <si>
    <t>金球奖</t>
  </si>
  <si>
    <t>['金球', '金球奖']</t>
  </si>
  <si>
    <t>朝阳大妈应援垃圾分类</t>
  </si>
  <si>
    <t>['朝阳', '大妈', '应援', '垃圾', '分类']</t>
  </si>
  <si>
    <t>吴磊让张子枫叫师哥</t>
  </si>
  <si>
    <t>['吴磊', '让', '张子枫', '叫', '师哥']</t>
  </si>
  <si>
    <t>迪士尼版火红的萨日朗</t>
  </si>
  <si>
    <t>['迪士尼', '版', '火红', '的', '萨日朗']</t>
  </si>
  <si>
    <t>马云 校长是学校里的CEO</t>
  </si>
  <si>
    <t>['马云', ' ', '校长', '是', '学校', '里', '的', 'CEO']</t>
  </si>
  <si>
    <t>汪涵曾弄丢儿子小沐沐</t>
  </si>
  <si>
    <t>['汪涵', '曾', '弄', '丢', '儿子', '小', '沐', '沐']</t>
  </si>
  <si>
    <t>武汉不明原因肺炎排除SARS病原</t>
  </si>
  <si>
    <t>['武汉', '不明', '原因', '肺炎', '排除', 'SARS', '病原']</t>
  </si>
  <si>
    <t>周震南戴双眼皮眼镜</t>
  </si>
  <si>
    <t>['周震南', '戴', '双眼', '眼皮', '双眼皮', '眼镜']</t>
  </si>
  <si>
    <t>林允儿汉语中级考试合格</t>
  </si>
  <si>
    <t>['林允儿', '汉语', '中级', '考试', '合格', '考试合格']</t>
  </si>
  <si>
    <t>浙江金华火灾4名消防员被压</t>
  </si>
  <si>
    <t>['浙江', '金华', '火灾', '4', '名', '消防', '消防员', '被', '压']</t>
  </si>
  <si>
    <t>故宫600岁生日的第一场雪</t>
  </si>
  <si>
    <t>['故宫', '600', '岁', '生日', '的', '第一', '一场', '第一场', '雪']</t>
  </si>
  <si>
    <t>亲爹陪孩子打雪仗的快乐</t>
  </si>
  <si>
    <t>['亲爹', '陪', '孩子', '雪仗', '打雪仗', '的', '快乐']</t>
  </si>
  <si>
    <t>李克勤周深神仙合唱</t>
  </si>
  <si>
    <t>['李克勤', '周深', '神仙', '合唱']</t>
  </si>
  <si>
    <t>湖人单场20次封盖</t>
  </si>
  <si>
    <t>['湖人', '单场', '20', '次', '封盖']</t>
  </si>
  <si>
    <t>风雪中的岗哨交接</t>
  </si>
  <si>
    <t>['风雪', '中', '的', '岗哨', '交接']</t>
  </si>
  <si>
    <t>2020/01/07</t>
  </si>
  <si>
    <t>吉林女警鞠梓睡梦中离世</t>
  </si>
  <si>
    <t>['吉林', '女警', '鞠梓', '睡梦', '睡梦中', '离世']</t>
  </si>
  <si>
    <t>兵哥哥的擦鞋齐步走有多帅</t>
  </si>
  <si>
    <t>['兵哥', '哥哥', '兵哥哥', '的', '擦鞋', '齐步', '齐步走', '有多帅']</t>
  </si>
  <si>
    <t>广州地陷一名失联人员已找到</t>
  </si>
  <si>
    <t>['广州', '地', '陷', '一名', '失联', '人员', '已', '找到']</t>
  </si>
  <si>
    <t>肖战王凯张若昀睡着了</t>
  </si>
  <si>
    <t>['肖战', '王凯', '张若昀', '睡着', '了']</t>
  </si>
  <si>
    <t>澳大利亚消防员怒斥总理</t>
  </si>
  <si>
    <t>['大利', '利亚', '澳大利', '澳大利亚', '消防', '消防员', '怒斥', '总理']</t>
  </si>
  <si>
    <t>大爷雪地里扫出一条龙</t>
  </si>
  <si>
    <t>['大爷', '雪地', '里', '扫出', '一条', '一条龙']</t>
  </si>
  <si>
    <t>朱一龙身上有个感叹号</t>
  </si>
  <si>
    <t>['朱一龙', '身上', '有个', '感叹', '叹号', '感叹号']</t>
  </si>
  <si>
    <t>女警鞠梓加班后突发疾病离世</t>
  </si>
  <si>
    <t>['女警', '鞠梓', '加班', '后', '突发', '疾病', '离世']</t>
  </si>
  <si>
    <t>当娜扎看完你的年度账单</t>
  </si>
  <si>
    <t>['当娜', '扎', '看', '完', '你', '的', '年度', '账单']</t>
  </si>
  <si>
    <t>黄子韬王彦霖半裸温泉照</t>
  </si>
  <si>
    <t>['黄子', '韬', '王彦霖', '半裸', '温泉', '照']</t>
  </si>
  <si>
    <t>肖战 能接受的公主抱上限</t>
  </si>
  <si>
    <t>['肖战', ' ', '能', '接受', '的', '公主', '抱', '上限']</t>
  </si>
  <si>
    <t>赵丽颖蓝色纱裙</t>
  </si>
  <si>
    <t>['赵丽颖', '蓝色', '纱裙']</t>
  </si>
  <si>
    <t>当代年轻人过年太难了</t>
  </si>
  <si>
    <t>['当代', '年轻', '年轻人', '过年', '太难', '了']</t>
  </si>
  <si>
    <t>红年红包红翻天</t>
  </si>
  <si>
    <t>['红年', '红包', '红', '翻天']</t>
  </si>
  <si>
    <t>鹤唳华亭结局太惊喜了</t>
  </si>
  <si>
    <t>['鹤唳', '华亭', '鹤唳华亭', '结局', '太', '惊喜', '了']</t>
  </si>
  <si>
    <t>化学老师当众表白马云</t>
  </si>
  <si>
    <t>['化学', '老师', '当众', '表', '白马', '云']</t>
  </si>
  <si>
    <t>澳洲山火180人涉嫌纵火被捕</t>
  </si>
  <si>
    <t>['澳洲', '山火', '180', '人', '涉嫌', '纵火', '被捕']</t>
  </si>
  <si>
    <t>梅婷脚踩飞机显示屏</t>
  </si>
  <si>
    <t>['梅婷', '脚', '踩', '飞机', '显示', '显示屏']</t>
  </si>
  <si>
    <t>偷偷回家时爸妈的反应</t>
  </si>
  <si>
    <t>['偷偷', '回家', '时', '爸妈', '的', '反应']</t>
  </si>
  <si>
    <t>山西男子寻子10年终团圆</t>
  </si>
  <si>
    <t>['山西', '男子', '寻子', '10', '年终', '团圆']</t>
  </si>
  <si>
    <t>宋祖儿 阮经天</t>
  </si>
  <si>
    <t>['宋祖儿', ' ', '阮经天']</t>
  </si>
  <si>
    <t>伊朗最高领袖在少将葬礼上哭泣</t>
  </si>
  <si>
    <t>['伊朗', '最高', '领袖', '在', '少将', '葬礼', '上', '哭泣']</t>
  </si>
  <si>
    <t>宋祖儿方否认与阮经天恋情</t>
  </si>
  <si>
    <t>['宋祖', '儿方', '否认', '与', '阮经天', '恋情']</t>
  </si>
  <si>
    <t>鹿晗吃火锅涮葡萄</t>
  </si>
  <si>
    <t>['鹿晗', '火锅', '吃火锅', '涮', '葡萄']</t>
  </si>
  <si>
    <t>超2万只考拉山火中死亡</t>
  </si>
  <si>
    <t>['超', '2', '万', '只', '考拉', '山火', '中', '死亡']</t>
  </si>
  <si>
    <t>伊朗将美军列为恐怖组织</t>
  </si>
  <si>
    <t>['伊朗', '将', '美军', '列为', '恐怖', '组织', '恐怖组织']</t>
  </si>
  <si>
    <t>黑导游逼游客掏钱拒退还</t>
  </si>
  <si>
    <t>['黑', '导游', '逼', '游客', '掏钱', '拒', '退还']</t>
  </si>
  <si>
    <t>澳大利亚将射杀1万只骆驼</t>
  </si>
  <si>
    <t>['大利', '利亚', '澳大利', '澳大利亚', '将', '射杀', '1', '万', '只', '骆驼']</t>
  </si>
  <si>
    <t>鹿晗 我状态跟你有啥关系</t>
  </si>
  <si>
    <t>['鹿晗', ' ', '我', '状态', '跟', '你', '有', '啥', '关系']</t>
  </si>
  <si>
    <t>黄子韬被认成防弹少年团成员</t>
  </si>
  <si>
    <t>['黄子', '韬', '被', '认成', '防弹', '少年', '团', '成员']</t>
  </si>
  <si>
    <t>伊朗外长推特喊话特朗普</t>
  </si>
  <si>
    <t>['伊朗', '外长', '推特', '喊话', '特朗普']</t>
  </si>
  <si>
    <t>2万吨中央储备冻猪肉将投放</t>
  </si>
  <si>
    <t>['2', '万吨', '中央', '储备', '猪肉', '冻猪肉', '将', '投放']</t>
  </si>
  <si>
    <t>梅婷道歉</t>
  </si>
  <si>
    <t>['梅婷', '道歉']</t>
  </si>
  <si>
    <t>消防员雪天连滚带爬奔向车库</t>
  </si>
  <si>
    <t>['消防', '消防员', '雪天', '连滚', '连滚带爬', '奔', '向', '车库']</t>
  </si>
  <si>
    <t>消防员面罩让给被困幼童</t>
  </si>
  <si>
    <t>['消防', '消防员', '面罩', '让给', '被困', '幼童']</t>
  </si>
  <si>
    <t>广东堵塞消防车通道者最高罚5万</t>
  </si>
  <si>
    <t>['广东', '堵塞', '消防', '消防车', '通道', '者', '最高', '罚', '5', '万']</t>
  </si>
  <si>
    <t>伊拉克议会决定终结美军存在</t>
  </si>
  <si>
    <t>['伊拉', '拉克', '伊拉克', '议会', '决定', '终结', '美军', '存在']</t>
  </si>
  <si>
    <t>肖战 外卖小哥</t>
  </si>
  <si>
    <t>['肖战', ' ', '外卖', '小哥']</t>
  </si>
  <si>
    <t>女子落水被救嫌消防员粗鲁</t>
  </si>
  <si>
    <t>['女子', '落水', '被', '救', '嫌', '消防', '消防员', '粗鲁']</t>
  </si>
  <si>
    <t>现代版庆余年</t>
  </si>
  <si>
    <t>['现代', '现代版', '庆', '余年']</t>
  </si>
  <si>
    <t>2020/01/08</t>
  </si>
  <si>
    <t>周冬雨戴口罩领奖</t>
  </si>
  <si>
    <t>['周', '冬雨', '戴', '口罩', '领奖']</t>
  </si>
  <si>
    <t>罗云熙挑眉杀</t>
  </si>
  <si>
    <t>['罗云熙', '挑眉杀']</t>
  </si>
  <si>
    <t>迪丽热巴 黄景瑜</t>
  </si>
  <si>
    <t>['迪丽', '热巴', ' ', '黄景', '瑜']</t>
  </si>
  <si>
    <t>美军驻伊拉克空军基地遭袭击</t>
  </si>
  <si>
    <t>['美军', '驻', '伊拉', '拉克', '伊拉克', '空军', '基地', '空军基地', '遭', '袭击']</t>
  </si>
  <si>
    <t>易烊千玺因为考试没赶上颁奖</t>
  </si>
  <si>
    <t>['易', '烊', '千玺', '因为', '考试', '没', '赶上', '颁奖']</t>
  </si>
  <si>
    <t>肖战 买耳朵</t>
  </si>
  <si>
    <t>['肖战', ' ', '买', '耳朵']</t>
  </si>
  <si>
    <t>爱情公寓不会再有续集</t>
  </si>
  <si>
    <t>['爱情', '公寓', '不会', '再有', '续集']</t>
  </si>
  <si>
    <t>陈赫带女儿游迪士尼</t>
  </si>
  <si>
    <t>['陈赫带', '女儿', '游', '迪士尼']</t>
  </si>
  <si>
    <t>待宰母牛下跪网友众筹放生</t>
  </si>
  <si>
    <t>['待', '宰', '母牛', '下跪', '网友', '众筹', '放生']</t>
  </si>
  <si>
    <t>易烊千玺被叫叔叔</t>
  </si>
  <si>
    <t>['易', '烊', '千玺', '被叫', '叔叔']</t>
  </si>
  <si>
    <t>韦德官宣球衣退役时间</t>
  </si>
  <si>
    <t>['韦德', '官宣', '球衣', '退役', '时间']</t>
  </si>
  <si>
    <t>伊朗发动第二轮袭击</t>
  </si>
  <si>
    <t>['伊朗', '发动', '第二', '二轮', '第二轮', '袭击']</t>
  </si>
  <si>
    <t>载180人客机在伊朗坠毁</t>
  </si>
  <si>
    <t>['载', '180', '人', '客机', '在', '伊朗', '坠毁']</t>
  </si>
  <si>
    <t>陈晓陈妍希同框</t>
  </si>
  <si>
    <t>['陈晓', '陈妍', '希同框']</t>
  </si>
  <si>
    <t>张艺兴 大胃王挑战</t>
  </si>
  <si>
    <t>['张艺兴', ' ', '大胃', '王', '挑战']</t>
  </si>
  <si>
    <t>伊朗声明袭击是为苏莱马尼报仇</t>
  </si>
  <si>
    <t>['伊朗', '声明', '袭击', '是', '为', '苏莱马尼', '报仇']</t>
  </si>
  <si>
    <t>安东尼绝杀猛龙</t>
  </si>
  <si>
    <t>['安东', '安东尼', '绝杀', '猛龙']</t>
  </si>
  <si>
    <t>中国航天发射2020开门红</t>
  </si>
  <si>
    <t>['中国', '国航', '航天', '中国航天', '发射', '2020', '开门', '开门红']</t>
  </si>
  <si>
    <t>伊朗公布坠机原因为发动机故障</t>
  </si>
  <si>
    <t>['伊朗', '公布', '坠机', '原因', '为', '发动', '动机', '发动机', '故障']</t>
  </si>
  <si>
    <t>张若昀被cue背古诗</t>
  </si>
  <si>
    <t>['张若昀', '被', 'cue', '背', '古诗']</t>
  </si>
  <si>
    <t>乌克兰客机在伊朗坠毁</t>
  </si>
  <si>
    <t>['克兰', '乌克兰', '客机', '在', '伊朗', '坠毁']</t>
  </si>
  <si>
    <t>乌克兰坠毁客机黑匣子已找到</t>
  </si>
  <si>
    <t>['克兰', '乌克兰', '坠毁', '客机', '黑匣', '匣子', '黑匣子', '已', '找到']</t>
  </si>
  <si>
    <t>拖欠农民工工资将加付赔偿金</t>
  </si>
  <si>
    <t>['拖欠', '农民', '民工', '农民工', '工资', '将', '加付', '赔偿', '赔偿金']</t>
  </si>
  <si>
    <t>伊朗准备13种报复美国方案</t>
  </si>
  <si>
    <t>['伊朗', '准备', '13', '种', '报复', '美国', '方案']</t>
  </si>
  <si>
    <t>普京访问叙利亚</t>
  </si>
  <si>
    <t>['普京', '访问', '利亚', '叙利亚']</t>
  </si>
  <si>
    <t>女车主对违停捷豹连撞11下</t>
  </si>
  <si>
    <t>['女', '车主', '对', '违停', '捷豹', '连', '撞', '11', '下']</t>
  </si>
  <si>
    <t>肖战 封面</t>
  </si>
  <si>
    <t>['肖战', ' ', '封面']</t>
  </si>
  <si>
    <t>兰州49岁交警因公牺牲</t>
  </si>
  <si>
    <t>['兰州', '49', '岁', '交警', '因公', '牺牲']</t>
  </si>
  <si>
    <t>权健组织领导传销案宣判</t>
  </si>
  <si>
    <t>['权健', '组织', '领导', '传销', '销案', '传销案', '宣判']</t>
  </si>
  <si>
    <t>消防员刚出门就摔成一团</t>
  </si>
  <si>
    <t>['消防', '消防员', '刚', '出门', '就', '摔成', '一团']</t>
  </si>
  <si>
    <t>吴亦凡木村光希封面</t>
  </si>
  <si>
    <t>['吴亦凡', '木村', '光希', '封面']</t>
  </si>
  <si>
    <t>邓紫棋陈立农互教方言</t>
  </si>
  <si>
    <t>['邓紫棋', '陈立', '农互教', '方言']</t>
  </si>
  <si>
    <t>彭于晏哭戏</t>
  </si>
  <si>
    <t>['彭于', '晏', '哭', '戏']</t>
  </si>
  <si>
    <t>浓眉哥受伤</t>
  </si>
  <si>
    <t>['浓眉', '哥', '受伤']</t>
  </si>
  <si>
    <t>中驻伊朗大使馆发布安全提醒</t>
  </si>
  <si>
    <t>['中', '驻', '伊朗', '大使', '使馆', '大使馆', '发布', '安全', '提醒']</t>
  </si>
  <si>
    <t>朱丹叫错马思纯名字</t>
  </si>
  <si>
    <t>['朱丹', '叫', '错', '马思纯', '名字']</t>
  </si>
  <si>
    <t>2020/01/09</t>
  </si>
  <si>
    <t>易烊千玺中国女排推广曲</t>
  </si>
  <si>
    <t>['易', '烊', '千玺', '中国', '女排', '中国女排', '推广', '曲']</t>
  </si>
  <si>
    <t>徐峥请肖战李现张艺兴合拍电影</t>
  </si>
  <si>
    <t>['徐峥', '请', '肖战', '李现', '张艺兴', '合拍', '电影']</t>
  </si>
  <si>
    <t>初中生为见爷爷最后一面交白卷</t>
  </si>
  <si>
    <t>['初中', '中生', '初中生', '为', '见', '爷爷', '最后', '一面', '白卷', '交白卷']</t>
  </si>
  <si>
    <t>护士用听诊器与耳背大爷交流</t>
  </si>
  <si>
    <t>['护士', '用', '听诊', '听诊器', '与', '耳背', '大爷', '交流']</t>
  </si>
  <si>
    <t>美国对伊朗实施新经济制裁</t>
  </si>
  <si>
    <t>['美国', '对', '伊朗', '实施', '新', '经济', '制裁', '经济制裁']</t>
  </si>
  <si>
    <t>李嫣冬日穿吊带街拍</t>
  </si>
  <si>
    <t>['李嫣', '冬日', '穿', '吊带', '街', '拍']</t>
  </si>
  <si>
    <t>郑爽现身法院</t>
  </si>
  <si>
    <t>['郑爽', '现身', '法院']</t>
  </si>
  <si>
    <t>伊朗外长称自卫行动已经结束</t>
  </si>
  <si>
    <t>['伊朗', '外长', '称', '自卫', '行动', '已经', '结束']</t>
  </si>
  <si>
    <t>李现被问你回家吃饭吗</t>
  </si>
  <si>
    <t>['李现', '被', '问', '你', '回家', '吃饭', '吗']</t>
  </si>
  <si>
    <t>尼格买提帮化妆师追星李现</t>
  </si>
  <si>
    <t>['尼格', '买', '提帮', '化妆', '化妆师', '追星', '李现']</t>
  </si>
  <si>
    <t>邓紫棋秃头粉丝现场求假发</t>
  </si>
  <si>
    <t>['邓紫棋', '秃头', '粉丝', '现场', '求', '假发']</t>
  </si>
  <si>
    <t>伸手给你好运</t>
  </si>
  <si>
    <t>['伸手', '给', '你', '好运']</t>
  </si>
  <si>
    <t>当代女生的消费观</t>
  </si>
  <si>
    <t>['当代', '女生', '的', '消费', '消费观']</t>
  </si>
  <si>
    <t>马斯克Model 3交付现场尬舞</t>
  </si>
  <si>
    <t>['马斯克', 'Model', ' ', '3', '交付', '现场', '尬', '舞']</t>
  </si>
  <si>
    <t>任嘉伦谭松韵在线发糖</t>
  </si>
  <si>
    <t>['任嘉伦', '谭松韵', '在线', '发糖']</t>
  </si>
  <si>
    <t>何赛终于穿裙子了</t>
  </si>
  <si>
    <t>['何赛', '终于', '穿', '裙子', '了']</t>
  </si>
  <si>
    <t>神秘双胞胎怀疑被拐</t>
  </si>
  <si>
    <t>['神秘', '双胞', '胞胎', '双胞胎', '怀疑', '被', '拐']</t>
  </si>
  <si>
    <t>罗斯重返全明星技巧大赛</t>
  </si>
  <si>
    <t>['罗斯', '重返', '明星', '全明星', '技巧', '大赛']</t>
  </si>
  <si>
    <t>艾伦探班陈乔恩</t>
  </si>
  <si>
    <t>['艾伦', '探班', '陈乔恩']</t>
  </si>
  <si>
    <t>蔡徐坤自曝参加青你2原因</t>
  </si>
  <si>
    <t>['蔡', '徐坤', '自', '曝', '参加', '青', '你', '2', '原因']</t>
  </si>
  <si>
    <t>朱丹最害怕听到的英文单词</t>
  </si>
  <si>
    <t>['朱丹', '最', '害怕', '听到', '的', '英文', '单词', '英文单词']</t>
  </si>
  <si>
    <t>因为长得像陈萍萍被删好友</t>
  </si>
  <si>
    <t>['因为', '长得', '像', '陈萍萍', '被删', '好友']</t>
  </si>
  <si>
    <t>伊拉克首都发生爆炸</t>
  </si>
  <si>
    <t>['伊拉', '拉克', '伊拉克', '首都', '发生', '爆炸', '发生爆炸']</t>
  </si>
  <si>
    <t>王俊凯休闲裤里面套牛仔裤</t>
  </si>
  <si>
    <t>['王俊凯', '休闲', '休闲裤', '里面', '套', '牛仔', '牛仔裤']</t>
  </si>
  <si>
    <t>乌克兰基本排除操作失误致客机坠毁</t>
  </si>
  <si>
    <t>['克兰', '乌克兰', '基本', '排除', '操作', '失误', '操作失误', '致', '客机', '坠毁']</t>
  </si>
  <si>
    <t>比伯患莱姆病</t>
  </si>
  <si>
    <t>['比伯患', '莱姆', '莱姆病']</t>
  </si>
  <si>
    <t>百名大学生地下停车场背书</t>
  </si>
  <si>
    <t>['百名', '大学', '学生', '大学生', '地下', '停车', '车场', '停车场', '背书']</t>
  </si>
  <si>
    <t>美脱口秀主持人吐槽特朗普</t>
  </si>
  <si>
    <t>['美', '脱口', '脱口秀', '主持', '主持人', '吐槽', '特朗普']</t>
  </si>
  <si>
    <t>肖战张艺兴神仙同框</t>
  </si>
  <si>
    <t>['肖战', '张艺兴', '神仙', '同框']</t>
  </si>
  <si>
    <t>澳大利亚山火有多严重</t>
  </si>
  <si>
    <t>['大利', '利亚', '澳大利', '澳大利亚', '山火', '有', '多', '严重']</t>
  </si>
  <si>
    <t>大雪封路老师扛40斤试卷走2小时</t>
  </si>
  <si>
    <t>['大雪', '封路', '老师', '扛', '40', '斤', '试卷', '走', '2', '小时']</t>
  </si>
  <si>
    <t>女孩华山遇害案被告获死刑</t>
  </si>
  <si>
    <t>['女孩', '华山', '遇害', '遇害案', '被告', '获', '死刑']</t>
  </si>
  <si>
    <t>2020武汉初雪</t>
  </si>
  <si>
    <t>['2020', '武汉', '初雪']</t>
  </si>
  <si>
    <t>2020/01/10</t>
  </si>
  <si>
    <t>被大火烧伤的考拉抱头蜷缩</t>
  </si>
  <si>
    <t>['被', '大火', '烧伤', '的', '考拉', '抱头', '蜷缩']</t>
  </si>
  <si>
    <t>伊朗拒绝美国参与空难调查</t>
  </si>
  <si>
    <t>['伊朗', '拒绝', '美国', '参与', '空难', '调查']</t>
  </si>
  <si>
    <t>宋丹丹喊张一山儿子</t>
  </si>
  <si>
    <t>['丹丹', '宋丹丹', '喊张', '一山', '儿子']</t>
  </si>
  <si>
    <t>杨紫从高中就没拿过压岁钱</t>
  </si>
  <si>
    <t>['杨', '紫', '从', '高中', '就', '没拿过', '压岁', '压岁钱']</t>
  </si>
  <si>
    <t>肖战为工作室logo申请版权</t>
  </si>
  <si>
    <t>['肖战为', '工作', '工作室', 'logo', '申请', '版权']</t>
  </si>
  <si>
    <t>王源 饭点的时候最想家</t>
  </si>
  <si>
    <t>['王源', ' ', '饭点', '的', '时候', '最想家']</t>
  </si>
  <si>
    <t>你敢和王菲一样真实吗</t>
  </si>
  <si>
    <t>['你', '敢', '和', '王菲', '一样', '真实', '吗']</t>
  </si>
  <si>
    <t>宫里来的福</t>
  </si>
  <si>
    <t>['宫里', '里来', '宫里来', '的', '福']</t>
  </si>
  <si>
    <t>国家最高科学技术奖</t>
  </si>
  <si>
    <t>['国家', '最高', '科学', '技术', '科学技术', '奖']</t>
  </si>
  <si>
    <t>李兰迪扇耳光戏</t>
  </si>
  <si>
    <t>['李兰迪扇', '耳光', '戏']</t>
  </si>
  <si>
    <t>杨幂演反派超A</t>
  </si>
  <si>
    <t>['杨幂', '演', '反派', '超', 'A']</t>
  </si>
  <si>
    <t>澳洲山火内部景象曝光</t>
  </si>
  <si>
    <t>['澳洲', '山火', '内部', '景象', '曝光']</t>
  </si>
  <si>
    <t>Ella的高跟鞋</t>
  </si>
  <si>
    <t>['Ella', '的', '高跟鞋']</t>
  </si>
  <si>
    <t>吴京徐峥手挽手领奖</t>
  </si>
  <si>
    <t>['吴京', '徐峥', '挽手', '手挽手', '领奖']</t>
  </si>
  <si>
    <t>2020春运第一天</t>
  </si>
  <si>
    <t>['2020', '春运', '第一', '一天', '第一天']</t>
  </si>
  <si>
    <t>澳洲山火里的小考拉</t>
  </si>
  <si>
    <t>['澳洲', '山火', '里', '的', '小', '考拉']</t>
  </si>
  <si>
    <t>美英加拿大怀疑伊朗错误击落客机</t>
  </si>
  <si>
    <t>['美英', '加拿', '加拿大', '怀疑', '伊朗', '错误', '击落', '客机']</t>
  </si>
  <si>
    <t>边防战士与妻女视频落泪</t>
  </si>
  <si>
    <t>['边防', '防战', '战士', '边防战士', '与', '妻女', '视频', '落泪']</t>
  </si>
  <si>
    <t>baby冬日清宫装</t>
  </si>
  <si>
    <t>['baby', '冬日', '清宫', '装']</t>
  </si>
  <si>
    <t>于和伟还原当代追星女孩</t>
  </si>
  <si>
    <t>['于和伟', '还原', '当代', '追星', '女孩']</t>
  </si>
  <si>
    <t>杨紫教李佳琦自创英语</t>
  </si>
  <si>
    <t>['杨紫教', '李佳琦', '自创', '英语']</t>
  </si>
  <si>
    <t>邓紫棋 夜里特别想要吃外卖</t>
  </si>
  <si>
    <t>['邓紫棋', ' ', '夜里', '特别', '想要', '吃', '外卖']</t>
  </si>
  <si>
    <t>李子柒方否认年收入1.6亿</t>
  </si>
  <si>
    <t>['李子', '柒方', '否认', '收入', '年收入', '1.6', '亿']</t>
  </si>
  <si>
    <t>又一枚火箭弹落在伊拉克美军基地附近</t>
  </si>
  <si>
    <t>['又', '一枚', '火箭', '火箭弹', '落', '在', '伊拉', '拉克', '伊拉克', '美军', '基地', '美军基地', '附近']</t>
  </si>
  <si>
    <t>吴青峰怼亲戚教学</t>
  </si>
  <si>
    <t>['吴', '青峰', '怼', '亲戚', '教学']</t>
  </si>
  <si>
    <t>湖南操场埋尸案二审维持原判</t>
  </si>
  <si>
    <t>['湖南', '操场', '埋尸', '二审', '案二审', '维持', '原判', '维持原判']</t>
  </si>
  <si>
    <t>蔡徐坤Lisa同台</t>
  </si>
  <si>
    <t>['蔡', '徐坤', 'Lisa', '同台']</t>
  </si>
  <si>
    <t>张一山回应刘星家很有钱</t>
  </si>
  <si>
    <t>['张一山', '回应', '刘星家', '很', '有钱']</t>
  </si>
  <si>
    <t>防弹少年团闵玧其Shadow</t>
  </si>
  <si>
    <t>['防弹', '少年', '团', '闵', '玧', '其', 'Shadow']</t>
  </si>
  <si>
    <t>小伙与父母站台相聚4分钟</t>
  </si>
  <si>
    <t>['小伙', '与', '父母', '站台', '相聚', '4', '分钟']</t>
  </si>
  <si>
    <t>张艺兴 身材</t>
  </si>
  <si>
    <t>['张艺兴', ' ', '身材']</t>
  </si>
  <si>
    <t>王宝强大战相扑</t>
  </si>
  <si>
    <t>['王宝', '强大', '战', '相扑']</t>
  </si>
  <si>
    <t>幼儿翻窗沿5楼外墙边缘奔跑</t>
  </si>
  <si>
    <t>['幼儿', '翻', '窗沿', '5', '楼', '外墙', '边缘', '奔跑']</t>
  </si>
  <si>
    <t>乡村爱情12定档</t>
  </si>
  <si>
    <t>['乡村', '爱情', '12', '定档']</t>
  </si>
  <si>
    <t>林更新李佳琦爆笑词语接龙</t>
  </si>
  <si>
    <t>['林', '更新', '李佳琦', '爆笑', '词语', '接龙']</t>
  </si>
  <si>
    <t>傅首尔 每个妈妈都是超人</t>
  </si>
  <si>
    <t>['傅', '首尔', ' ', '每个', '妈妈', '都', '是', '超人']</t>
  </si>
  <si>
    <t>乔欣 下衣失踪</t>
  </si>
  <si>
    <t>['乔欣', ' ', '下衣', '失踪']</t>
  </si>
  <si>
    <t>威少重返俄城</t>
  </si>
  <si>
    <t>['威少', '重返', '俄城']</t>
  </si>
  <si>
    <t>宋祖儿回应作业终于写完了</t>
  </si>
  <si>
    <t>['宋祖儿', '回应', '作业', '终于', '写', '完', '了']</t>
  </si>
  <si>
    <t>美众议院通过限制总统对伊朗动武决议</t>
  </si>
  <si>
    <t>['众议', '议院', '众议院', '美众议院', '通过', '限制', '总统', '对', '伊朗', '动武', '决议']</t>
  </si>
  <si>
    <t>战乱中的伊拉克小女孩</t>
  </si>
  <si>
    <t>['战乱', '中', '的', '伊拉', '拉克', '伊拉克', '小女', '女孩', '小女孩']</t>
  </si>
  <si>
    <t>2020/01/11</t>
  </si>
  <si>
    <t>你们就是白鹤少年吗</t>
  </si>
  <si>
    <t>['你们', '就是', '白鹤', '少年', '吗']</t>
  </si>
  <si>
    <t>胜利被申请拘捕令</t>
  </si>
  <si>
    <t>['胜利', '被', '申请', '拘捕', '令']</t>
  </si>
  <si>
    <t>徐峥回应和网红合拍</t>
  </si>
  <si>
    <t>['徐峥', '回应', '和', '网红', '合拍']</t>
  </si>
  <si>
    <t>伊朗承认意外击落乌克兰客机</t>
  </si>
  <si>
    <t>['伊朗', '承认', '意外', '击落', '克兰', '乌克兰', '客机']</t>
  </si>
  <si>
    <t>王俊凯裤子是假两件</t>
  </si>
  <si>
    <t>['王俊凯', '裤子', '是', '假', '两件']</t>
  </si>
  <si>
    <t>一级演员为临终老人清唱越剧</t>
  </si>
  <si>
    <t>['一级', '演员', '为', '临终', '老人', '清唱', '越剧']</t>
  </si>
  <si>
    <t>王一博财神造型</t>
  </si>
  <si>
    <t>['王一博', '财神', '造型']</t>
  </si>
  <si>
    <t>小伙加塞被拦下来哭诉我太难了</t>
  </si>
  <si>
    <t>['小伙', '加塞', '被', '拦', '下来', '哭诉', '我太难', '了']</t>
  </si>
  <si>
    <t>小学奖优秀学生每人2斤猪肉</t>
  </si>
  <si>
    <t>['小学', '奖', '优秀', '学生', '优秀学生', '每人', '2', '斤', '猪肉']</t>
  </si>
  <si>
    <t>特朗普建议中东加入北约</t>
  </si>
  <si>
    <t>['特朗普', '建议', '中东', '加入', '北约']</t>
  </si>
  <si>
    <t>徐峥想和娄烨合作</t>
  </si>
  <si>
    <t>['徐峥', '想', '和', '娄烨', '合作']</t>
  </si>
  <si>
    <t>杜海涛和妈妈跳夹腿舞</t>
  </si>
  <si>
    <t>['杜', '海涛', '和', '妈妈', '跳', '夹', '腿', '舞']</t>
  </si>
  <si>
    <t>吴世勋朴灿烈机场被挤</t>
  </si>
  <si>
    <t>['吴世勋', '朴灿烈', '机场', '被', '挤']</t>
  </si>
  <si>
    <t>李现 记忆最深刻的土味情话</t>
  </si>
  <si>
    <t>['李现', ' ', '记忆', '最', '深刻', '的', '土味', '情话']</t>
  </si>
  <si>
    <t>见过混得最好的爷爷</t>
  </si>
  <si>
    <t>['见过', '混得', '最好', '的', '爷爷']</t>
  </si>
  <si>
    <t>张韶涵学东北话</t>
  </si>
  <si>
    <t>['张韶涵', '学', '东北', '话']</t>
  </si>
  <si>
    <t>火箭军军犬也逃不过考试</t>
  </si>
  <si>
    <t>['火箭', '军', '军犬', '也', '不过', '逃不过', '考试']</t>
  </si>
  <si>
    <t>陈立农 立定跳远两米九</t>
  </si>
  <si>
    <t>['陈立农', ' ', '立定', '跳远', '两米', '九']</t>
  </si>
  <si>
    <t>娄艺潇试镜胡一菲画面</t>
  </si>
  <si>
    <t>['娄艺潇', '试镜', '胡一菲', '画面']</t>
  </si>
  <si>
    <t>94岁核潜艇专家狂撒亿吨狗粮</t>
  </si>
  <si>
    <t>['94', '岁', '潜艇', '核潜艇', '专家', '狂撒', '亿吨', '狗', '粮']</t>
  </si>
  <si>
    <t>周杰伦为母亲掌镜拍照</t>
  </si>
  <si>
    <t>['周杰伦', '为', '母亲', '掌镜', '拍照']</t>
  </si>
  <si>
    <t>周震南粉丝扮奥特曼应援</t>
  </si>
  <si>
    <t>['周震南', '粉丝', '扮', '奥特', '特曼', '奥特曼', '应援']</t>
  </si>
  <si>
    <t>特朗普称自己应获诺贝尔和平奖</t>
  </si>
  <si>
    <t>['特朗普', '称', '自己', '应获', '诺贝', '贝尔', '和平', '诺贝尔', '和平奖', '诺贝尔和平奖']</t>
  </si>
  <si>
    <t>南京杀妻碎尸案已判决</t>
  </si>
  <si>
    <t>['南京', '杀妻', '碎尸案', '已', '判决']</t>
  </si>
  <si>
    <t>突然回家后家人的反应</t>
  </si>
  <si>
    <t>['突然', '回家', '后', '家人', '的', '反应']</t>
  </si>
  <si>
    <t>林书豪穿高以翔送的西装</t>
  </si>
  <si>
    <t>['书豪', '林书豪', '穿', '高', '以翔', '送', '的', '西装']</t>
  </si>
  <si>
    <t>张翰阚清子聊真朋友</t>
  </si>
  <si>
    <t>['张翰', '阚清子', '聊真', '朋友']</t>
  </si>
  <si>
    <t>中国天眼正式开放运行</t>
  </si>
  <si>
    <t>['中国', '天眼', '正式', '开放', '运行']</t>
  </si>
  <si>
    <t>丈夫雨夜抱住患癌出走妻子</t>
  </si>
  <si>
    <t>['丈夫', '雨夜', '抱住', '患癌', '出走', '妻子']</t>
  </si>
  <si>
    <t>孙红雷 老许你要老婆不要</t>
  </si>
  <si>
    <t>['孙红雷', ' ', '老许', '你', '要', '老婆', '不要']</t>
  </si>
  <si>
    <t>俄美军舰在阿拉伯海上险些相撞</t>
  </si>
  <si>
    <t>['俄美', '军舰', '在', '阿拉', '拉伯', '阿拉伯', '阿拉伯海', '上', '险些', '相撞']</t>
  </si>
  <si>
    <t>钟汉良庾澄庆阿云嘎灯牌</t>
  </si>
  <si>
    <t>['钟汉良', '庾澄庆', '阿云嘎', '灯牌']</t>
  </si>
  <si>
    <t>2020/01/12</t>
  </si>
  <si>
    <t>王一博铆钉皮衣套装</t>
  </si>
  <si>
    <t>['王一博', '铆钉', '皮衣', '套装']</t>
  </si>
  <si>
    <t>女高管偷空样板间给儿子装婚房</t>
  </si>
  <si>
    <t>['女高管', '偷空', '样板', '样板间', '给', '儿子', '装婚', '房']</t>
  </si>
  <si>
    <t>吴亦凡绯闻女友秦牛正威参加选秀</t>
  </si>
  <si>
    <t>['吴亦凡', '绯闻', '女友', '秦牛', '正威', '参加', '选秀']</t>
  </si>
  <si>
    <t>刘昊然土拨鼠尖叫</t>
  </si>
  <si>
    <t>['刘昊然', '土拨鼠', '尖叫']</t>
  </si>
  <si>
    <t>寒假来了</t>
  </si>
  <si>
    <t>['寒假', '来', '了']</t>
  </si>
  <si>
    <t>徐峥投喂王一博</t>
  </si>
  <si>
    <t>['徐峥', '投', '喂', '王一博']</t>
  </si>
  <si>
    <t>蔡少芬张晋结婚12周年</t>
  </si>
  <si>
    <t>['蔡少芬', '张晋', '结婚', '12', '周年']</t>
  </si>
  <si>
    <t>蔡英文当选台湾地区领导人</t>
  </si>
  <si>
    <t>['蔡', '英文', '当选', '台湾', '地区', '台湾地区', '领导', '领导人']</t>
  </si>
  <si>
    <t>男子停车失误跌落3层楼底</t>
  </si>
  <si>
    <t>['男子', '停车', '失误', '跌落', '3', '层楼', '底']</t>
  </si>
  <si>
    <t>变身奥义</t>
  </si>
  <si>
    <t>['变身', '奥义']</t>
  </si>
  <si>
    <t>J姐分手</t>
  </si>
  <si>
    <t>['J', '姐', '分手']</t>
  </si>
  <si>
    <t>白岩松拜托民政部门2月2日开门</t>
  </si>
  <si>
    <t>['白岩松', '拜托', '民政', '部门', '民政部', '民政部门', '2', '月', '2', '日', '开门']</t>
  </si>
  <si>
    <t>女子冒充家长欲领走男童</t>
  </si>
  <si>
    <t>['女子', '冒充', '家长', '欲', '领走', '男童']</t>
  </si>
  <si>
    <t>李佳航 孤独探戈</t>
  </si>
  <si>
    <t>['李佳航', ' ', '孤独', '探戈']</t>
  </si>
  <si>
    <t>孙耀威美声版小摩托</t>
  </si>
  <si>
    <t>['孙耀威', '美声', '版小', '摩托']</t>
  </si>
  <si>
    <t>女子称受马云邀请离家千里做直播</t>
  </si>
  <si>
    <t>['女子', '称受', '马云', '邀请', '离家', '千里', '做', '直播']</t>
  </si>
  <si>
    <t>乌克兰客机曾被要求转弯</t>
  </si>
  <si>
    <t>['克兰', '乌克兰', '客机', '曾', '被', '要求', '转弯']</t>
  </si>
  <si>
    <t>张含韵配音马冬梅</t>
  </si>
  <si>
    <t>['张含韵', '配音', '马冬梅']</t>
  </si>
  <si>
    <t>大货车高速过路费17万</t>
  </si>
  <si>
    <t>['大', '货车', '高速', '过路', '路费', '过路费', '17', '万']</t>
  </si>
  <si>
    <t>周杰伦为粉丝买单</t>
  </si>
  <si>
    <t>['周杰伦', '为', '粉丝', '买单']</t>
  </si>
  <si>
    <t>澳总理承认应对山火存在失误</t>
  </si>
  <si>
    <t>['澳', '总理', '承认', '应对', '山火', '存在', '失误']</t>
  </si>
  <si>
    <t>朱丹念热巴娜扎绕口令</t>
  </si>
  <si>
    <t>['朱丹念', '热巴', '娜', '扎', '口令', '绕口令']</t>
  </si>
  <si>
    <t>雷佳音给自己拜年</t>
  </si>
  <si>
    <t>['雷', '佳音', '给', '自己', '拜年']</t>
  </si>
  <si>
    <t>期末评语是自己名字的藏头诗</t>
  </si>
  <si>
    <t>['期末', '评语', '是', '自己', '名字', '的', '藏头', '藏头诗']</t>
  </si>
  <si>
    <t>央视曝光宰客长途客车</t>
  </si>
  <si>
    <t>['央视', '曝光', '宰客', '长途', '客车', '长途客车']</t>
  </si>
  <si>
    <t>易建联被熊猫吓出表情包</t>
  </si>
  <si>
    <t>['易建联', '被', '熊猫', '吓', '出', '表情', '包']</t>
  </si>
  <si>
    <t>故宫年夜饭每桌6688元</t>
  </si>
  <si>
    <t>['故宫', '年夜', '夜饭', '年夜饭', '每桌', '6688', '元']</t>
  </si>
  <si>
    <t>黄旭华只戴母亲的围巾</t>
  </si>
  <si>
    <t>['黄旭华', '只', '戴', '母亲', '的', '围巾']</t>
  </si>
  <si>
    <t>重庆砸死女生坠楼者家属尚未找到</t>
  </si>
  <si>
    <t>['重庆', '砸死', '女生', '坠楼', '者', '家属', '尚未', '找到']</t>
  </si>
  <si>
    <t>农民工凑28元车站吃散伙饭</t>
  </si>
  <si>
    <t>['农民', '民工', '农民工', '凑', '28', '元', '车站', '吃', '散伙', '散伙饭']</t>
  </si>
  <si>
    <t>紧急救援路演</t>
  </si>
  <si>
    <t>['紧急', '救援', '路演']</t>
  </si>
  <si>
    <t>兵哥哥零下20度进行冰桶挑战</t>
  </si>
  <si>
    <t>['兵哥', '哥哥', '兵哥哥', '零下', '20', '度', '进行', '冰桶', '挑战']</t>
  </si>
  <si>
    <t>奥地利最美小镇呼吁游客少来</t>
  </si>
  <si>
    <t>['地利', '奥地利', '最美', '小镇', '呼吁', '游客', '少来']</t>
  </si>
  <si>
    <t>大爷堆出荡秋千的雪人</t>
  </si>
  <si>
    <t>['大爷', '堆出', '秋千', '荡秋千', '的', '雪人']</t>
  </si>
  <si>
    <t>林依轮追星肖战</t>
  </si>
  <si>
    <t>['林依轮', '追星', '肖战']</t>
  </si>
  <si>
    <t>当姥姥遇到泡腾片</t>
  </si>
  <si>
    <t>['当', '姥姥', '遇到', '泡腾片']</t>
  </si>
  <si>
    <t>2020/01/13</t>
  </si>
  <si>
    <t>朱丹强忍泪水回应口误</t>
  </si>
  <si>
    <t>['朱丹', '强忍', '泪水', '回应', '口误']</t>
  </si>
  <si>
    <t>大张伟机场送窗花</t>
  </si>
  <si>
    <t>['大张', '大张伟', '机场', '送', '窗花']</t>
  </si>
  <si>
    <t>邓紫棋与男友合拍抖音</t>
  </si>
  <si>
    <t>['邓紫棋', '与', '男友', '合拍', '抖音']</t>
  </si>
  <si>
    <t>张志超案13年后再审宣判无罪</t>
  </si>
  <si>
    <t>['张志', '超案', '13', '年', '后', '再审', '宣判', '无罪', '宣判无罪']</t>
  </si>
  <si>
    <t>年龄计算器</t>
  </si>
  <si>
    <t>['年龄', '计算', '算器', '计算器']</t>
  </si>
  <si>
    <t>贵州贪官往下水道倒茅台倒不尽</t>
  </si>
  <si>
    <t>['贵州', '贪官', '往', '下水', '水道', '下水道', '倒', '茅台', '倒', '不尽']</t>
  </si>
  <si>
    <t>新郎立功喜报空降婚礼现场</t>
  </si>
  <si>
    <t>['新郎', '立功', '喜报', '立功喜报', '空降', '婚礼', '现场']</t>
  </si>
  <si>
    <t>长在王一博笑点上的钱枫</t>
  </si>
  <si>
    <t>['长', '在', '王一博笑', '点', '上', '的', '钱枫']</t>
  </si>
  <si>
    <t>子乔美嘉领证</t>
  </si>
  <si>
    <t>['子', '乔美嘉', '领证']</t>
  </si>
  <si>
    <t>菲律宾火山喷发</t>
  </si>
  <si>
    <t>['菲律宾', '火山', '喷发']</t>
  </si>
  <si>
    <t>新年锦鲤wink</t>
  </si>
  <si>
    <t>['新年', '锦鲤', 'wink']</t>
  </si>
  <si>
    <t>看我怎么回家过年</t>
  </si>
  <si>
    <t>['看', '我', '怎么', '回家', '过年']</t>
  </si>
  <si>
    <t>欧文复出11中10</t>
  </si>
  <si>
    <t>['欧文', '复出', '11', '中', '10']</t>
  </si>
  <si>
    <t>SM确认金钟大结婚</t>
  </si>
  <si>
    <t>['SM', '确认', '金钟', '大', '结婚']</t>
  </si>
  <si>
    <t>金钟大承认恋情</t>
  </si>
  <si>
    <t>['金钟', '大', '承认', '恋情']</t>
  </si>
  <si>
    <t>王一博给大张伟贴双眼皮贴</t>
  </si>
  <si>
    <t>['王一博', '给', '大张', '大张伟', '贴', '双眼', '眼皮', '双眼皮', '贴']</t>
  </si>
  <si>
    <t>33岁男子收到父母催婚歌伴舞</t>
  </si>
  <si>
    <t>['33', '岁', '男子', '收到', '父母', '催婚', '伴舞', '歌伴舞']</t>
  </si>
  <si>
    <t>李现 霸道总裁文案</t>
  </si>
  <si>
    <t>['李现', ' ', '霸道', '总裁', '文案']</t>
  </si>
  <si>
    <t>ZICO请夏跳舞</t>
  </si>
  <si>
    <t>['ZICO', '请夏', '跳舞']</t>
  </si>
  <si>
    <t>张庭陶虹戏精上身</t>
  </si>
  <si>
    <t>['张庭', '陶虹', '戏精', '上身']</t>
  </si>
  <si>
    <t>肖战银发精灵</t>
  </si>
  <si>
    <t>['肖战', '银发', '精灵']</t>
  </si>
  <si>
    <t>高中生NASA实习3天发现新行星</t>
  </si>
  <si>
    <t>['高中', '中生', '高中生', 'NASA', '实习', '3', '天', '发现', '新', '行星']</t>
  </si>
  <si>
    <t>宸荨樱桃发律师函</t>
  </si>
  <si>
    <t>['宸', '荨', '樱桃', '发', '律师', '律师函']</t>
  </si>
  <si>
    <t>考试结果决定了回家方式</t>
  </si>
  <si>
    <t>['考试', '结果', '决定', '了', '回家', '方式']</t>
  </si>
  <si>
    <t>民警举盾牌冲进滚石区救人</t>
  </si>
  <si>
    <t>['民警', '举', '盾牌', '冲', '进', '滚石', '区', '救人']</t>
  </si>
  <si>
    <t>放寒假后的真实状态</t>
  </si>
  <si>
    <t>['寒假', '放寒假', '后', '的', '真实', '状态']</t>
  </si>
  <si>
    <t>哨所军人配发一猫一狗防孤独</t>
  </si>
  <si>
    <t>['哨所', '军人', '配发', '一猫', '一狗防', '孤独']</t>
  </si>
  <si>
    <t>肖战复古disco</t>
  </si>
  <si>
    <t>['肖战', '复古', 'disco']</t>
  </si>
  <si>
    <t>张志超无罪释放受访</t>
  </si>
  <si>
    <t>['张志超', '无罪', '释放', '无罪释放', '受访']</t>
  </si>
  <si>
    <t>人生第一次家长会</t>
  </si>
  <si>
    <t>['人生', '第一', '一次', '第一次', '家长', '家长会']</t>
  </si>
  <si>
    <t>4名被绑架中国船员平安获释</t>
  </si>
  <si>
    <t>['4', '名', '被', '绑架', '中国', '船员', '平安', '获释']</t>
  </si>
  <si>
    <t>伊朗司令就误击客机道歉</t>
  </si>
  <si>
    <t>['伊朗', '司令', '就', '误击', '客机', '道歉']</t>
  </si>
  <si>
    <t>女孩患罕见病ICU里生活11年</t>
  </si>
  <si>
    <t>['女孩', '患', '罕见', '病', 'ICU', '里', '生活', '11', '年']</t>
  </si>
  <si>
    <t>受伤考拉穿纸尿裤晒太阳复健</t>
  </si>
  <si>
    <t>['受伤', '考拉', '穿', '纸尿裤', '太阳', '晒太阳', '复健']</t>
  </si>
  <si>
    <t>洛瑞倒地后起身亲吻儿子</t>
  </si>
  <si>
    <t>['洛瑞', '倒地', '后', '起身', '亲吻', '儿子']</t>
  </si>
  <si>
    <t>爱情公寓谐音梗</t>
  </si>
  <si>
    <t>['爱情', '公寓', '谐音', '梗']</t>
  </si>
  <si>
    <t>国企一晚喝16万茅台酒</t>
  </si>
  <si>
    <t>['国企', '一晚', '喝', '16', '万', '茅台', '茅台酒']</t>
  </si>
  <si>
    <t>面包车转弯飞出煤气罐</t>
  </si>
  <si>
    <t>['面包', '包车', '面包车', '转弯', '飞', '出', '煤气', '气罐', '煤气罐']</t>
  </si>
  <si>
    <t>海默谈恋爱了</t>
  </si>
  <si>
    <t>['海默', '恋爱', '谈恋爱', '了']</t>
  </si>
  <si>
    <t>孙子拉小车车遛爷爷</t>
  </si>
  <si>
    <t>['孙子', '拉', '小车', '车', '遛', '爷爷']</t>
  </si>
  <si>
    <t>自动哄女友键盘</t>
  </si>
  <si>
    <t>['自动', '哄', '女友', '键盘']</t>
  </si>
  <si>
    <t>具荷拉生前MV公开</t>
  </si>
  <si>
    <t>['具荷', '拉', '生前', 'MV', '公开']</t>
  </si>
  <si>
    <t>清华学生的无奈</t>
  </si>
  <si>
    <t>['清华', '学生', '的', '无奈']</t>
  </si>
  <si>
    <t>2020/01/14</t>
  </si>
  <si>
    <t>蔡徐坤体重</t>
  </si>
  <si>
    <t>['蔡', '徐坤', '体重']</t>
  </si>
  <si>
    <t>央视春晚彩排</t>
  </si>
  <si>
    <t>['央视', '春晚', '央视春晚', '彩排']</t>
  </si>
  <si>
    <t>西宁路面塌陷已致6人遇难</t>
  </si>
  <si>
    <t>['西宁', '路面', '塌陷', '已致', '6', '人', '遇难']</t>
  </si>
  <si>
    <t>考拉或将被列为濒危物种</t>
  </si>
  <si>
    <t>['考拉', '或', '将', '被', '列为', '濒危', '物种']</t>
  </si>
  <si>
    <t>刘宇宁孤单探戈</t>
  </si>
  <si>
    <t>['刘宇宁', '孤单', '探戈']</t>
  </si>
  <si>
    <t>美国取消对中国汇率操纵国认定</t>
  </si>
  <si>
    <t>['美国', '取消', '对', '中国', '汇率', '操纵', '国', '认定']</t>
  </si>
  <si>
    <t>易烊千玺倡导双面打印</t>
  </si>
  <si>
    <t>['易', '烊', '千玺', '倡导', '双面', '打印']</t>
  </si>
  <si>
    <t>用总裁和夫人造句</t>
  </si>
  <si>
    <t>['用', '总裁', '和', '夫人', '造句']</t>
  </si>
  <si>
    <t>张子枫艺考</t>
  </si>
  <si>
    <t>['张子枫', '艺考']</t>
  </si>
  <si>
    <t>宋茜给粉丝点鲍鱼饭</t>
  </si>
  <si>
    <t>['宋茜', '给', '粉丝', '点', '鲍鱼', '饭']</t>
  </si>
  <si>
    <t>中国大爷遛鸟VS外国大爷遛鸟</t>
  </si>
  <si>
    <t>['中国', '大爷', '遛鸟', 'VS', '外国', '大爷', '遛鸟']</t>
  </si>
  <si>
    <t>伊朗严厉复仇议案生效</t>
  </si>
  <si>
    <t>['伊朗', '严厉', '复仇', '议案', '生效']</t>
  </si>
  <si>
    <t>罗志祥和邓紫棋合拍</t>
  </si>
  <si>
    <t>['罗志', '祥和', '邓紫棋', '合拍']</t>
  </si>
  <si>
    <t>考拉去居民家和宠物狗同饮水</t>
  </si>
  <si>
    <t>['考拉', '去', '居民', '家', '和', '宠物', '宠物狗', '同', '饮水']</t>
  </si>
  <si>
    <t>沈腾cos蓝忘机</t>
  </si>
  <si>
    <t>['沈腾', 'cos', '蓝忘机']</t>
  </si>
  <si>
    <t>斯嘉丽获奥斯卡双提名</t>
  </si>
  <si>
    <t>['斯嘉丽', '获', '奥斯卡', '双', '提名']</t>
  </si>
  <si>
    <t>阿云嘎 不能跟战战一起坐飞机了</t>
  </si>
  <si>
    <t>['阿云嘎', ' ', '不能', '跟', '战战', '一起', '飞机', '坐飞机', '了']</t>
  </si>
  <si>
    <t>小朵第二集就死了</t>
  </si>
  <si>
    <t>['小朵', '第二', '二集', '第二集', '就', '死', '了']</t>
  </si>
  <si>
    <t>英女王表示尊重哈里夫妇决定</t>
  </si>
  <si>
    <t>['女王', '英女王', '表示', '尊重', '哈里', '夫妇', '决定']</t>
  </si>
  <si>
    <t>杜江霍思燕回应儿子被取外号</t>
  </si>
  <si>
    <t>['杜江', '霍思燕', '回应', '儿子', '被取', '外号']</t>
  </si>
  <si>
    <t>过年晚起被参观</t>
  </si>
  <si>
    <t>['过年', '晚起', '被', '参观']</t>
  </si>
  <si>
    <t>黄晓明火车站遭黄渤放鸽子</t>
  </si>
  <si>
    <t>['黄晓明', '火车', '车站', '火车站', '遭黄', '渤', '鸽子', '放鸽子']</t>
  </si>
  <si>
    <t>清华女学霸坚定选择要当兵</t>
  </si>
  <si>
    <t>['清华', '女学霸', '坚定', '选择', '要', '当兵']</t>
  </si>
  <si>
    <t>央视春晚联排</t>
  </si>
  <si>
    <t>['央视', '春晚', '央视春晚', '联排']</t>
  </si>
  <si>
    <t>用回家的诱惑打开爱情公寓</t>
  </si>
  <si>
    <t>['用', '回家', '的', '诱惑', '打开', '爱情', '公寓']</t>
  </si>
  <si>
    <t>宠物猫保护主人击退三头狼</t>
  </si>
  <si>
    <t>['宠物', '宠物猫', '保护', '主人', '击退', '三头', '狼']</t>
  </si>
  <si>
    <t>秦岭动物园大猩猩看报纸</t>
  </si>
  <si>
    <t>['秦岭', '动物', '动物园', '猩猩', '大猩猩', '看', '报纸']</t>
  </si>
  <si>
    <t>田馥甄 悬日</t>
  </si>
  <si>
    <t>['田馥', '甄', ' ', '悬日']</t>
  </si>
  <si>
    <t>肖战白马骑士造型</t>
  </si>
  <si>
    <t>['肖战', '白马', '骑士', '造型']</t>
  </si>
  <si>
    <t>伊朗女奥运季军逃亡欧洲</t>
  </si>
  <si>
    <t>['伊朗', '女', '奥运', '季军', '逃亡', '欧洲']</t>
  </si>
  <si>
    <t>张志超烧判决书祭奠父亲</t>
  </si>
  <si>
    <t>['张志', '超烧', '判决', '判决书', '祭奠', '父亲']</t>
  </si>
  <si>
    <t>杨超越赤脚踩雪</t>
  </si>
  <si>
    <t>['杨', '超越', '赤脚', '踩', '雪']</t>
  </si>
  <si>
    <t>警方回应朋友圈吐槽交警被拘</t>
  </si>
  <si>
    <t>['警方', '回应', '朋友', '朋友圈', '吐槽', '交警', '被', '拘']</t>
  </si>
  <si>
    <t>天天学习哪有缤纷世界</t>
  </si>
  <si>
    <t>['天天', '学习', '哪有', '缤纷', '世界']</t>
  </si>
  <si>
    <t>全国多地2月2日开放婚姻登记</t>
  </si>
  <si>
    <t>['全国', '多地', '2', '月', '2', '日', '开放', '婚姻', '登记', '婚姻登记']</t>
  </si>
  <si>
    <t>徐峥 来不及学钢琴了</t>
  </si>
  <si>
    <t>['徐峥', ' ', '不及', '来不及', '学', '钢琴', '了']</t>
  </si>
  <si>
    <t>中国航母之父刘华清</t>
  </si>
  <si>
    <t>['中国', '航母', '之', '父', '刘华清']</t>
  </si>
  <si>
    <t>张伟速成舞蹈教学</t>
  </si>
  <si>
    <t>['张伟', '速成', '舞蹈', '教学']</t>
  </si>
  <si>
    <t>2020/01/15</t>
  </si>
  <si>
    <t>上海市解除与捷克布拉格市友城关系</t>
  </si>
  <si>
    <t>['上海', '海市', '上海市', '解除', '与', '捷克', '布拉', '拉格', '布拉格', '市友城', '关系']</t>
  </si>
  <si>
    <t>农夫山泉涉毁林取水后续</t>
  </si>
  <si>
    <t>['农夫', '山泉', '农夫山泉', '涉', '毁林', '取水', '后续']</t>
  </si>
  <si>
    <t>情深深雨濛濛主演重聚</t>
  </si>
  <si>
    <t>['情', '深深', '雨', '濛濛', '主演', '重聚']</t>
  </si>
  <si>
    <t>Angelababy雀斑妆</t>
  </si>
  <si>
    <t>['Angelababy', '雀斑', '妆']</t>
  </si>
  <si>
    <t>漫威新英雄</t>
  </si>
  <si>
    <t>['漫威', '新', '英雄']</t>
  </si>
  <si>
    <t>戚薇自曝李承铉帮搓澡</t>
  </si>
  <si>
    <t>['戚薇', '自', '曝', '李承铉', '帮', '搓澡']</t>
  </si>
  <si>
    <t>肖战 需要学会复杂</t>
  </si>
  <si>
    <t>['肖战', ' ', '需要', '学会', '复杂']</t>
  </si>
  <si>
    <t>西宁路面塌陷黄衣少年被救出</t>
  </si>
  <si>
    <t>['西宁', '路面', '塌陷', '黄衣', '黄衣少', '年', '被', '救出']</t>
  </si>
  <si>
    <t>你是这么过年的吗</t>
  </si>
  <si>
    <t>['你', '是', '这么', '过年', '的', '吗']</t>
  </si>
  <si>
    <t>贫困乡为刷白墙竟花799万</t>
  </si>
  <si>
    <t>['贫困', '贫困乡', '为', '刷白', '墙', '竟花', '799', '万']</t>
  </si>
  <si>
    <t>2020奥斯卡提名</t>
  </si>
  <si>
    <t>['2020', '奥斯卡', '提名']</t>
  </si>
  <si>
    <t>贪官家中搜出674张购物卡</t>
  </si>
  <si>
    <t>['贪官', '家中', '搜出', '674', '张', '购物', '卡']</t>
  </si>
  <si>
    <t>朱祁镇上线</t>
  </si>
  <si>
    <t>['朱祁镇', '上线']</t>
  </si>
  <si>
    <t>明星过年最怕被亲戚问什么</t>
  </si>
  <si>
    <t>['明星', '过年', '最怕', '被', '亲戚', '问', '什么']</t>
  </si>
  <si>
    <t>马云的福字</t>
  </si>
  <si>
    <t>['马云', '的', '福字']</t>
  </si>
  <si>
    <t>张艺兴外国街头表演</t>
  </si>
  <si>
    <t>['张艺兴', '外国', '街头', '表演']</t>
  </si>
  <si>
    <t>出差三个月家里被洗劫一空</t>
  </si>
  <si>
    <t>['出差', '三个', '月', '家里', '被', '洗劫', '洗劫一空']</t>
  </si>
  <si>
    <t>00后清华女学霸瞒着父母参军</t>
  </si>
  <si>
    <t>['00', '后', '清华', '女学霸', '瞒', '着', '父母', '参军']</t>
  </si>
  <si>
    <t>西宁路面塌陷已致9人遇难</t>
  </si>
  <si>
    <t>['西宁', '路面', '塌陷', '已致', '9', '人', '遇难']</t>
  </si>
  <si>
    <t>1元纸币上的女拖拉机手梁军去世</t>
  </si>
  <si>
    <t>['1', '元', '纸币', '上', '的', '女', '拖拉', '机手', '拖拉机', '拖拉机手', '梁军', '去世']</t>
  </si>
  <si>
    <t>尹弘当选河南省省长</t>
  </si>
  <si>
    <t>['尹弘', '当选', '河南', '河南省', '省长']</t>
  </si>
  <si>
    <t>宋轶一个月用30瓶防晒</t>
  </si>
  <si>
    <t>['宋轶', '一个', '一个月', '用', '30', '瓶', '防晒']</t>
  </si>
  <si>
    <t>莫兰特vs哈登</t>
  </si>
  <si>
    <t>['莫', '兰特', 'vs', '哈登']</t>
  </si>
  <si>
    <t>医生连续手术站着睡着磕断门牙</t>
  </si>
  <si>
    <t>['医生', '连续', '手术', '站', '着', '睡着', '磕断', '门牙']</t>
  </si>
  <si>
    <t>泰国新型冠状病毒病例为武汉游客</t>
  </si>
  <si>
    <t>['泰国', '新型', '冠状', '病毒', '冠状病毒', '病例', '为', '武汉', '游客']</t>
  </si>
  <si>
    <t>2020年起取消高校自主招生</t>
  </si>
  <si>
    <t>['2020', '年', '起', '取消', '高校', '自主', '招生']</t>
  </si>
  <si>
    <t>刘昊然像极了近视的我</t>
  </si>
  <si>
    <t>['刘昊然', '像', '极了', '近视', '的', '我']</t>
  </si>
  <si>
    <t>被父母歌舞催婚上热搜后续</t>
  </si>
  <si>
    <t>['被', '父母', '歌舞', '催婚', '上', '热', '搜', '后续']</t>
  </si>
  <si>
    <t>伊朗2枚导弹击中乌客机画面</t>
  </si>
  <si>
    <t>['伊朗', '2', '枚', '导弹', '击中', '乌', '客机', '画面']</t>
  </si>
  <si>
    <t>5岁男娃近视1000度不可逆转</t>
  </si>
  <si>
    <t>['5', '岁', '男娃', '近视', '1000', '度', '不可', '可逆', '逆转', '不可逆转']</t>
  </si>
  <si>
    <t>澳大利亚已射杀5000头骆驼</t>
  </si>
  <si>
    <t>['大利', '利亚', '澳大利', '澳大利亚', '已', '射杀', '5000', '头', '骆驼']</t>
  </si>
  <si>
    <t>蔡徐坤扔纸飞机</t>
  </si>
  <si>
    <t>['蔡', '徐坤', '扔', '飞机', '纸飞机']</t>
  </si>
  <si>
    <t>珠海化工厂爆炸消防员关阀现场</t>
  </si>
  <si>
    <t>['珠海', '化工', '工厂', '化工厂', '爆炸', '消防', '消防员', '关阀', '现场']</t>
  </si>
  <si>
    <t>红包大会给你钱要不要</t>
  </si>
  <si>
    <t>['红包', '大会', '给', '你', '钱', '要', '不要']</t>
  </si>
  <si>
    <t>特朗普炮轰苹果</t>
  </si>
  <si>
    <t>['特朗普', '炮轰', '苹果']</t>
  </si>
  <si>
    <t>爸爸把孩子当行李放进安检仪</t>
  </si>
  <si>
    <t>['爸爸', '把', '孩子', '当', '行李', '放进', '安检', '仪']</t>
  </si>
  <si>
    <t>王诗龄近照</t>
  </si>
  <si>
    <t>['王诗龄', '近照']</t>
  </si>
  <si>
    <t>核心期刊发表10岁学生散文</t>
  </si>
  <si>
    <t>['核心', '期刊', '发表', '10', '岁', '学生', '散文']</t>
  </si>
  <si>
    <t>宋茜认出外国粉丝</t>
  </si>
  <si>
    <t>['宋茜', '认出', '外国', '粉丝']</t>
  </si>
  <si>
    <t>女乡长挪用扶贫款还赌债</t>
  </si>
  <si>
    <t>['女', '乡长', '挪用', '扶贫', '款', '还', '赌债']</t>
  </si>
  <si>
    <t>佟丽娅 春晚主持</t>
  </si>
  <si>
    <t>['佟丽娅', ' ', '春晚', '主持']</t>
  </si>
  <si>
    <t>2020/01/16</t>
  </si>
  <si>
    <t>罗志祥和邓紫棋抢榜一</t>
  </si>
  <si>
    <t>['罗志', '祥和', '邓紫棋', '抢', '榜', '一']</t>
  </si>
  <si>
    <t>杨紫模仿李佳琦</t>
  </si>
  <si>
    <t>['杨紫', '模仿', '李佳琦']</t>
  </si>
  <si>
    <t>俄政府全体辞职</t>
  </si>
  <si>
    <t>['政府', '俄政府', '全体', '辞职']</t>
  </si>
  <si>
    <t>丹麦反重力瀑布</t>
  </si>
  <si>
    <t>['丹麦', '反', '重力', '瀑布']</t>
  </si>
  <si>
    <t>农夫山泉取水地566棵树被毁</t>
  </si>
  <si>
    <t>['农夫', '山泉', '农夫山泉', '取水', '地', '566', '棵', '树', '被', '毁']</t>
  </si>
  <si>
    <t>你心里的东西可真多</t>
  </si>
  <si>
    <t>['你', '心里', '的', '东西', '真多', '可真多']</t>
  </si>
  <si>
    <t>赵忠祥因病去世</t>
  </si>
  <si>
    <t>['赵忠祥', '因', '病', '去世']</t>
  </si>
  <si>
    <t>够活才亲和</t>
  </si>
  <si>
    <t>['够', '活才', '亲', '和']</t>
  </si>
  <si>
    <t>出道吧醉美年宴</t>
  </si>
  <si>
    <t>['出道', '吧', '醉', '美年', '宴']</t>
  </si>
  <si>
    <t>王俊凯工作室辟谣恋情</t>
  </si>
  <si>
    <t>['王俊凯', '工作', '工作室', '辟谣', '恋情']</t>
  </si>
  <si>
    <t>王一博 囧妈主题曲</t>
  </si>
  <si>
    <t>['王一博', ' ', '囧', '妈', '主题', '主题曲']</t>
  </si>
  <si>
    <t>吴佳煜教腾格尔花手舞</t>
  </si>
  <si>
    <t>['吴佳煜教', '腾格尔', '花手', '舞']</t>
  </si>
  <si>
    <t>金钟大与女友约会照</t>
  </si>
  <si>
    <t>['金钟', '大', '与', '女友', '约会', '照']</t>
  </si>
  <si>
    <t>普京已接受俄政府辞职</t>
  </si>
  <si>
    <t>['普京', '已', '接受', '政府', '俄政府', '辞职']</t>
  </si>
  <si>
    <t>易烊千玺谈感情话题</t>
  </si>
  <si>
    <t>['易', '烊', '千玺', '谈', '感情', '话题']</t>
  </si>
  <si>
    <t>古巨基说何书桓渣</t>
  </si>
  <si>
    <t>['古巨基', '说', '何书桓渣']</t>
  </si>
  <si>
    <t>岳云鹏被网友P图与靳东撞衫</t>
  </si>
  <si>
    <t>['岳云鹏', '被', '网友', 'P', '图', '与', '靳东', '撞', '衫']</t>
  </si>
  <si>
    <t>张恒</t>
  </si>
  <si>
    <t>['张恒']</t>
  </si>
  <si>
    <t>信用卡欠175元没还如今变2万多</t>
  </si>
  <si>
    <t>['信用', '信用卡', '欠', '175', '元', '没', '还', '如今', '变', '2', '万多']</t>
  </si>
  <si>
    <t>1分钟回顾赵忠祥生前影像</t>
  </si>
  <si>
    <t>['1', '分钟', '回顾', '赵忠祥', '生前', '影像']</t>
  </si>
  <si>
    <t>杨紫为北京冬奥会倒计时报幕</t>
  </si>
  <si>
    <t>['杨紫为', '北京', '冬奥', '冬奥会', '倒计', '计时', '倒计时', '报幕']</t>
  </si>
  <si>
    <t>特朗普弹劾条款正式提交参议院</t>
  </si>
  <si>
    <t>['特朗普', '弹劾', '条款', '正式', '提交', '参议', '议院', '参议院']</t>
  </si>
  <si>
    <t>彭于晏 彭憨憨</t>
  </si>
  <si>
    <t>['彭于', '晏', ' ', '彭憨', '憨']</t>
  </si>
  <si>
    <t>沉浸式体验拖走大臣</t>
  </si>
  <si>
    <t>['沉浸', '式', '体验', '拖走', '大臣']</t>
  </si>
  <si>
    <t>春江花月夜改名赤狐书生</t>
  </si>
  <si>
    <t>['春江', '月夜', '春江花', '花月夜', '春江花月夜', '改名', '赤狐', '书生']</t>
  </si>
  <si>
    <t>消防员冒充孙子为老人送饭1095天</t>
  </si>
  <si>
    <t>['消防', '消防员', '冒充', '孙子', '为', '老人', '送饭', '1095', '天']</t>
  </si>
  <si>
    <t>普京打算提议梅德韦杰夫任新职</t>
  </si>
  <si>
    <t>['普京', '打算', '提议', '梅德韦', '杰夫', '任新职']</t>
  </si>
  <si>
    <t>醉驾玛莎拉蒂致2死案开庭</t>
  </si>
  <si>
    <t>['醉驾', '玛莎', '莎拉', '玛莎拉蒂', '致', '2', '死', '开庭', '案开庭']</t>
  </si>
  <si>
    <t>男子出差3月家中被女友搬空</t>
  </si>
  <si>
    <t>['男子', '出差', '3', '月', '家中', '被', '女友', '搬空']</t>
  </si>
  <si>
    <t>中国高铁第一股挂牌上市</t>
  </si>
  <si>
    <t>['中国', '高铁', '第一', '一股', '第一股', '挂牌', '上市']</t>
  </si>
  <si>
    <t>中美签署第一阶段经贸协议</t>
  </si>
  <si>
    <t>['中', '美', '签署', '第一', '阶段', '第一阶段', '经贸', '协议']</t>
  </si>
  <si>
    <t>八旬老翁买站票去北京</t>
  </si>
  <si>
    <t>['八旬', '老翁', '买', '站票', '去', '北京']</t>
  </si>
  <si>
    <t>动物世界配音</t>
  </si>
  <si>
    <t>['动物', '世界', '配音']</t>
  </si>
  <si>
    <t>王一博谈妈妈</t>
  </si>
  <si>
    <t>['王一博谈', '妈妈']</t>
  </si>
  <si>
    <t>西宁地陷救人男孩母亲遇难</t>
  </si>
  <si>
    <t>['西宁', '地', '陷', '救人', '男孩', '母亲', '遇难']</t>
  </si>
  <si>
    <t>男女叠坐开车同系一条安全带</t>
  </si>
  <si>
    <t>['男女', '叠', '坐', '开车', '同', '系', '一条', '安全', '安全带']</t>
  </si>
  <si>
    <t>军方清理丧生山火的动物尸体</t>
  </si>
  <si>
    <t>['军方', '清理', '丧生', '山火', '的', '动物', '尸体']</t>
  </si>
  <si>
    <t>孙文斌故意杀人被判死刑</t>
  </si>
  <si>
    <t>['孙文斌', '故意', '杀人', '被判', '死刑']</t>
  </si>
  <si>
    <t>刘亦菲马上翻跟头</t>
  </si>
  <si>
    <t>['刘亦菲', '马上', '跟头', '翻跟头']</t>
  </si>
  <si>
    <t>山东硬核妈妈花666元寄水饺套餐</t>
  </si>
  <si>
    <t>['山东', '硬核', '妈妈', '花', '666', '元', '寄', '水饺', '套餐']</t>
  </si>
  <si>
    <t>2020起实行一年两次征兵两次退役</t>
  </si>
  <si>
    <t>['2020', '起', '实行', '一年', '两次', '征兵', '两次', '退役']</t>
  </si>
  <si>
    <t>彭于晏熊抱张涵予</t>
  </si>
  <si>
    <t>['彭于', '晏熊', '抱', '张', '涵予']</t>
  </si>
  <si>
    <t>肖战 工作是我的女朋友</t>
  </si>
  <si>
    <t>['肖战', ' ', '工作', '是', '我', '的', '朋友', '女朋友']</t>
  </si>
  <si>
    <t>涩女郎阵容官宣</t>
  </si>
  <si>
    <t>['女郎', '涩女郎', '阵容', '官宣']</t>
  </si>
  <si>
    <t>考拉被喂过量水死亡</t>
  </si>
  <si>
    <t>['考拉', '被', '喂', '过量', '水', '死亡']</t>
  </si>
  <si>
    <t>周扬青帮罗志祥打榜</t>
  </si>
  <si>
    <t>['周扬', '青帮', '罗志祥', '打', '榜']</t>
  </si>
  <si>
    <t>2020/01/17</t>
  </si>
  <si>
    <t>张志超突发高血压住院</t>
  </si>
  <si>
    <t>['张志超', '突发', '血压', '高血压', '住院']</t>
  </si>
  <si>
    <t>诸葛大力应援舞</t>
  </si>
  <si>
    <t>['诸葛', '大力', '应援', '舞']</t>
  </si>
  <si>
    <t>醉驾玛莎拉蒂案伤者家属发声</t>
  </si>
  <si>
    <t>['醉驾', '玛莎', '莎拉', '玛莎拉蒂', '案', '伤者', '家属', '发声']</t>
  </si>
  <si>
    <t>发财中国年 集齐就有钱</t>
  </si>
  <si>
    <t>['发财', '中国', '年', ' ', '集齐', '就', '有钱']</t>
  </si>
  <si>
    <t>两名中国游客在冰岛意外身亡</t>
  </si>
  <si>
    <t>['两名', '中国', '游客', '在', '冰岛', '意外', '身亡']</t>
  </si>
  <si>
    <t>R1SE土味蹦迪</t>
  </si>
  <si>
    <t>['R1SE', '土味', '蹦迪']</t>
  </si>
  <si>
    <t>罗志祥回应争抖音爱dou榜</t>
  </si>
  <si>
    <t>['罗志祥', '回应', '争抖', '音爱', 'dou', '榜']</t>
  </si>
  <si>
    <t>肖战 怼脸照</t>
  </si>
  <si>
    <t>['肖战', ' ', '怼', '脸照']</t>
  </si>
  <si>
    <t>北京首钢宣布换回林书豪</t>
  </si>
  <si>
    <t>['北京', '首钢', '宣布', '换回', '书豪', '林书豪']</t>
  </si>
  <si>
    <t>林俊杰反向打卡粉丝</t>
  </si>
  <si>
    <t>['俊杰', '林俊杰', '反向', '打卡', '粉丝']</t>
  </si>
  <si>
    <t>淘宝账户被封980年</t>
  </si>
  <si>
    <t>['淘宝', '账户', '被', '封', '980', '年']</t>
  </si>
  <si>
    <t>吴宣仪cos青蛇</t>
  </si>
  <si>
    <t>['吴宣仪', 'cos', '青蛇']</t>
  </si>
  <si>
    <t>小年</t>
  </si>
  <si>
    <t>['小年']</t>
  </si>
  <si>
    <t>孕七月妻子悄悄来看消防员丈夫</t>
  </si>
  <si>
    <t>['孕', '七月', '妻子', '悄悄', '来看', '消防', '消防员', '丈夫']</t>
  </si>
  <si>
    <t>吴京春晚现场吃道具</t>
  </si>
  <si>
    <t>['吴京', '春晚', '现场', '吃', '道具']</t>
  </si>
  <si>
    <t>Lucky长大了</t>
  </si>
  <si>
    <t>['Lucky', '长大', '了']</t>
  </si>
  <si>
    <t>外卖小哥一路狂追抓小偷</t>
  </si>
  <si>
    <t>['外卖', '小哥', '一路', '狂', '追', '小偷', '抓小偷']</t>
  </si>
  <si>
    <t>泫雅脏辫</t>
  </si>
  <si>
    <t>['泫', '雅脏', '辫']</t>
  </si>
  <si>
    <t>当肖战遇上郎朗</t>
  </si>
  <si>
    <t>['当肖战', '遇上', '郎朗']</t>
  </si>
  <si>
    <t>娄艺潇再现累字舞</t>
  </si>
  <si>
    <t>['娄艺潇', '再现', '累字舞']</t>
  </si>
  <si>
    <t>王俊凯 粉色毛衣</t>
  </si>
  <si>
    <t>['王俊凯', ' ', '粉色', '毛衣']</t>
  </si>
  <si>
    <t>澳大利亚人雨中狂喜</t>
  </si>
  <si>
    <t>['大利', '利亚', '澳大利', '利亚人', '澳大利亚人', '雨中', '狂喜']</t>
  </si>
  <si>
    <t>王一博对头盔表白</t>
  </si>
  <si>
    <t>['王一博', '对', '头盔', '表白']</t>
  </si>
  <si>
    <t>吴亦凡冰川蓝镂空西装</t>
  </si>
  <si>
    <t>['吴亦凡', '冰川', '蓝', '镂空', '西装']</t>
  </si>
  <si>
    <t>男子点燃流浪汉被子后淡定看戏</t>
  </si>
  <si>
    <t>['男子', '点燃', '流浪', '流浪汉', '被子', '后淡定', '看戏']</t>
  </si>
  <si>
    <t>易烊千玺式拒酒</t>
  </si>
  <si>
    <t>['易', '烊', '千玺式', '拒酒']</t>
  </si>
  <si>
    <t>偶遇5年前救命消防员下跪感恩</t>
  </si>
  <si>
    <t>['偶遇', '5', '年前', '救命', '消防', '消防员', '下跪', '感恩']</t>
  </si>
  <si>
    <t>李现陈立农 史上最廉价预告</t>
  </si>
  <si>
    <t>['李现', '陈立农', ' ', '史上', '最', '廉价', '预告']</t>
  </si>
  <si>
    <t>当南方兵哥哥遇上北方的雪</t>
  </si>
  <si>
    <t>['当', '南方', '兵哥', '哥哥', '兵哥哥', '遇上', '北方', '的', '雪']</t>
  </si>
  <si>
    <t>郑爽送徐洋甘蔗</t>
  </si>
  <si>
    <t>['郑爽', '送', '徐洋', '甘蔗']</t>
  </si>
  <si>
    <t>薛之谦 认真减肥</t>
  </si>
  <si>
    <t>['薛之谦', ' ', '认真', '减肥']</t>
  </si>
  <si>
    <t>湖南卫视春晚主持人阵容</t>
  </si>
  <si>
    <t>['湖南', '卫视', '湖南卫视', '春晚', '主持', '主持人', '阵容']</t>
  </si>
  <si>
    <t>谁是天赐的声音</t>
  </si>
  <si>
    <t>['谁', '是', '天赐', '的', '声音']</t>
  </si>
  <si>
    <t>玛莎拉蒂司机下跪道歉遭拒</t>
  </si>
  <si>
    <t>['玛莎', '莎拉', '玛莎拉蒂', '司机', '下跪', '道歉', '遭拒']</t>
  </si>
  <si>
    <t>华少收到恐吓快递</t>
  </si>
  <si>
    <t>['华少', '收到', '恐吓', '快递']</t>
  </si>
  <si>
    <t>13岁罕见病女孩称自己是累赘</t>
  </si>
  <si>
    <t>['13', '岁', '罕见', '病', '女孩', '称', '自己', '是', '累赘']</t>
  </si>
  <si>
    <t>美军称伊朗导弹袭击致11人受伤</t>
  </si>
  <si>
    <t>['美军', '称', '伊朗', '导弹', '袭击', '致', '11', '人', '受伤']</t>
  </si>
  <si>
    <t>鬼鬼魏晨刘昊然唱戏</t>
  </si>
  <si>
    <t>['鬼鬼', '魏晨', '刘昊然', '唱戏']</t>
  </si>
  <si>
    <t>魏晨对王鸥唱我爱的人</t>
  </si>
  <si>
    <t>['魏晨', '对', '王鸥', '唱', '我', '爱', '的', '人']</t>
  </si>
  <si>
    <t>小伙2年训练200只流浪狗</t>
  </si>
  <si>
    <t>['小伙', '2', '年', '训练', '200', '只', '流浪', '流浪狗']</t>
  </si>
  <si>
    <t>专家解析俄政府全体辞职</t>
  </si>
  <si>
    <t>['专家', '解析', '政府', '俄政府', '全体', '辞职']</t>
  </si>
  <si>
    <t>2020/01/18</t>
  </si>
  <si>
    <t>宸荨樱桃连跳11支舞</t>
  </si>
  <si>
    <t>['宸', '荨', '樱桃', '连', '跳', '11', '支舞']</t>
  </si>
  <si>
    <t>王一博春晚到底表演什么</t>
  </si>
  <si>
    <t>['王一博', '春晚', '到底', '表演', '什么']</t>
  </si>
  <si>
    <t>德云社己亥年封箱</t>
  </si>
  <si>
    <t>['德云社', '己亥', '年', '封箱']</t>
  </si>
  <si>
    <t>我国男性比女性多3049万</t>
  </si>
  <si>
    <t>['我国', '男性', '比', '女性', '多', '3049', '万']</t>
  </si>
  <si>
    <t>潮IN亚洲</t>
  </si>
  <si>
    <t>['潮', 'IN', '亚洲']</t>
  </si>
  <si>
    <t>搜救犬去看病搜出冬眠小乌龟</t>
  </si>
  <si>
    <t>['搜救', '犬', '去', '看病', '搜', '出', '冬眠', '小', '乌龟']</t>
  </si>
  <si>
    <t>区委书记大会上怒斥干部</t>
  </si>
  <si>
    <t>['区委', '书记', '区委书记', '大会', '上', '怒斥', '干部']</t>
  </si>
  <si>
    <t>陈伟霆夸徐峥颜值高</t>
  </si>
  <si>
    <t>['陈伟霆', '夸', '徐峥', '颜值', '高']</t>
  </si>
  <si>
    <t>张子枫艺考成绩</t>
  </si>
  <si>
    <t>['张子枫', '艺考', '成绩']</t>
  </si>
  <si>
    <t>1分52秒铁路情侣仍没时间结婚</t>
  </si>
  <si>
    <t>['1', '分', '52', '秒', '铁路', '情侣', '仍', '没', '时间', '结婚']</t>
  </si>
  <si>
    <t>电影中国女排更名为夺冠</t>
  </si>
  <si>
    <t>['电影', '中国', '女排', '中国女排', '更名', '为', '夺冠']</t>
  </si>
  <si>
    <t>IS头目被抓胖到警车装不下</t>
  </si>
  <si>
    <t>['IS', '头目', '被', '抓', '胖到', '警车', '不下', '装不下']</t>
  </si>
  <si>
    <t>西宁地面坍塌搜救停止</t>
  </si>
  <si>
    <t>['西宁', '地面', '坍塌', '搜救', '停止']</t>
  </si>
  <si>
    <t>2月起海外中国公民护照全球通办</t>
  </si>
  <si>
    <t>['2', '月', '起', '海外', '中国', '公民', '护照', '全球', '全球通', '办']</t>
  </si>
  <si>
    <t>易烊千玺黄子韬 热血同行</t>
  </si>
  <si>
    <t>['易', '烊', '千玺', '黄子', '韬', ' ', '热血', '同行']</t>
  </si>
  <si>
    <t>18岁消防员站完岗与妈妈相拥</t>
  </si>
  <si>
    <t>['18', '岁', '消防', '消防员', '站', '完岗', '与', '妈妈', '相拥']</t>
  </si>
  <si>
    <t>吴亦凡好宠赵今麦</t>
  </si>
  <si>
    <t>['吴亦凡', '好', '宠', '赵', '今麦']</t>
  </si>
  <si>
    <t>高以翔浙江卫视赔偿金已谈妥</t>
  </si>
  <si>
    <t>['高以翔', '浙江', '卫视', '赔偿', '赔偿金', '已', '谈妥']</t>
  </si>
  <si>
    <t>万人联名要求考拉迁入新西兰</t>
  </si>
  <si>
    <t>['万人', '联名', '要求', '考拉', '迁入', '西兰', '新西兰']</t>
  </si>
  <si>
    <t>康辉教刚强自拍</t>
  </si>
  <si>
    <t>['康辉教', '刚强', '自拍']</t>
  </si>
  <si>
    <t>醉驾玛莎拉蒂司机庭审痛哭</t>
  </si>
  <si>
    <t>['醉驾', '玛莎', '莎拉', '玛莎拉蒂', '司机', '庭审', '痛哭']</t>
  </si>
  <si>
    <t>Angelababy车技</t>
  </si>
  <si>
    <t>['Angelababy', '车技']</t>
  </si>
  <si>
    <t>中国与亚美尼亚全面免签</t>
  </si>
  <si>
    <t>['中国', '与', '亚美', '尼亚', '亚美尼亚', '全面', '免签']</t>
  </si>
  <si>
    <t>驻港部队军官轮换离港</t>
  </si>
  <si>
    <t>['驻港', '部队', '驻港部队', '军官', '轮换', '离港']</t>
  </si>
  <si>
    <t>莫兰特空接暴扣</t>
  </si>
  <si>
    <t>['莫', '兰特', '空接', '暴扣']</t>
  </si>
  <si>
    <t>陈伟霆偷偷和李光洁打招呼</t>
  </si>
  <si>
    <t>['陈伟霆', '偷偷', '和', '李', '光洁', '招呼', '打招呼']</t>
  </si>
  <si>
    <t>贵州福泉一化工厂爆燃</t>
  </si>
  <si>
    <t>['贵州', '福泉', '一', '化工', '工厂', '化工厂', '爆燃']</t>
  </si>
  <si>
    <t>彭于晏吴世勋同框</t>
  </si>
  <si>
    <t>['彭于', '晏', '吴世勋', '同框']</t>
  </si>
  <si>
    <t>周杰伦生日快乐</t>
  </si>
  <si>
    <t>['周杰伦', '生日', '快乐', '生日快乐']</t>
  </si>
  <si>
    <t>西藏暴雪</t>
  </si>
  <si>
    <t>['西藏', '暴雪']</t>
  </si>
  <si>
    <t>外交部回应美国军舰过航台湾海峡</t>
  </si>
  <si>
    <t>['外交', '外交部', '回应', '美国', '国军', '军舰', '美国军舰', '过航', '台湾', '海峡', '台湾海峡']</t>
  </si>
  <si>
    <t>于正曾给张智霖袁咏仪跑龙套</t>
  </si>
  <si>
    <t>['于', '正', '曾', '给', '张智霖', '袁咏仪', '龙套', '跑龙套']</t>
  </si>
  <si>
    <t>浙江省教育厅长的灵魂拷问</t>
  </si>
  <si>
    <t>['浙江', '浙江省', '教育', '厅长', '教育厅', '教育厅长', '的', '灵魂', '拷问']</t>
  </si>
  <si>
    <t>召唤肖战</t>
  </si>
  <si>
    <t>['召唤', '肖战']</t>
  </si>
  <si>
    <t>王俊凯 过年回家</t>
  </si>
  <si>
    <t>['王俊凯', ' ', '过年', '回家']</t>
  </si>
  <si>
    <t>2020/01/19</t>
  </si>
  <si>
    <t>郭言郭语</t>
  </si>
  <si>
    <t>['郭言', '郭语']</t>
  </si>
  <si>
    <t>ZICO AnySong舞蹈</t>
  </si>
  <si>
    <t>['ZICO', ' ', 'AnySong', '舞蹈']</t>
  </si>
  <si>
    <t>王俊凯自己开车参加春晚联排</t>
  </si>
  <si>
    <t>['王俊凯', '自己', '开车', '参加', '春晚', '联排']</t>
  </si>
  <si>
    <t>肖战 不骄不躁戒熬夜</t>
  </si>
  <si>
    <t>['肖战', ' ', '不骄不躁', '戒', '熬夜']</t>
  </si>
  <si>
    <t>Last Dance 上头</t>
  </si>
  <si>
    <t>['Last', ' ', 'Dance', ' ', '上头']</t>
  </si>
  <si>
    <t>辛芷蕾原型女机长宋寅</t>
  </si>
  <si>
    <t>['辛芷蕾', '原型', '女', '机长', '宋寅']</t>
  </si>
  <si>
    <t>蔡徐坤 重生</t>
  </si>
  <si>
    <t>['蔡', '徐坤', ' ', '重生']</t>
  </si>
  <si>
    <t>如果我有任意门</t>
  </si>
  <si>
    <t>['如果', '我', '有', '任意', '门']</t>
  </si>
  <si>
    <t>过个家香年</t>
  </si>
  <si>
    <t>['过个', '家香年']</t>
  </si>
  <si>
    <t>蔡徐坤 正在努力增肥中</t>
  </si>
  <si>
    <t>['蔡', '徐坤', ' ', '正在', '努力', '增肥', '中']</t>
  </si>
  <si>
    <t>高以翔爸爸看囧妈首映</t>
  </si>
  <si>
    <t>['高以翔', '爸爸', '看', '囧', '妈', '首映']</t>
  </si>
  <si>
    <t>王一博跑着与工作人员击掌</t>
  </si>
  <si>
    <t>['王一博', '跑', '着', '与', '工作', '作人', '人员', '工作人员', '击掌']</t>
  </si>
  <si>
    <t>AnySong舞蹈</t>
  </si>
  <si>
    <t>['AnySong', '舞蹈']</t>
  </si>
  <si>
    <t>宋茜端着盆喝汤</t>
  </si>
  <si>
    <t>['宋茜端', '着', '盆', '喝汤']</t>
  </si>
  <si>
    <t>售票员90分钟画807个接点示意图</t>
  </si>
  <si>
    <t>['售票', '售票员', '90', '分钟', '画', '807', '个', '接点', '示意', '意图', '示意图']</t>
  </si>
  <si>
    <t>易烊千玺在线吃播</t>
  </si>
  <si>
    <t>['易', '烊', '千玺', '在线', '吃播']</t>
  </si>
  <si>
    <t>雪莉家人争夺遗产</t>
  </si>
  <si>
    <t>['雪莉', '家人', '争夺', '遗产']</t>
  </si>
  <si>
    <t>嘴炮40秒TKO牛仔</t>
  </si>
  <si>
    <t>['嘴炮', '40', '秒', 'TKO', '牛仔']</t>
  </si>
  <si>
    <t>詹青云 BBking</t>
  </si>
  <si>
    <t>['詹', '青云', ' ', 'BBking']</t>
  </si>
  <si>
    <t>张若昀 起床铃声</t>
  </si>
  <si>
    <t>['张若昀', ' ', '起床', '铃声']</t>
  </si>
  <si>
    <t>重庆景区让肥猪蹦极</t>
  </si>
  <si>
    <t>['重庆', '景区', '让', '肥猪', '蹦极']</t>
  </si>
  <si>
    <t>粉丝举行抗议活动要求金钟大退队</t>
  </si>
  <si>
    <t>['粉丝', '举行', '抗议', '活动', '要求', '金钟', '大退队']</t>
  </si>
  <si>
    <t>LV总裁成全球新首富</t>
  </si>
  <si>
    <t>['LV', '总裁', '成', '全球', '新', '首富']</t>
  </si>
  <si>
    <t>郭麒麟 受伤后立刻买跑车</t>
  </si>
  <si>
    <t>['郭', '麒麟', ' ', '受伤', '后', '立刻', '买', '跑车']</t>
  </si>
  <si>
    <t>加速器物理学家方守贤院士逝世</t>
  </si>
  <si>
    <t>['加速', '加速器', '物理', '理学', '学家', '物理学', '理学家', '物理学家', '方守贤', '院士', '逝世']</t>
  </si>
  <si>
    <t>汪涵回应谢娜主持抢话</t>
  </si>
  <si>
    <t>['汪涵', '回应', '谢娜', '主持', '抢', '话']</t>
  </si>
  <si>
    <t>加拿大暴雪</t>
  </si>
  <si>
    <t>['加拿', '加拿大', '暴雪']</t>
  </si>
  <si>
    <t>阿云嘎郑云龙合唱</t>
  </si>
  <si>
    <t>['阿云嘎', '郑', '云龙', '合唱']</t>
  </si>
  <si>
    <t>2020年底前全面取消事业编制</t>
  </si>
  <si>
    <t>['2020', '年底', '前', '全面', '取消', '事业', '编制']</t>
  </si>
  <si>
    <t>肖战大型护崽现场</t>
  </si>
  <si>
    <t>['肖战', '大型', '护崽', '现场']</t>
  </si>
  <si>
    <t>腾格尔又带着芒种来了</t>
  </si>
  <si>
    <t>['腾格尔', '又', '带', '着', '芒种', '来', '了']</t>
  </si>
  <si>
    <t>武汉新增17例新型冠状病毒肺炎病例</t>
  </si>
  <si>
    <t>['武汉', '新增', '17', '例', '新型', '冠状', '病毒', '冠状病毒', '肺炎', '病例']</t>
  </si>
  <si>
    <t>何九华 脚踝</t>
  </si>
  <si>
    <t>['何', '九华', ' ', '脚踝']</t>
  </si>
  <si>
    <t>肖战表演会说话的肘子</t>
  </si>
  <si>
    <t>['肖战', '表演', '会', '说话', '的', '肘子']</t>
  </si>
  <si>
    <t>男子为逃婚偷东西进警局避风头</t>
  </si>
  <si>
    <t>['男子', '为', '逃婚', '东西', '偷东西', '进', '警局', '避风', '风头', '避风头']</t>
  </si>
  <si>
    <t>警方通报家长打断护士鼻梁</t>
  </si>
  <si>
    <t>['警方', '通报', '家长', '打断', '护士', '鼻梁']</t>
  </si>
  <si>
    <t>王菲那英 夺冠片尾曲</t>
  </si>
  <si>
    <t>['王菲', '那英', ' ', '夺冠', '片尾', '片尾曲']</t>
  </si>
  <si>
    <t>白岩松 过年是为新的一年充电</t>
  </si>
  <si>
    <t>['白岩松', ' ', '过年', '是', '为', '新', '的', '一年', '充电']</t>
  </si>
  <si>
    <t>酒驾三轮清早开进交警队</t>
  </si>
  <si>
    <t>['酒驾', '三轮', '清早', '开进', '交警', '警队', '交警队']</t>
  </si>
  <si>
    <t>毒皇后人设崩塌现场</t>
  </si>
  <si>
    <t>['毒', '皇后', '人设', '崩塌', '现场']</t>
  </si>
  <si>
    <t>新年万物皆可投</t>
  </si>
  <si>
    <t>['新年', '万物', '皆', '可', '投']</t>
  </si>
  <si>
    <t>紧急救援角色原型集体献唱主题曲</t>
  </si>
  <si>
    <t>['紧急', '救援', '角色', '原型', '集体', '献唱', '主题', '主题曲']</t>
  </si>
  <si>
    <t>李庚希跟徐峥要易烊千玺演唱会门票</t>
  </si>
  <si>
    <t>['李庚希', '跟', '徐峥', '要易', '烊', '千玺', '演唱', '演唱会', '门票']</t>
  </si>
  <si>
    <t>2020/01/20</t>
  </si>
  <si>
    <t>张晋激活武术技术流</t>
  </si>
  <si>
    <t>['张晋', '激活', '武术', '技术', '流']</t>
  </si>
  <si>
    <t>李现客串电影夺冠</t>
  </si>
  <si>
    <t>['李现', '客串', '电影', '夺冠']</t>
  </si>
  <si>
    <t>华晨宇马天宇cos哪吒敖丙</t>
  </si>
  <si>
    <t>['华晨', '宇马', '天宇', 'cos', '哪吒', '敖丙']</t>
  </si>
  <si>
    <t>许光汉雪地大片</t>
  </si>
  <si>
    <t>['许光汉', '雪地', '大片']</t>
  </si>
  <si>
    <t>郑恺问赵丽颖当妈难还是拍戏难</t>
  </si>
  <si>
    <t>['郑恺', '问', '赵丽颖', '当妈', '难', '还是', '拍戏', '难']</t>
  </si>
  <si>
    <t>少年行动派</t>
  </si>
  <si>
    <t>['少年', '行动', '派']</t>
  </si>
  <si>
    <t>桑桑冥女身份被识破</t>
  </si>
  <si>
    <t>['桑桑冥女', '身份', '被', '识破']</t>
  </si>
  <si>
    <t>赵忠祥遗体告别仪式</t>
  </si>
  <si>
    <t>['赵忠祥', '遗体', '告别', '仪式', '告别仪式']</t>
  </si>
  <si>
    <t>地震不跑拿起电话喊停列车</t>
  </si>
  <si>
    <t>['地震', '不', '跑', '拿', '起', '电话', '喊停', '列车']</t>
  </si>
  <si>
    <t>看我几分像从前</t>
  </si>
  <si>
    <t>['看', '我', '几分', '像', '从前']</t>
  </si>
  <si>
    <t>黄渤谈首次合作巩俐</t>
  </si>
  <si>
    <t>['黄渤谈', '首次', '合作', '巩俐']</t>
  </si>
  <si>
    <t>妈妈为了我相亲真是拼了</t>
  </si>
  <si>
    <t>['妈妈', '为了', '我', '相亲', '真是', '拼', '了']</t>
  </si>
  <si>
    <t>北京确诊2例新型冠状病毒肺炎病例</t>
  </si>
  <si>
    <t>['北京', '确诊', '2', '例', '新型', '冠状', '病毒', '冠状病毒', '肺炎', '病例']</t>
  </si>
  <si>
    <t>两中国公民在马德里街头相继遇害</t>
  </si>
  <si>
    <t>['两', '中国', '公民', '在', '德里', '马德里', '街头', '相继', '遇害']</t>
  </si>
  <si>
    <t>奔驰顶着本田连撞多车</t>
  </si>
  <si>
    <t>['奔驰', '顶', '着', '本田', '连撞', '多车']</t>
  </si>
  <si>
    <t>权志龙蓝色西装</t>
  </si>
  <si>
    <t>['权志龙', '蓝色', '西装']</t>
  </si>
  <si>
    <t>林允儿用中文点菜</t>
  </si>
  <si>
    <t>['林允儿', '用', '中文', '点菜']</t>
  </si>
  <si>
    <t>杨洋白色真空西装</t>
  </si>
  <si>
    <t>['杨洋', '白色', '真空', '西装']</t>
  </si>
  <si>
    <t>泫雅泳池中与男友接吻</t>
  </si>
  <si>
    <t>['泫', '雅', '泳池', '中', '与', '男友', '接吻']</t>
  </si>
  <si>
    <t>俄前总理梅德韦杰夫辞职后首发声</t>
  </si>
  <si>
    <t>['俄前', '总理', '梅德韦', '杰夫', '辞职', '后', '首发', '声']</t>
  </si>
  <si>
    <t>秀智 状态</t>
  </si>
  <si>
    <t>['秀智', ' ', '状态']</t>
  </si>
  <si>
    <t>境内新型肺炎确诊217例</t>
  </si>
  <si>
    <t>['境内', '新型', '肺炎', '确诊', '217', '例']</t>
  </si>
  <si>
    <t>囧妈提档</t>
  </si>
  <si>
    <t>['囧', '妈', '提档']</t>
  </si>
  <si>
    <t>周深李克勤我们的歌冠军</t>
  </si>
  <si>
    <t>['周深', '李克勤', '我们', '的', '歌', '冠军']</t>
  </si>
  <si>
    <t>喜马拉雅雪崩四名中国游客失联</t>
  </si>
  <si>
    <t>['马拉', '喜马拉', '马拉雅', '喜马拉雅', '雪崩', '四名', '中国', '游客', '失联']</t>
  </si>
  <si>
    <t>肖战 使不得手法要红包</t>
  </si>
  <si>
    <t>['肖战', ' ', '不得', '使不得', '手法', '要', '红包']</t>
  </si>
  <si>
    <t>大寒</t>
  </si>
  <si>
    <t>['大寒']</t>
  </si>
  <si>
    <t>肖战 你划我猜</t>
  </si>
  <si>
    <t>['肖战', ' ', '你划', '我', '猜']</t>
  </si>
  <si>
    <t>张馨予 你看我几分像从前</t>
  </si>
  <si>
    <t>['张馨予', ' ', '你', '看', '我', '几分', '像', '从前']</t>
  </si>
  <si>
    <t>Lisa斜刘海</t>
  </si>
  <si>
    <t>['Lisa', '斜', '刘海']</t>
  </si>
  <si>
    <t>腾格尔模仿肖战蔡徐坤</t>
  </si>
  <si>
    <t>['腾格尔', '模仿', '肖战', '蔡', '徐坤']</t>
  </si>
  <si>
    <t>爱情公寓弹幕</t>
  </si>
  <si>
    <t>['爱情', '公寓', '弹幕']</t>
  </si>
  <si>
    <t>少年救人发现溺水者是自己爷爷</t>
  </si>
  <si>
    <t>['少年', '救人', '发现', '溺水', '溺水者', '是', '自己', '爷爷']</t>
  </si>
  <si>
    <t>黄明昊古装造型</t>
  </si>
  <si>
    <t>['黄明昊', '古装', '造型']</t>
  </si>
  <si>
    <t>93岁教师为乡村儿童义务补课30年</t>
  </si>
  <si>
    <t>['93', '岁', '教师', '为', '乡村', '儿童', '义务', '补课', '30', '年']</t>
  </si>
  <si>
    <t>唐一菲不好意思和易烊千玺合影</t>
  </si>
  <si>
    <t>['唐一菲', '不好', '好意', '意思', '好意思', '不好意思', '和', '易', '烊', '千玺', '合影']</t>
  </si>
  <si>
    <t>武汉新增新型肺炎136例</t>
  </si>
  <si>
    <t>['武汉', '新增', '新型', '肺炎', '136', '例']</t>
  </si>
  <si>
    <t>郑州警方回应孕妇被打致流产案</t>
  </si>
  <si>
    <t>['郑州', '警方', '回应', '孕妇', '被', '打致', '流产', '案']</t>
  </si>
  <si>
    <t>澳大利亚又一考拉栖息岛山火失控</t>
  </si>
  <si>
    <t>['大利', '利亚', '澳大利', '澳大利亚', '又', '一', '考拉', '栖息', '岛山', '火', '失控']</t>
  </si>
  <si>
    <t>易烊千玺打戏</t>
  </si>
  <si>
    <t>['易', '烊', '千玺', '打戏']</t>
  </si>
  <si>
    <t>父亲批梅根当皇宫是沃尔玛</t>
  </si>
  <si>
    <t>['父亲', '批梅', '根当', '皇宫', '是', '沃尔玛']</t>
  </si>
  <si>
    <t>任嘉伦黄宗泽窦骁同框看秀</t>
  </si>
  <si>
    <t>['任嘉伦', '黄宗泽窦', '骁同框', '看秀']</t>
  </si>
  <si>
    <t>2020/01/21</t>
  </si>
  <si>
    <t>故宫院长道歉</t>
  </si>
  <si>
    <t>['故宫', '院长', '道歉']</t>
  </si>
  <si>
    <t>不要小看婴儿的学习能力</t>
  </si>
  <si>
    <t>['不要', '小看', '婴儿', '的', '学习', '能力']</t>
  </si>
  <si>
    <t>杰伦布朗隔扣詹姆斯</t>
  </si>
  <si>
    <t>['杰伦', '布朗', '隔扣', '詹姆斯']</t>
  </si>
  <si>
    <t>戚薇李承铉错位牵手图</t>
  </si>
  <si>
    <t>['戚薇', '李承铉', '错位', '牵手', '图']</t>
  </si>
  <si>
    <t>春运如何远离病原体</t>
  </si>
  <si>
    <t>['春运', '如何', '远离', '病原', '原体', '病原体']</t>
  </si>
  <si>
    <t>抖音卡太难求了</t>
  </si>
  <si>
    <t>['抖音', '卡太难求', '了']</t>
  </si>
  <si>
    <t>詹姆斯前队友流浪街头</t>
  </si>
  <si>
    <t>['詹姆斯', '前', '队友', '流浪', '街头']</t>
  </si>
  <si>
    <t>解放军在国境线怒斥外军</t>
  </si>
  <si>
    <t>['解放', '解放军', '在', '国境', '国境线', '怒斥', '外军']</t>
  </si>
  <si>
    <t>黄晓明baby久违合体</t>
  </si>
  <si>
    <t>['黄晓明', 'baby', '久违', '合体']</t>
  </si>
  <si>
    <t>当英语不好的小哥住酒店</t>
  </si>
  <si>
    <t>['当', '英语', '不好', '的', '小哥', '住', '酒店']</t>
  </si>
  <si>
    <t>新型冠状病毒传染性比SARS弱</t>
  </si>
  <si>
    <t>['新型', '冠状', '病毒', '冠状病毒', '传染', '传染性', '比', 'SARS', '弱']</t>
  </si>
  <si>
    <t>澳大利亚又遭沙暴侵袭</t>
  </si>
  <si>
    <t>['大利', '利亚', '澳大利', '澳大利亚', '又', '遭', '沙暴', '侵袭']</t>
  </si>
  <si>
    <t>同事接替陶医生看病</t>
  </si>
  <si>
    <t>['同事', '接替', '陶', '医生', '看病']</t>
  </si>
  <si>
    <t>2020过个真香年</t>
  </si>
  <si>
    <t>['2020', '过个', '真香年']</t>
  </si>
  <si>
    <t>刘德华去超市听自己的歌</t>
  </si>
  <si>
    <t>['德华', '刘德华', '去', '超市', '听', '自己', '的', '歌']</t>
  </si>
  <si>
    <t>薛之谦张天爱雪中尬戏</t>
  </si>
  <si>
    <t>['薛之谦', '张天爱', '雪中尬', '戏']</t>
  </si>
  <si>
    <t>武汉市公布诊疗方案</t>
  </si>
  <si>
    <t>['武汉', '武汉市', '公布', '诊疗', '方案']</t>
  </si>
  <si>
    <t>岳云鹏 春晚都是俊男靓女除了我</t>
  </si>
  <si>
    <t>['岳云鹏', ' ', '春晚', '都', '是', '靓女', '俊男靓女', '除了', '我']</t>
  </si>
  <si>
    <t>武汉实施进出武汉人员管控</t>
  </si>
  <si>
    <t>['武汉', '实施', '进出', '武汉', '人员', '管控']</t>
  </si>
  <si>
    <t>家圆团圆过大年</t>
  </si>
  <si>
    <t>['家圆', '团圆', '大年', '过大年']</t>
  </si>
  <si>
    <t>周杰伦吃醋</t>
  </si>
  <si>
    <t>['周杰伦', '吃醋']</t>
  </si>
  <si>
    <t>当长辈开始拍vlog</t>
  </si>
  <si>
    <t>['当', '长辈', '开始', '拍', 'vlog']</t>
  </si>
  <si>
    <t>武警解救8名遭劫持人质</t>
  </si>
  <si>
    <t>['武警', '解救', '8', '名遭', '劫持', '人质', '劫持人质']</t>
  </si>
  <si>
    <t>84岁钟南山冲在抗击疫情第一线</t>
  </si>
  <si>
    <t>['84', '岁', '南山', '钟南山', '冲', '在', '抗击', '疫情', '第一', '一线', '第一线']</t>
  </si>
  <si>
    <t>天津确诊2例新型冠状病毒肺炎病例</t>
  </si>
  <si>
    <t>['天津', '确诊', '2', '例', '新型', '冠状', '病毒', '冠状病毒', '肺炎', '病例']</t>
  </si>
  <si>
    <t>楼上太吵楼下装震楼器回击</t>
  </si>
  <si>
    <t>['楼上', '太吵', '楼下', '装震', '楼器', '回击']</t>
  </si>
  <si>
    <t>哈里王子回应退出王室公职</t>
  </si>
  <si>
    <t>['哈里', '王子', '回应', '退出', '王室', '公职']</t>
  </si>
  <si>
    <t>唱新年好召唤欧阳娜娜</t>
  </si>
  <si>
    <t>['唱', '新年', '新年好', '召唤', '欧阳', '娜娜']</t>
  </si>
  <si>
    <t>浙江确诊新型肺炎5例</t>
  </si>
  <si>
    <t>['浙江', '确诊', '新型', '肺炎', '5', '例']</t>
  </si>
  <si>
    <t>张晋看到自己被模仿的反应</t>
  </si>
  <si>
    <t>['张晋', '看到', '自己', '被', '模仿', '的', '反应']</t>
  </si>
  <si>
    <t>武汉新型肺炎死亡病例增至6例</t>
  </si>
  <si>
    <t>['武汉', '新型', '肺炎', '死亡', '病例', '增至', '6', '例']</t>
  </si>
  <si>
    <t>卫健委专家建言新型肺炎防控</t>
  </si>
  <si>
    <t>['卫健委', '专家', '建言', '新型', '肺炎', '防控']</t>
  </si>
  <si>
    <t>外交部回应新型冠状病毒肺炎疫情</t>
  </si>
  <si>
    <t>['外交', '外交部', '回应', '新型', '冠状', '病毒', '冠状病毒', '肺炎', '疫情']</t>
  </si>
  <si>
    <t>易烊千玺戏曲造型</t>
  </si>
  <si>
    <t>['易', '烊', '千玺', '戏曲', '造型']</t>
  </si>
  <si>
    <t>罗志祥张艺兴特别版夺命八颠</t>
  </si>
  <si>
    <t>['罗志祥', '张艺兴', '特别', '特别版', '夺命', '八颠']</t>
  </si>
  <si>
    <t>下一站是幸福定档</t>
  </si>
  <si>
    <t>['下', '一站', '是', '幸福', '定档']</t>
  </si>
  <si>
    <t>陈可辛夸易烊千玺</t>
  </si>
  <si>
    <t>['陈可辛', '夸易', '烊', '千玺']</t>
  </si>
  <si>
    <t>2020/01/22</t>
  </si>
  <si>
    <t>新型肺炎确诊440例死亡9例</t>
  </si>
  <si>
    <t>['新型', '肺炎', '确诊', '440', '例', '死亡', '9', '例']</t>
  </si>
  <si>
    <t>武汉医生的朋友圈</t>
  </si>
  <si>
    <t>['武汉', '医生', '的', '朋友', '朋友圈']</t>
  </si>
  <si>
    <t>辽宁确认2例新型肺炎病例</t>
  </si>
  <si>
    <t>['辽宁', '确认', '2', '例', '新型', '肺炎', '病例']</t>
  </si>
  <si>
    <t>目前儿童年轻人对病毒不易感</t>
  </si>
  <si>
    <t>['目前', '儿童', '年轻', '年轻人', '对', '病毒', '不易', '感']</t>
  </si>
  <si>
    <t>曾小贤回来了</t>
  </si>
  <si>
    <t>['曾小贤', '回来', '了']</t>
  </si>
  <si>
    <t>武汉给市民朋友的一封信</t>
  </si>
  <si>
    <t>['武汉', '给', '市民', '朋友', '的', '一封', '封信', '一封信']</t>
  </si>
  <si>
    <t>湖北拟请求紧急支援医用物资</t>
  </si>
  <si>
    <t>['湖北', '拟', '请求', '紧急', '支援', '医用', '物资']</t>
  </si>
  <si>
    <t>武汉肺炎隔离区现场画面曝光</t>
  </si>
  <si>
    <t>['武汉', '肺炎', '隔离', '隔离区', '现场', '画面', '曝光']</t>
  </si>
  <si>
    <t>新型冠状病毒怕酒精不耐高温</t>
  </si>
  <si>
    <t>['新型', '冠状', '病毒', '冠状病毒', '怕', '酒精', '不', '高温', '耐高温']</t>
  </si>
  <si>
    <t>首例重症新型肺炎出院者发声</t>
  </si>
  <si>
    <t>['首例', '重症', '新型', '肺炎', '出院', '者', '发声']</t>
  </si>
  <si>
    <t>招财进宝拜大年</t>
  </si>
  <si>
    <t>['招财', '进宝', '招财进宝', '大年', '拜大年']</t>
  </si>
  <si>
    <t>贵州确诊首例新型肺炎病例</t>
  </si>
  <si>
    <t>['贵州', '确诊', '首例', '新型', '肺炎', '病例']</t>
  </si>
  <si>
    <t>解锁肖战同款红</t>
  </si>
  <si>
    <t>['解锁', '肖战', '同款', '红']</t>
  </si>
  <si>
    <t>朱一龙话筒拿低一点</t>
  </si>
  <si>
    <t>['朱一龙', '话筒', '拿', '低', '一点']</t>
  </si>
  <si>
    <t>白衣天使加油</t>
  </si>
  <si>
    <t>['白衣', '天使', '白衣天使', '加油']</t>
  </si>
  <si>
    <t>钟南山挤高铁餐车去武汉</t>
  </si>
  <si>
    <t>['南山', '钟南山', '挤', '高铁', '餐车', '去', '武汉']</t>
  </si>
  <si>
    <t>炎亚纶骑自行车与狗仔飙车</t>
  </si>
  <si>
    <t>['炎亚纶', '骑', '自行', '行车', '自行车', '与', '狗', '仔', '飙车']</t>
  </si>
  <si>
    <t>霍华德宣布参加扣篮大赛</t>
  </si>
  <si>
    <t>['霍华德', '宣布', '参加', '扣篮', '大赛']</t>
  </si>
  <si>
    <t>福建确诊首例新型肺炎病例</t>
  </si>
  <si>
    <t>['福建', '确诊', '首例', '新型', '肺炎', '病例']</t>
  </si>
  <si>
    <t>湖北黄冈5名医护人员被感染</t>
  </si>
  <si>
    <t>['湖北', '黄冈', '5', '名', '医护', '护人', '人员', '医护人员', '被', '感染']</t>
  </si>
  <si>
    <t>诸葛大力硬核撒娇</t>
  </si>
  <si>
    <t>['诸葛', '大力', '硬核', '撒娇']</t>
  </si>
  <si>
    <t>新型肺炎病毒存在变异可能</t>
  </si>
  <si>
    <t>['新型', '肺炎', '病毒', '存在', '变异', '可能']</t>
  </si>
  <si>
    <t>新型冠状病毒来源是野生动物</t>
  </si>
  <si>
    <t>['新型', '冠状', '病毒', '冠状病毒', '来源', '是', '野生', '生动', '动物', '野生动物']</t>
  </si>
  <si>
    <t>致敬奋战在一线的医护人员</t>
  </si>
  <si>
    <t>['致敬', '奋战', '在', '一线', '的', '医护', '护人', '人员', '医护人员']</t>
  </si>
  <si>
    <t>美国确诊首例新型肺炎病例</t>
  </si>
  <si>
    <t>['美国', '确诊', '首例', '新型', '肺炎', '病例']</t>
  </si>
  <si>
    <t>姥姥为外孙女缝制粉色车衣</t>
  </si>
  <si>
    <t>['姥姥', '为', '外孙', '孙女', '外孙女', '缝制', '粉色', '车衣']</t>
  </si>
  <si>
    <t>央视记者探访武汉发热门诊</t>
  </si>
  <si>
    <t>['央视', '记者', '探访', '武汉', '发热', '门诊']</t>
  </si>
  <si>
    <t>国内确诊473例新型肺炎病例</t>
  </si>
  <si>
    <t>['国内', '确诊', '473', '例', '新型', '肺炎', '病例']</t>
  </si>
  <si>
    <t>白岩松 信息公开是最好的疫苗</t>
  </si>
  <si>
    <t>['白岩松', ' ', '信息', '公开', '是', '最好', '的', '疫苗']</t>
  </si>
  <si>
    <t>蔡徐坤粉丝发寻儿启示应援</t>
  </si>
  <si>
    <t>['蔡', '徐坤', '粉丝', '发寻儿', '启示', '应援']</t>
  </si>
  <si>
    <t>湖北将重罚坐地起价口罩经营者</t>
  </si>
  <si>
    <t>['湖北', '将', '重罚', '坐地', '起价', '口罩', '经营', '经营者']</t>
  </si>
  <si>
    <t>新型肺炎潜伏期平均7天左右</t>
  </si>
  <si>
    <t>['新型', '肺炎', '潜伏', '潜伏期', '平均', '7', '天', '左右']</t>
  </si>
  <si>
    <t>到达离开武汉火车票退票费可免</t>
  </si>
  <si>
    <t>['到达', '离开', '武汉', '火车', '车票', '火车票', '退票', '退票费', '可免']</t>
  </si>
  <si>
    <t>口罩商3倍工资让回厂加班</t>
  </si>
  <si>
    <t>['口罩', '商', '3', '倍', '工资', '让', '回厂', '加班']</t>
  </si>
  <si>
    <t>新型肺炎已致湖北17人死亡</t>
  </si>
  <si>
    <t>['新型', '肺炎', '已致', '湖北', '17', '人', '死亡']</t>
  </si>
  <si>
    <t>武汉市长呼吁外面的人不要到武汉</t>
  </si>
  <si>
    <t>['武汉', '武汉市', '长', '呼吁', '外面', '的', '人', '不要', '到', '武汉']</t>
  </si>
  <si>
    <t>姚明出席斯特恩追悼会</t>
  </si>
  <si>
    <t>['姚明', '出席', '斯特', '斯特恩', '追悼', '追悼会']</t>
  </si>
  <si>
    <t>ECMO技术成功救治一新型肺炎患者</t>
  </si>
  <si>
    <t>['ECMO', '技术', '成功', '救治', '一', '新型', '肺炎', '患者']</t>
  </si>
  <si>
    <t>武汉要求全市在公共场合佩戴口罩</t>
  </si>
  <si>
    <t>['武汉', '要求', '全市', '在', '公共', '场合', '公共场合', '佩戴', '口罩']</t>
  </si>
  <si>
    <t>肖战 超A眼神杀</t>
  </si>
  <si>
    <t>['肖战', ' ', '超', 'A', '眼神', '杀']</t>
  </si>
  <si>
    <t>姜思达采访张艺兴</t>
  </si>
  <si>
    <t>['姜', '思达', '采访', '张艺兴']</t>
  </si>
  <si>
    <t>辛芷蕾宋寅同框</t>
  </si>
  <si>
    <t>['辛芷蕾', '宋寅', '同框']</t>
  </si>
  <si>
    <t>权志龙看秀造型</t>
  </si>
  <si>
    <t>['权志龙', '看秀', '造型']</t>
  </si>
  <si>
    <t>2020/01/23</t>
  </si>
  <si>
    <t>全国确诊571例新型肺炎病例</t>
  </si>
  <si>
    <t>['全国', '确诊', '571', '例', '新型', '肺炎', '病例']</t>
  </si>
  <si>
    <t>辰亦儒曾之乔结婚</t>
  </si>
  <si>
    <t>['辰', '亦', '儒', '曾之乔', '结婚']</t>
  </si>
  <si>
    <t>新型肺炎确诊571例死亡17例</t>
  </si>
  <si>
    <t>['新型', '肺炎', '确诊', '571', '例', '死亡', '17', '例']</t>
  </si>
  <si>
    <t>湖北高速开始封闭</t>
  </si>
  <si>
    <t>['湖北', '高速', '开始', '封闭']</t>
  </si>
  <si>
    <t>武汉封城</t>
  </si>
  <si>
    <t>['武汉', '封城']</t>
  </si>
  <si>
    <t>状元锡安首秀</t>
  </si>
  <si>
    <t>['状元', '锡安', '首秀']</t>
  </si>
  <si>
    <t>温州首例新型肺炎确诊患者基本治愈</t>
  </si>
  <si>
    <t>['温州', '首例', '新型', '肺炎', '确诊', '患者', '基本', '治愈']</t>
  </si>
  <si>
    <t>钟南山团队辟谣盐水漱口防病毒</t>
  </si>
  <si>
    <t>['南山', '钟南山', '团队', '辟谣', '盐水', '漱口', '防病', '病毒', '防病毒']</t>
  </si>
  <si>
    <t>山东确诊6例新型肺炎病例</t>
  </si>
  <si>
    <t>['山东', '确诊', '6', '例', '新型', '肺炎', '病例']</t>
  </si>
  <si>
    <t>鲍威尔重伤预计赛季报销</t>
  </si>
  <si>
    <t>['威尔', '鲍威尔', '重伤', '预计', '赛季', '报销']</t>
  </si>
  <si>
    <t>武汉7名医生在请战书按下红手印</t>
  </si>
  <si>
    <t>['武汉', '7', '名', '医生', '在', '请战', '书', '按', '下', '红', '手印']</t>
  </si>
  <si>
    <t>深圳2名新型肺炎患者痊愈出院</t>
  </si>
  <si>
    <t>['深圳', '2', '名', '新型', '肺炎', '患者', '痊愈', '出院']</t>
  </si>
  <si>
    <t>江苏确诊首例新型病毒肺炎病例</t>
  </si>
  <si>
    <t>['江苏', '确诊', '首例', '新型', '病毒', '肺炎', '病例']</t>
  </si>
  <si>
    <t>春节档电影集体撤档</t>
  </si>
  <si>
    <t>['春节', '档', '电影', '集体', '撤档']</t>
  </si>
  <si>
    <t>河北确诊首例新型肺炎病例</t>
  </si>
  <si>
    <t>['河北', '确诊', '首例', '新型', '肺炎', '病例']</t>
  </si>
  <si>
    <t>肖战谢娜同框</t>
  </si>
  <si>
    <t>['肖战', '谢娜', '同框']</t>
  </si>
  <si>
    <t>北京新增4例新型肺炎病例</t>
  </si>
  <si>
    <t>['北京', '新增', '4', '例', '新型', '肺炎', '病例']</t>
  </si>
  <si>
    <t>湖北主持人戴口罩播报</t>
  </si>
  <si>
    <t>['湖北', '主持', '主持人', '戴', '口罩', '播报']</t>
  </si>
  <si>
    <t>黑龙江确诊首例新型病毒肺炎病例</t>
  </si>
  <si>
    <t>['龙江', '黑龙江', '确诊', '首例', '新型', '病毒', '肺炎', '病例']</t>
  </si>
  <si>
    <t>武汉24小时捐赠电话</t>
  </si>
  <si>
    <t>['武汉', '24', '小时', '捐赠', '电话', '捐赠电话']</t>
  </si>
  <si>
    <t>广东发现6起家庭聚集性疫情</t>
  </si>
  <si>
    <t>['广东', '发现', '6', '起', '家庭', '聚集', '性', '疫情']</t>
  </si>
  <si>
    <t>吉林确诊首例新型肺炎病例</t>
  </si>
  <si>
    <t>['吉林', '确诊', '首例', '新型', '肺炎', '病例']</t>
  </si>
  <si>
    <t>武汉将以小汤山模式建立医院</t>
  </si>
  <si>
    <t>['武汉', '将', '以', '小汤', '小汤山', '模式', '建立', '医院']</t>
  </si>
  <si>
    <t>武汉医生和家人隔着门见面</t>
  </si>
  <si>
    <t>['武汉', '医生', '和', '家人', '隔', '着', '门', '见面']</t>
  </si>
  <si>
    <t>TFBOYS最大的优势</t>
  </si>
  <si>
    <t>['TFBOYS', '最大', '的', '优势']</t>
  </si>
  <si>
    <t>凤九太可爱了</t>
  </si>
  <si>
    <t>['凤九太', '可爱', '了']</t>
  </si>
  <si>
    <t>湖南新增5例新型肺炎确诊病例</t>
  </si>
  <si>
    <t>['湖南', '新增', '5', '例', '新型', '肺炎', '确诊', '病例']</t>
  </si>
  <si>
    <t>小汤山非典医疗队请战书</t>
  </si>
  <si>
    <t>['小汤', '小汤山', '非典', '医疗', '医疗队', '请战', '书']</t>
  </si>
  <si>
    <t>吴京靠做饭追到谢楠</t>
  </si>
  <si>
    <t>['吴京靠', '做饭', '追到', '谢楠']</t>
  </si>
  <si>
    <t>哈尔滨市停止一切到校活动</t>
  </si>
  <si>
    <t>['哈尔', '哈尔滨', '哈尔滨市', '停止', '一切', '到校', '活动']</t>
  </si>
  <si>
    <t>武汉上空播撒消毒粉液是谣言</t>
  </si>
  <si>
    <t>['武汉', '上空', '播撒', '消毒', '粉液', '是', '谣言']</t>
  </si>
  <si>
    <t>外地驰援物资车辆已进入武汉</t>
  </si>
  <si>
    <t>['外地', '驰援', '物资', '车辆', '已', '进入', '武汉']</t>
  </si>
  <si>
    <t>武汉封城后的市民生活</t>
  </si>
  <si>
    <t>['武汉', '封城后', '的', '市民', '生活']</t>
  </si>
  <si>
    <t>武汉公交地铁暂停运营</t>
  </si>
  <si>
    <t>['武汉', '公交', '地铁', '暂停', '运营']</t>
  </si>
  <si>
    <t>朝阳医院行凶嫌犯被批捕</t>
  </si>
  <si>
    <t>['朝阳', '医院', '朝阳医院', '行凶', '嫌犯', '被', '批捕']</t>
  </si>
  <si>
    <t>央视春晚两个分会场改为录播</t>
  </si>
  <si>
    <t>['央视', '春晚', '央视春晚', '两个', '分会', '会场', '分会场', '改为', '录播']</t>
  </si>
  <si>
    <t>抗疫一线90后护士的手</t>
  </si>
  <si>
    <t>['抗疫', '一线', '90', '后', '护士', '的', '手']</t>
  </si>
  <si>
    <t>钟南山称有信心不会非典重演</t>
  </si>
  <si>
    <t>['南山', '钟南山', '称有', '信心', '不会', '非典', '重演']</t>
  </si>
  <si>
    <t>2020/01/24</t>
  </si>
  <si>
    <t>我国开展新型肺炎疫情应急科研攻关</t>
  </si>
  <si>
    <t>['我国', '开展', '新型', '肺炎', '疫情', '应急', '科研', '攻关']</t>
  </si>
  <si>
    <t>首株新型冠状病毒毒种信息公布</t>
  </si>
  <si>
    <t>['首株', '新型', '冠状', '病毒', '冠状病毒', '毒种', '信息', '公布']</t>
  </si>
  <si>
    <t>医护人员把名字写在防护服上</t>
  </si>
  <si>
    <t>['医护', '护人', '人员', '医护人员', '把', '名字', '写', '在', '防护', '防护服', '上']</t>
  </si>
  <si>
    <t>抖音请全国人民免费看囧妈</t>
  </si>
  <si>
    <t>['抖音', '请', '全国', '人民', '免费', '看', '囧', '妈']</t>
  </si>
  <si>
    <t>青海首例新型肺炎疑似病例</t>
  </si>
  <si>
    <t>['青海', '首例', '新型', '肺炎', '疑似', '病例', '疑似病例']</t>
  </si>
  <si>
    <t>河南硬核宣传标语</t>
  </si>
  <si>
    <t>['河南', '硬核', '宣传', '标语']</t>
  </si>
  <si>
    <t>河南硬核</t>
  </si>
  <si>
    <t>['河南', '硬核']</t>
  </si>
  <si>
    <t>武汉千名车主自发接送医护人员</t>
  </si>
  <si>
    <t>['武汉', '千名', '车主', '自发', '接送', '医护', '护人', '人员', '医护人员']</t>
  </si>
  <si>
    <t>武汉宝宝为武汉加油</t>
  </si>
  <si>
    <t>['武汉', '宝宝', '为', '武汉', '加油']</t>
  </si>
  <si>
    <t>23日G1278次列车2号车厢的乘客</t>
  </si>
  <si>
    <t>['23', '日', 'G1278', '列车', '次列车', '2', '号', '车厢', '的', '乘客']</t>
  </si>
  <si>
    <t>广东启动重大突发公共卫生事件一级响应</t>
  </si>
  <si>
    <t>['广东', '启动', '重大', '突发', '公共', '卫生', '公共卫生', '事件', '一级', '响应']</t>
  </si>
  <si>
    <t>全国确诊新型肺炎830例</t>
  </si>
  <si>
    <t>['全国', '确诊', '新型', '肺炎', '830', '例']</t>
  </si>
  <si>
    <t>湖北启动一级响应</t>
  </si>
  <si>
    <t>['湖北', '启动', '一级', '响应']</t>
  </si>
  <si>
    <t>医护人员感染新型肺炎应认定工伤</t>
  </si>
  <si>
    <t>['医护', '护人', '人员', '医护人员', '感染', '新型', '肺炎', '应', '认定', '工伤']</t>
  </si>
  <si>
    <t>河北1例新型肺炎死亡</t>
  </si>
  <si>
    <t>['河北', '1', '例', '新型', '肺炎', '死亡']</t>
  </si>
  <si>
    <t>春晚群星发红包拜年</t>
  </si>
  <si>
    <t>['春晚', '群星', '发红', '红包', '发红包', '拜年']</t>
  </si>
  <si>
    <t>湖北中小学开学确定延期</t>
  </si>
  <si>
    <t>['湖北', '中小', '小学', '中小学', '开学', '确定', '延期']</t>
  </si>
  <si>
    <t>湖北出现最年轻死亡案例</t>
  </si>
  <si>
    <t>['湖北', '出现', '最', '年轻', '死亡', '案例']</t>
  </si>
  <si>
    <t>湖南启动重大突发公共卫生事件一级响应</t>
  </si>
  <si>
    <t>['湖南', '启动', '重大', '突发', '公共', '卫生', '公共卫生', '事件', '一级', '响应']</t>
  </si>
  <si>
    <t>财政部拨10亿补助湖北防控疫情</t>
  </si>
  <si>
    <t>['财政', '财政部', '拨', '10', '亿', '补助', '湖北', '防控', '疫情']</t>
  </si>
  <si>
    <t>除夕夜150名上海军医直飞武汉</t>
  </si>
  <si>
    <t>['除夕', '除夕夜', '150', '名', '上海', '军医', '直飞', '武汉']</t>
  </si>
  <si>
    <t>新年给TA最好的开始</t>
  </si>
  <si>
    <t>['新年', '给', 'TA', '最', '开始', '好的开始']</t>
  </si>
  <si>
    <t>8旬老太通知亲友春节别来串门</t>
  </si>
  <si>
    <t>['8', '旬', '老太', '通知', '亲友', '春节', '别来', '串门']</t>
  </si>
  <si>
    <t>NBA全明星首发出炉</t>
  </si>
  <si>
    <t>['NBA', '明星', '全明星', '首发', '出炉']</t>
  </si>
  <si>
    <t>武汉版小汤山施工现场曝光</t>
  </si>
  <si>
    <t>['武汉', '版', '小汤', '小汤山', '施工', '现场', '施工现场', '曝光']</t>
  </si>
  <si>
    <t>武汉女医护人员自发剪掉长发</t>
  </si>
  <si>
    <t>['武汉', '女', '医护', '护人', '人员', '医护人员', '自发', '剪掉', '长发']</t>
  </si>
  <si>
    <t>央视春晚节目单</t>
  </si>
  <si>
    <t>['央视', '春晚', '央视春晚', '节目', '节目单']</t>
  </si>
  <si>
    <t>福建新增4例病例</t>
  </si>
  <si>
    <t>['福建', '新增', '4', '例', '病例']</t>
  </si>
  <si>
    <t>白岩松向武汉致敬</t>
  </si>
  <si>
    <t>['白岩松', '向', '武汉', '致敬']</t>
  </si>
  <si>
    <t>武汉自1月24日起网约车停止运营</t>
  </si>
  <si>
    <t>['武汉', '自', '1', '月', '24', '日起', '网约车', '停止', '运营']</t>
  </si>
  <si>
    <t>隔离病毒不能隔离爱</t>
  </si>
  <si>
    <t>['隔离', '病毒', '不能', '隔离', '爱']</t>
  </si>
  <si>
    <t>新型肺炎已治愈34例</t>
  </si>
  <si>
    <t>['新型', '肺炎', '已', '治愈', '34', '例']</t>
  </si>
  <si>
    <t>各地医生驰援湖北</t>
  </si>
  <si>
    <t>['各地', '医生', '驰援', '湖北']</t>
  </si>
  <si>
    <t>发热咳嗽非新冠肺炎唯一首发症状</t>
  </si>
  <si>
    <t>['发热', '咳嗽', '非新冠', '肺炎', '唯一', '首发', '症状']</t>
  </si>
  <si>
    <t>詹姆斯连续四年全明星票王</t>
  </si>
  <si>
    <t>['詹姆斯', '连续', '四年', '明星', '全明星', '票王']</t>
  </si>
  <si>
    <t>故宫博物院闭馆</t>
  </si>
  <si>
    <t>['故宫', '博物', '博物院', '故宫博物院', '闭馆']</t>
  </si>
  <si>
    <t>广东累计家庭聚集性疫情10起</t>
  </si>
  <si>
    <t>['广东', '累计', '家庭', '聚集', '性', '疫情', '10', '起']</t>
  </si>
  <si>
    <t>广东启动一级响应</t>
  </si>
  <si>
    <t>['广东', '启动', '一级', '响应']</t>
  </si>
  <si>
    <t>从武汉回来请自行隔离</t>
  </si>
  <si>
    <t>['从', '武汉', '回来', '请', '自行', '隔离']</t>
  </si>
  <si>
    <t>2020/01/25</t>
  </si>
  <si>
    <t>什么是突发公共卫生事件一级响应</t>
  </si>
  <si>
    <t>['什么', '是', '突发', '公共', '卫生', '公共卫生', '事件', '一级', '响应']</t>
  </si>
  <si>
    <t>钟南山称已有药物将用于临床治疗</t>
  </si>
  <si>
    <t>['南山', '钟南山', '称', '已有', '药物', '将', '用于', '临床', '治疗']</t>
  </si>
  <si>
    <t>陕西出现一名9岁新型肺炎病例</t>
  </si>
  <si>
    <t>['陕西', '出现', '一名', '9', '岁', '新型', '肺炎', '病例']</t>
  </si>
  <si>
    <t>急寻21日D3937次7号车厢乘客</t>
  </si>
  <si>
    <t>['急寻', '21', '日', 'D3937', '次', '7', '号', '车厢', '乘客']</t>
  </si>
  <si>
    <t>浙江医疗队出发增援武汉</t>
  </si>
  <si>
    <t>['浙江', '医疗', '医疗队', '出发', '增援', '武汉']</t>
  </si>
  <si>
    <t>年初一凌晨4点丈夫送妻出征武汉</t>
  </si>
  <si>
    <t>['年初', '初一', '年初一', '凌晨', '4', '点', '丈夫', '送妻', '出征', '武汉']</t>
  </si>
  <si>
    <t>天津广播 你别太自信了</t>
  </si>
  <si>
    <t>['天津', '广播', ' ', '你别', '太', '自信', '了']</t>
  </si>
  <si>
    <t>首个新冠病毒检测试剂盒通过检验</t>
  </si>
  <si>
    <t>['首个', '新冠', '病毒', '检测', '病毒检测', '试剂', '试剂盒', '通过', '检验']</t>
  </si>
  <si>
    <t>新年祝福新玩法</t>
  </si>
  <si>
    <t>['新年', '祝福', '新', '玩法']</t>
  </si>
  <si>
    <t>陕西启动一级响应</t>
  </si>
  <si>
    <t>['陕西', '启动', '一级', '响应']</t>
  </si>
  <si>
    <t>武汉所有医院发热门诊24小时接诊</t>
  </si>
  <si>
    <t>['武汉', '所有', '医院', '发热', '门诊', '24', '小时', '接诊']</t>
  </si>
  <si>
    <t>武汉将再建一个小汤山医院</t>
  </si>
  <si>
    <t>['武汉', '将', '再', '建', '一个', '小汤', '小汤山', '医院']</t>
  </si>
  <si>
    <t>张艺谋团队贺岁片</t>
  </si>
  <si>
    <t>['张艺谋', '团队', '贺岁', '贺岁片']</t>
  </si>
  <si>
    <t>武汉中心城区实行机动车禁行</t>
  </si>
  <si>
    <t>['武汉', '中心', '城区', '实行', '机动', '动车', '机动车', '禁行']</t>
  </si>
  <si>
    <t>泰州一感染科医生心脏骤停离世</t>
  </si>
  <si>
    <t>['泰州', '一', '感染', '科', '医生', '心脏', '骤停', '离世']</t>
  </si>
  <si>
    <t>压岁钱</t>
  </si>
  <si>
    <t>['压岁', '压岁钱']</t>
  </si>
  <si>
    <t>全国确诊新型肺炎1287例</t>
  </si>
  <si>
    <t>['全国', '确诊', '新型', '肺炎', '1287', '例']</t>
  </si>
  <si>
    <t>肖战谢娜方言小品</t>
  </si>
  <si>
    <t>['肖战', '谢娜', '方言', '小品']</t>
  </si>
  <si>
    <t>除夕夜空军3架运输机飞抵武汉</t>
  </si>
  <si>
    <t>['除夕', '除夕夜', '空军', '3', '架', '运输', '运输机', '飞抵', '武汉']</t>
  </si>
  <si>
    <t>辽宁新增8例确诊病例</t>
  </si>
  <si>
    <t>['辽宁', '新增', '8', '例', '确诊', '病例']</t>
  </si>
  <si>
    <t>火神山医院将于2月1日建成</t>
  </si>
  <si>
    <t>['火神', '山', '医院', '将', '于', '2', '月', '1', '日', '建成']</t>
  </si>
  <si>
    <t>梁武东医生因新冠肺炎去世</t>
  </si>
  <si>
    <t>['梁', '武东', '医生', '因新冠', '肺炎', '去世']</t>
  </si>
  <si>
    <t>150名解放军医护人员包机飞武汉</t>
  </si>
  <si>
    <t>['150', '名', '解放', '解放军', '医护', '护人', '人员', '医护人员', '包机', '飞', '武汉']</t>
  </si>
  <si>
    <t>武汉新型肺炎疑似患者产下女婴</t>
  </si>
  <si>
    <t>['武汉', '新型', '肺炎', '疑似', '患者', '产下', '女婴']</t>
  </si>
  <si>
    <t>对症和中药治愈北京2例患者</t>
  </si>
  <si>
    <t>['对症', '和', '中药', '治愈', '北京', '2', '例', '患者']</t>
  </si>
  <si>
    <t>医护人员的除夕夜</t>
  </si>
  <si>
    <t>['医护', '护人', '人员', '医护人员', '的', '除夕', '除夕夜']</t>
  </si>
  <si>
    <t>辽宁启动一级响应</t>
  </si>
  <si>
    <t>['辽宁', '启动', '一级', '响应']</t>
  </si>
  <si>
    <t>武汉护士14天瘦10斤</t>
  </si>
  <si>
    <t>['武汉', '护士', '14', '天瘦', '10', '斤']</t>
  </si>
  <si>
    <t>从重查处口罩大幅涨价行为</t>
  </si>
  <si>
    <t>['从重', '查处', '口罩', '大幅', '涨价', '行为']</t>
  </si>
  <si>
    <t>最小新型肺炎确诊病例仅2岁</t>
  </si>
  <si>
    <t>['最小', '新型', '肺炎', '确诊', '病例', '仅', '2', '岁']</t>
  </si>
  <si>
    <t>武汉版小汤山工人年夜饭</t>
  </si>
  <si>
    <t>['武汉', '版', '小汤', '小汤山', '工人', '年夜', '夜饭', '年夜饭']</t>
  </si>
  <si>
    <t>如何劝爸妈戴口罩</t>
  </si>
  <si>
    <t>['如何', '劝', '爸妈', '戴', '口罩']</t>
  </si>
  <si>
    <t>河南新增23例确诊病例</t>
  </si>
  <si>
    <t>['河南', '新增', '23', '例', '确诊', '病例']</t>
  </si>
  <si>
    <t>武汉征用24家医院万张床位</t>
  </si>
  <si>
    <t>['武汉', '征用', '24', '家', '医院', '万张', '床位']</t>
  </si>
  <si>
    <t>广东已发现13起家庭聚集性疫情</t>
  </si>
  <si>
    <t>['广东', '已', '发现', '13', '起', '家庭', '聚集', '性', '疫情']</t>
  </si>
  <si>
    <t>用过的口罩如何处理</t>
  </si>
  <si>
    <t>['用过', '的', '口罩', '如何', '处理']</t>
  </si>
  <si>
    <t>字节跳动为医护人员捐赠2亿</t>
  </si>
  <si>
    <t>['字节', '跳动', '为', '医护', '护人', '人员', '医护人员', '捐赠', '2', '亿']</t>
  </si>
  <si>
    <t>大年初一</t>
  </si>
  <si>
    <t>['大年', '年初', '初一', '年初一', '大年初一']</t>
  </si>
  <si>
    <t>90后男护士取消婚礼回岗待命</t>
  </si>
  <si>
    <t>['90', '后', '护士', '男护士', '取消', '婚礼', '回岗', '待命']</t>
  </si>
  <si>
    <t>卫健委派1230人医疗队驰援武汉</t>
  </si>
  <si>
    <t>['卫健', '委派', '1230', '人', '医疗', '医疗队', '驰援', '武汉']</t>
  </si>
  <si>
    <t>22日K1068次列车4号车厢</t>
  </si>
  <si>
    <t>['22', '日', 'K1068', '列车', '次列车', '4', '号', '车厢']</t>
  </si>
  <si>
    <t>徐峥回应囧妈初一上线免费播出</t>
  </si>
  <si>
    <t>['徐峥', '回应', '囧', '妈', '初一', '上线', '免费', '播出']</t>
  </si>
  <si>
    <t>新加坡抵杭州一航班所有乘客隔离</t>
  </si>
  <si>
    <t>['新加坡', '抵', '杭州', '一', '航班', '所有', '乘客', '隔离']</t>
  </si>
  <si>
    <t>武汉小汤山医院定名火神山医院</t>
  </si>
  <si>
    <t>['武汉', '小汤', '小汤山', '医院', '定名', '火神', '山', '医院']</t>
  </si>
  <si>
    <t>2020/01/26</t>
  </si>
  <si>
    <t>全国确诊新型肺炎1975例</t>
  </si>
  <si>
    <t>['全国', '确诊', '新型', '肺炎', '1975', '例']</t>
  </si>
  <si>
    <t>最新疫情地图</t>
  </si>
  <si>
    <t>['最新', '疫情', '地图']</t>
  </si>
  <si>
    <t>韩雪张含韵 后妈茶话会</t>
  </si>
  <si>
    <t>['韩雪', '张含韵', ' ', '后妈', '茶话', '茶话会']</t>
  </si>
  <si>
    <t>20日吉林JG4666大巴乘客</t>
  </si>
  <si>
    <t>['20', '日', '吉林', 'JG4666', '大巴', '乘客']</t>
  </si>
  <si>
    <t>陶勇 如果做不了手术可以做研究</t>
  </si>
  <si>
    <t>['陶勇', ' ', '如果', '不了', '做不了', '手术', '可以', '做', '研究']</t>
  </si>
  <si>
    <t>医生蹲在家门口吃年夜饭</t>
  </si>
  <si>
    <t>['医生', '蹲', '在', '家门', '门口', '家门口', '吃', '年夜', '夜饭', '年夜饭']</t>
  </si>
  <si>
    <t>湖南一卫生健康局局长被停职</t>
  </si>
  <si>
    <t>['湖南', '一', '卫生', '健康', '局长', '局局长', '被', '停职']</t>
  </si>
  <si>
    <t>抗艾滋病药物可试用新型肺炎</t>
  </si>
  <si>
    <t>['抗', '艾滋', '艾滋病', '药物', '可', '试用', '新型', '肺炎']</t>
  </si>
  <si>
    <t>张一山杨紫同台献唱</t>
  </si>
  <si>
    <t>['张一', '山杨', '紫', '同台', '献唱']</t>
  </si>
  <si>
    <t>适当延长春节假期</t>
  </si>
  <si>
    <t>['适当', '延长', '春节', '节假', '假期', '春节假期']</t>
  </si>
  <si>
    <t>山西新增3例确诊病例</t>
  </si>
  <si>
    <t>['山西', '新增', '3', '例', '确诊', '病例']</t>
  </si>
  <si>
    <t>多地取消2020年2月2日结婚登记</t>
  </si>
  <si>
    <t>['多地', '取消', '2020', '年', '2', '月', '2', '日', '结婚', '登记', '结婚登记']</t>
  </si>
  <si>
    <t>武汉未来3天或将开放5000张床位</t>
  </si>
  <si>
    <t>['武汉', '未来', '3', '天', '或', '将', '开放', '5000', '张', '床位']</t>
  </si>
  <si>
    <t>最硬核的村级防控</t>
  </si>
  <si>
    <t>['最', '硬核', '的', '村级', '防控']</t>
  </si>
  <si>
    <t>北京道路省际客运停运</t>
  </si>
  <si>
    <t>['北京', '道路', '省际', '客运', '停运']</t>
  </si>
  <si>
    <t>48小时改建黄冈版小汤山医院</t>
  </si>
  <si>
    <t>['48', '小时', '改建', '黄冈', '版', '小汤', '小汤山', '医院']</t>
  </si>
  <si>
    <t>民警沿街喊话督促麻将馆关门</t>
  </si>
  <si>
    <t>['民警', '沿街', '喊话', '督促', '麻将', '麻将馆', '关门']</t>
  </si>
  <si>
    <t>传染病学专家表示疫情已刻不容缓</t>
  </si>
  <si>
    <t>['传染', '染病', '传染病', '学', '专家', '表示', '疫情', '已', '不容', '刻不容缓']</t>
  </si>
  <si>
    <t>中国疾控中心开始研发疫苗</t>
  </si>
  <si>
    <t>['中国', '中心', '疾控中心', '开始', '研发', '疫苗']</t>
  </si>
  <si>
    <t>白岩松今晚不会对话钟南山</t>
  </si>
  <si>
    <t>['白岩松', '今晚', '不会', '对话', '南山', '钟南山']</t>
  </si>
  <si>
    <t>上海出现首例死亡病例</t>
  </si>
  <si>
    <t>['上海', '出现', '首例', '死亡', '病例']</t>
  </si>
  <si>
    <t>北京三名医生感染新型肺炎</t>
  </si>
  <si>
    <t>['北京', '三名', '医生', '感染', '新型', '肺炎']</t>
  </si>
  <si>
    <t>正月十五前武汉疫情可能出现拐点</t>
  </si>
  <si>
    <t>['正月', '十五', '正月十五', '前', '武汉', '疫情', '可能', '出现', '拐点']</t>
  </si>
  <si>
    <t>全国旅行社暂停团队游</t>
  </si>
  <si>
    <t>['全国', '旅行', '行社', '旅行社', '暂停', '团队', '游']</t>
  </si>
  <si>
    <t>肖战 沧海一声笑</t>
  </si>
  <si>
    <t>['肖战', ' ', '沧海', '一声', '笑']</t>
  </si>
  <si>
    <t>多方驰援武汉</t>
  </si>
  <si>
    <t>['多方', '驰援', '武汉']</t>
  </si>
  <si>
    <t>新冠病毒传播途径不仅靠飞沫</t>
  </si>
  <si>
    <t>['新冠', '病毒', '传播', '病毒传播', '途径', '不仅', '靠', '飞沫']</t>
  </si>
  <si>
    <t>山东新增12例确诊病例</t>
  </si>
  <si>
    <t>['山东', '新增', '12', '例', '确诊', '病例']</t>
  </si>
  <si>
    <t>医疗队行李箱里的成人纸尿裤</t>
  </si>
  <si>
    <t>['医疗', '医疗队', '行李', '行李箱', '里', '的', '成人', '纸尿裤']</t>
  </si>
  <si>
    <t>湖北新型肺炎确诊病例1052例</t>
  </si>
  <si>
    <t>['湖北', '新型', '肺炎', '确诊', '病例', '1052', '例']</t>
  </si>
  <si>
    <t>黑龙江启动一级响应</t>
  </si>
  <si>
    <t>['龙江', '黑龙江', '启动', '一级', '响应']</t>
  </si>
  <si>
    <t>山东暂停省际班车客运</t>
  </si>
  <si>
    <t>['山东', '暂停', '省际', '班车', '客运']</t>
  </si>
  <si>
    <t>武汉金银潭院长称是战时状态</t>
  </si>
  <si>
    <t>['武汉', '金银', '潭', '院长', '称', '是', '战时', '状态']</t>
  </si>
  <si>
    <t>30种可能对新型肺炎有治疗作用的药物</t>
  </si>
  <si>
    <t>['30', '种', '可能', '对', '新型', '肺炎', '有', '治疗', '作用', '的', '药物']</t>
  </si>
  <si>
    <t>广东汕头禁止车辆船只人员进入</t>
  </si>
  <si>
    <t>['广东', '汕头', '禁止', '车辆', '船只', '人员', '进入']</t>
  </si>
  <si>
    <t>北京大中小学幼儿园延期开学</t>
  </si>
  <si>
    <t>['北京', '大中', '中小', '小学', '大中小', '中小学', '大中小学', '幼儿', '幼儿园', '延期', '开学']</t>
  </si>
  <si>
    <t>首例武汉返乡人员拒绝居家隔离者</t>
  </si>
  <si>
    <t>['首例', '武汉', '返乡', '人员', '拒绝', '居家', '隔离', '者']</t>
  </si>
  <si>
    <t>张杰岳云鹏跨界合作</t>
  </si>
  <si>
    <t>['张杰', '岳云鹏', '跨界', '合作']</t>
  </si>
  <si>
    <t>这样劝爸妈不串门</t>
  </si>
  <si>
    <t>['这样', '劝', '爸妈', '不', '串门']</t>
  </si>
  <si>
    <t>詹姆斯生涯总得分超科比</t>
  </si>
  <si>
    <t>['詹姆斯', '生涯', '总得', '得分', '总得分', '超', '科比']</t>
  </si>
  <si>
    <t>华南海鲜市场存在大量新冠病毒</t>
  </si>
  <si>
    <t>['华南', '海鲜', '市场', '存在', '大量', '新冠', '病毒']</t>
  </si>
  <si>
    <t>范丞丞欧阳娜娜合唱</t>
  </si>
  <si>
    <t>['范丞丞', '欧阳', '娜娜', '合唱']</t>
  </si>
  <si>
    <t>陆军军医大学医疗队抵达武汉</t>
  </si>
  <si>
    <t>['陆军', '军医', '医大', '大学', '军医大', '军医大学', '医疗', '医疗队', '抵达', '武汉']</t>
  </si>
  <si>
    <t>武汉火神山医院第一间病房建成</t>
  </si>
  <si>
    <t>['武汉', '火神', '山', '医院', '第一', '一间', '第一间', '病房', '建成']</t>
  </si>
  <si>
    <t>2020/01/27</t>
  </si>
  <si>
    <t>科比女儿Gigi去世</t>
  </si>
  <si>
    <t>['科比', '女儿', 'Gigi', '去世']</t>
  </si>
  <si>
    <t>全国累计确诊新型肺炎2744例</t>
  </si>
  <si>
    <t>['全国', '累计', '确诊', '新型', '肺炎', '2744', '例']</t>
  </si>
  <si>
    <t>科比去世</t>
  </si>
  <si>
    <t>['科比', '去世']</t>
  </si>
  <si>
    <t>河南版小汤山医院开建</t>
  </si>
  <si>
    <t>['河南', '版', '小汤', '小汤山', '医院', '开建']</t>
  </si>
  <si>
    <t>疫情防控期间居民用电欠费不停电</t>
  </si>
  <si>
    <t>['疫情', '防控', '期间', '居民', '用电', '欠费', '不停', '电']</t>
  </si>
  <si>
    <t>凌晨四点的洛杉矶</t>
  </si>
  <si>
    <t>['凌晨', '四点', '的', '洛杉矶']</t>
  </si>
  <si>
    <t>詹姆斯得知科比去世泪崩</t>
  </si>
  <si>
    <t>['詹姆斯', '得知', '科比', '去世', '泪崩']</t>
  </si>
  <si>
    <t>山东确诊病例全部处于轻症状态</t>
  </si>
  <si>
    <t>['山东', '确诊', '病例', '全部', '处于', '轻症', '状态']</t>
  </si>
  <si>
    <t>缅怀科比</t>
  </si>
  <si>
    <t>['缅怀', '科比']</t>
  </si>
  <si>
    <t>李克强总理来到武汉</t>
  </si>
  <si>
    <t>['李克强', '总理', '来到', '武汉']</t>
  </si>
  <si>
    <t>让福建人说一句防护服</t>
  </si>
  <si>
    <t>['让', '福建', '福建人', '说', '一句', '防护', '防护服']</t>
  </si>
  <si>
    <t>医生父子隔防护玻璃互相打气</t>
  </si>
  <si>
    <t>['医生', '父子', '隔', '防护', '玻璃', '互相', '打气']</t>
  </si>
  <si>
    <t>宋茜宋威龙姐弟恋</t>
  </si>
  <si>
    <t>['宋茜', '宋', '威龙', '姐弟', '姐弟恋']</t>
  </si>
  <si>
    <t>疫情解除前全国禁止野生动物交易</t>
  </si>
  <si>
    <t>['疫情', '解除', '前', '全国', '禁止', '野生', '生动', '动物', '野生动物', '交易']</t>
  </si>
  <si>
    <t>武汉医护人员接受采访声音沙哑</t>
  </si>
  <si>
    <t>['武汉', '医护', '护人', '人员', '医护人员', '接受', '采访', '声音', '沙哑']</t>
  </si>
  <si>
    <t>浙江成功分离到新型冠状病毒毒株</t>
  </si>
  <si>
    <t>['浙江', '成功', '分离', '到', '新型', '冠状', '病毒', '冠状病毒', '毒株']</t>
  </si>
  <si>
    <t>肖战 竹石</t>
  </si>
  <si>
    <t>['肖战', ' ', '竹石']</t>
  </si>
  <si>
    <t>硬核护村大使</t>
  </si>
  <si>
    <t>['硬核', '护村', '大使']</t>
  </si>
  <si>
    <t>央视记者专访武汉市市长</t>
  </si>
  <si>
    <t>['央视', '记者', '专访', '武汉', '武汉市', '市长']</t>
  </si>
  <si>
    <t>武汉记者直播中数度哽咽</t>
  </si>
  <si>
    <t>['武汉', '记者', '直播', '中', '数度', '哽咽']</t>
  </si>
  <si>
    <t>全国财政已投112.1亿防控疫情</t>
  </si>
  <si>
    <t>['全国', '财政', '已', '投', '112.1', '亿', '防控', '疫情']</t>
  </si>
  <si>
    <t>免除个人负担政策扩大至疑似病人</t>
  </si>
  <si>
    <t>['免除', '个人', '负担', '政策', '扩大', '至', '疑似', '病人']</t>
  </si>
  <si>
    <t>科比高以翔合影</t>
  </si>
  <si>
    <t>['科比', '高以翔', '合影']</t>
  </si>
  <si>
    <t>武汉确诊病例可能再增加约1000例</t>
  </si>
  <si>
    <t>['武汉', '确诊', '病例', '可能', '再', '增加', '约', '1000', '例']</t>
  </si>
  <si>
    <t>钟南山团队防护物资奇缺</t>
  </si>
  <si>
    <t>['南山', '钟南山', '团队', '防护', '物资', '奇缺']</t>
  </si>
  <si>
    <t>海南首例新型肺炎病例死亡</t>
  </si>
  <si>
    <t>['海南', '首例', '新型', '肺炎', '病例', '死亡']</t>
  </si>
  <si>
    <t>安徽出现聚集性疫情</t>
  </si>
  <si>
    <t>['安徽', '出现', '聚集', '性', '疫情']</t>
  </si>
  <si>
    <t>日本不分国籍公费治疗新冠肺炎</t>
  </si>
  <si>
    <t>['日本', '不', '分', '国籍', '公费', '治疗', '新冠', '肺炎']</t>
  </si>
  <si>
    <t>阿富汗航班坠毁</t>
  </si>
  <si>
    <t>['阿富汗', '航班', '坠毁']</t>
  </si>
  <si>
    <t>胡一菲曾小贤错过</t>
  </si>
  <si>
    <t>['胡一菲', '曾', '小贤', '错过']</t>
  </si>
  <si>
    <t>上海延迟复工和开学</t>
  </si>
  <si>
    <t>['上海', '延迟', '复工', '和', '开学']</t>
  </si>
  <si>
    <t>9个月婴儿确诊新型肺炎</t>
  </si>
  <si>
    <t>['9', '个', '月', '婴儿', '确诊', '新型', '肺炎']</t>
  </si>
  <si>
    <t>武汉市长承认信息披露不及时</t>
  </si>
  <si>
    <t>['武汉', '武汉市', '长', '承认', '信息', '披露', '不', '及时']</t>
  </si>
  <si>
    <t>武汉协和医护人员临床症状得到控制</t>
  </si>
  <si>
    <t>['武汉', '协和', '医护', '护人', '人员', '医护人员', '临床', '症状', '得到', '控制']</t>
  </si>
  <si>
    <t>武汉民宗委原主任去世</t>
  </si>
  <si>
    <t>['武汉', '民宗委原', '主任', '去世']</t>
  </si>
  <si>
    <t>广东首株新型冠状病毒毒株分离</t>
  </si>
  <si>
    <t>['广东', '首株', '新型', '冠状', '病毒', '冠状病毒', '毒株', '分离']</t>
  </si>
  <si>
    <t>山东首个新型冠状病毒检测产品</t>
  </si>
  <si>
    <t>['山东', '首个', '新型', '冠状', '病毒', '冠状病毒', '检测', '产品']</t>
  </si>
  <si>
    <t>无聊到跟Siri玩成语接龙</t>
  </si>
  <si>
    <t>['无聊', '到', '跟', 'Siri', '玩', '成语', '接龙']</t>
  </si>
  <si>
    <t>科比三天前为中国送祝福</t>
  </si>
  <si>
    <t>['科比', '三天', '前', '为', '中国', '祝福', '送祝福']</t>
  </si>
  <si>
    <t>格莱美致敬科比</t>
  </si>
  <si>
    <t>['格莱美', '致敬', '科比']</t>
  </si>
  <si>
    <t>火神山医院将移交军方</t>
  </si>
  <si>
    <t>['火神', '山', '医院', '将', '移交', '军方']</t>
  </si>
  <si>
    <t>球迷听到科比去世哭成泪人</t>
  </si>
  <si>
    <t>['球迷', '听到', '科比', '去世', '哭', '成', '泪人']</t>
  </si>
  <si>
    <t>有500多万人离开了武汉</t>
  </si>
  <si>
    <t>['有', '500', '多万', '人', '离开', '了', '武汉']</t>
  </si>
  <si>
    <t>2020/01/28</t>
  </si>
  <si>
    <t>西藏启动二级响应</t>
  </si>
  <si>
    <t>['西藏', '启动', '二级', '响应']</t>
  </si>
  <si>
    <t>小型客车免费通行延长至2月2日</t>
  </si>
  <si>
    <t>['小型', '客车', '免费', '通行', '延长', '至', '2', '月', '2', '日']</t>
  </si>
  <si>
    <t>全国累计确诊病例增至4515例</t>
  </si>
  <si>
    <t>['全国', '累计', '确诊', '病例', '增至', '4515', '例']</t>
  </si>
  <si>
    <t>轻症病人1周左右恢复</t>
  </si>
  <si>
    <t>['轻症', '病人', '1', '周', '左右', '恢复']</t>
  </si>
  <si>
    <t>新型冠状病毒对所有年龄组都易感</t>
  </si>
  <si>
    <t>['新型', '冠状', '病毒', '冠状病毒', '对', '所有', '年龄', '年龄组', '都', '易感']</t>
  </si>
  <si>
    <t>新型冠状病毒可通过接触传播</t>
  </si>
  <si>
    <t>['新型', '冠状', '病毒', '冠状病毒', '可', '通过', '接触', '传播']</t>
  </si>
  <si>
    <t>河南新增确诊40例新型肺炎</t>
  </si>
  <si>
    <t>['河南', '新增', '确诊', '40', '例', '新型', '肺炎']</t>
  </si>
  <si>
    <t>抖音线上免费春节档电影</t>
  </si>
  <si>
    <t>['抖音线', '上', '免费', '春节', '档', '电影']</t>
  </si>
  <si>
    <t>新型冠状病毒疫苗研发正式立项</t>
  </si>
  <si>
    <t>['新型', '冠状', '病毒', '冠状病毒', '疫苗', '研发', '正式', '立项']</t>
  </si>
  <si>
    <t>回收废品的老人捐款1万元</t>
  </si>
  <si>
    <t>['回收', '废品', '的', '老人', '捐款', '1', '万元']</t>
  </si>
  <si>
    <t>地域重视不能变成地域歧视</t>
  </si>
  <si>
    <t>['地域', '重视', '不能', '变成', '地域', '歧视']</t>
  </si>
  <si>
    <t>在美留学生募集340万防护服捐武汉</t>
  </si>
  <si>
    <t>['在', '美', '留学', '学生', '留学生', '募集', '340', '万', '防护', '防护服', '捐', '武汉']</t>
  </si>
  <si>
    <t>河南全省学校推迟开学</t>
  </si>
  <si>
    <t>['河南', '全省', '学校', '推迟', '开学']</t>
  </si>
  <si>
    <t>全国卫视减少娱乐性节目</t>
  </si>
  <si>
    <t>['全国', '卫视', '减少', '娱乐', '娱乐性', '节目']</t>
  </si>
  <si>
    <t>清华博士宅在家给猫讲函数</t>
  </si>
  <si>
    <t>['清华', '博士', '宅', '在家', '给', '猫', '讲', '函数']</t>
  </si>
  <si>
    <t>疫情1周或10天左右达到高峰</t>
  </si>
  <si>
    <t>['疫情', '1', '周', '或', '10', '天', '左右', '达到', '高峰']</t>
  </si>
  <si>
    <t>广西急寻超5000名同行乘客</t>
  </si>
  <si>
    <t>['广西', '急', '寻超', '5000', '名', '同行', '乘客']</t>
  </si>
  <si>
    <t>卫健委回应公布数据与网传差太多</t>
  </si>
  <si>
    <t>['卫健委', '回应', '公布', '数据', '与', '网传', '太多', '差太多']</t>
  </si>
  <si>
    <t>易烊千玺教你做面包</t>
  </si>
  <si>
    <t>['易', '烊', '千玺', '教你做', '面包']</t>
  </si>
  <si>
    <t>全国医疗队近6000人支援湖北</t>
  </si>
  <si>
    <t>['全国', '医疗', '医疗队', '近', '6000', '人', '支援', '湖北']</t>
  </si>
  <si>
    <t>火神山医院第一间样板病房出炉</t>
  </si>
  <si>
    <t>['火神', '山', '医院', '第一', '一间', '第一间', '样板', '病房', '出炉']</t>
  </si>
  <si>
    <t>新年睡衣大赛</t>
  </si>
  <si>
    <t>['新年', '睡衣', '大赛']</t>
  </si>
  <si>
    <t>专家回应假期是否需再延长</t>
  </si>
  <si>
    <t>['专家', '回应', '假期', '是否', '需再', '延长']</t>
  </si>
  <si>
    <t>钟南山为支援湖北医疗队加油</t>
  </si>
  <si>
    <t>['南山', '钟南山', '为', '支援', '湖北', '医疗', '医疗队', '加油']</t>
  </si>
  <si>
    <t>钟南山 病例不会大规模增加了</t>
  </si>
  <si>
    <t>['南山', '钟南山', ' ', '病例', '不会', '大规', '规模', '大规模', '增加', '了']</t>
  </si>
  <si>
    <t>教育部通知延期开学</t>
  </si>
  <si>
    <t>['教育', '教育部', '通知', '延期', '开学']</t>
  </si>
  <si>
    <t>王一博剑舞</t>
  </si>
  <si>
    <t>['王一博', '剑舞']</t>
  </si>
  <si>
    <t>新型肺炎出现无症状感染者</t>
  </si>
  <si>
    <t>['新型', '肺炎', '出现', '症状', '无症状', '感染', '感染者']</t>
  </si>
  <si>
    <t>湖北新增确诊病例1291例</t>
  </si>
  <si>
    <t>['湖北', '新增', '确诊', '病例', '1291', '例']</t>
  </si>
  <si>
    <t>药房进价十倍卖口罩被罚300万</t>
  </si>
  <si>
    <t>['药房', '进价', '十倍', '卖', '口罩', '被', '罚', '300', '万']</t>
  </si>
  <si>
    <t>消费者质疑口罩太贵遭殴打</t>
  </si>
  <si>
    <t>['消费', '消费者', '质疑', '口罩', '太贵', '遭', '殴打']</t>
  </si>
  <si>
    <t>河南一小区300多户要被隔离14天</t>
  </si>
  <si>
    <t>['河南', '一', '小区', '300', '多户', '要', '被', '隔离', '14', '天']</t>
  </si>
  <si>
    <t>詹姆斯悼念科比</t>
  </si>
  <si>
    <t>['詹姆斯', '悼念', '科比']</t>
  </si>
  <si>
    <t>武汉红十字会收取服务费是谣言</t>
  </si>
  <si>
    <t>['武汉', '十字', '红十字', '红十字会', '收取', '服务', '服务费', '是', '谣言']</t>
  </si>
  <si>
    <t>这几天女孩子的头发</t>
  </si>
  <si>
    <t>['这', '几天', '女孩', '孩子', '女孩子', '的', '头发']</t>
  </si>
  <si>
    <t>安徽新增确诊病例36例</t>
  </si>
  <si>
    <t>['安徽', '新增', '确诊', '病例', '36', '例']</t>
  </si>
  <si>
    <t>天津首批病毒检测试剂盒发往武汉</t>
  </si>
  <si>
    <t>['天津', '首批', '病毒', '检测', '病毒检测', '试剂', '试剂盒', '发', '往', '武汉']</t>
  </si>
  <si>
    <t>汶川地震幸存女护士请战武汉</t>
  </si>
  <si>
    <t>['汶川', '地震', '幸存', '护士', '女护士', '请战', '武汉']</t>
  </si>
  <si>
    <t>鼠年好歌喉</t>
  </si>
  <si>
    <t>['鼠年', '好', '歌喉']</t>
  </si>
  <si>
    <t>各地村干部大喇叭喊话pk</t>
  </si>
  <si>
    <t>['各地', '干部', '村干部', '大', '喇叭', '喊话', 'pk']</t>
  </si>
  <si>
    <t>一颗白菜卖63.9元被罚50万</t>
  </si>
  <si>
    <t>['一颗', '白菜', '卖', '63.9', '元', '被', '罚', '50', '万']</t>
  </si>
  <si>
    <t>白岩松 真相要跑到谣言前面</t>
  </si>
  <si>
    <t>['白岩松', ' ', '真相', '要', '跑', '到', '谣言', '前面']</t>
  </si>
  <si>
    <t>日本华人狂买口罩寄回国内</t>
  </si>
  <si>
    <t>['日本', '华人', '狂买', '口罩', '寄回', '国内']</t>
  </si>
  <si>
    <t>山东2万副护目镜驰援武汉</t>
  </si>
  <si>
    <t>['山东', '2', '万', '副', '护目', '目镜', '护目镜', '驰援', '武汉']</t>
  </si>
  <si>
    <t>江苏新增23例新型肺炎</t>
  </si>
  <si>
    <t>['江苏', '新增', '23', '例', '新型', '肺炎']</t>
  </si>
  <si>
    <t>重庆新增22例确诊病例</t>
  </si>
  <si>
    <t>['重庆', '新增', '22', '例', '确诊', '病例']</t>
  </si>
  <si>
    <t>山西新增7例确诊病例</t>
  </si>
  <si>
    <t>['山西', '新增', '7', '例', '确诊', '病例']</t>
  </si>
  <si>
    <t>小伙丢下500个口罩就跑</t>
  </si>
  <si>
    <t>['小伙', '丢下', '500', '个', '口罩', '就', '跑']</t>
  </si>
  <si>
    <t>2020/01/29</t>
  </si>
  <si>
    <t>全国累计确诊病例增至5974例</t>
  </si>
  <si>
    <t>['全国', '累计', '确诊', '病例', '增至', '5974', '例']</t>
  </si>
  <si>
    <t>专家回应无症状患者也会传染</t>
  </si>
  <si>
    <t>['专家', '回应', '症状', '无症状', '患者', '也', '会', '传染']</t>
  </si>
  <si>
    <t>李兰娟 离拥有疫苗已经很近了</t>
  </si>
  <si>
    <t>['李兰娟', ' ', '离', '拥有', '疫苗', '已经', '很近', '了']</t>
  </si>
  <si>
    <t>林俊杰 Stay With You</t>
  </si>
  <si>
    <t>['俊杰', '林俊杰', ' ', 'Stay', ' ', 'With', ' ', 'You']</t>
  </si>
  <si>
    <t>科比坠机事故9具遗体全部找到</t>
  </si>
  <si>
    <t>['科比', '坠机', '事故', '9', '具', '遗体', '全部', '找到']</t>
  </si>
  <si>
    <t>新型肺炎确诊人数超过非典</t>
  </si>
  <si>
    <t>['新型', '肺炎', '确诊', '人数', '超过', '非典']</t>
  </si>
  <si>
    <t>五花八门的消遣方式</t>
  </si>
  <si>
    <t>['五花', '八门', '五花八门', '的', '消遣', '方式']</t>
  </si>
  <si>
    <t>广东新增53例新型肺炎</t>
  </si>
  <si>
    <t>['广东', '新增', '53', '例', '新型', '肺炎']</t>
  </si>
  <si>
    <t>浙江新增123例新型肺炎</t>
  </si>
  <si>
    <t>['浙江', '新增', '123', '例', '新型', '肺炎']</t>
  </si>
  <si>
    <t>贵州28日无新型肺炎新增病例</t>
  </si>
  <si>
    <t>['贵州', '28', '日', '无', '新型', '肺炎', '新增', '病例']</t>
  </si>
  <si>
    <t>3种药物对病毒有较好抑制作用</t>
  </si>
  <si>
    <t>['3', '种', '药物', '对', '病毒', '有', '较', '好', '抑制', '制作', '作用', '抑制作用']</t>
  </si>
  <si>
    <t>同学会6人感染新型肺炎</t>
  </si>
  <si>
    <t>['同学', '学会', '同学会', '6', '人', '感染', '新型', '肺炎']</t>
  </si>
  <si>
    <t>新型肺炎疫情可能元宵节前好转</t>
  </si>
  <si>
    <t>['新型', '肺炎', '疫情', '可能', '元宵', '元宵节', '前', '好转']</t>
  </si>
  <si>
    <t>合肥一市民送200个口罩到派出所</t>
  </si>
  <si>
    <t>['合肥', '一', '市民', '送', '200', '个', '口罩', '到', '派出', '派出所']</t>
  </si>
  <si>
    <t>日本确诊大巴司机曾载大连旅行团</t>
  </si>
  <si>
    <t>['日本', '确诊', '大巴', '司机', '曾载', '大连', '旅行', '旅行团']</t>
  </si>
  <si>
    <t>武汉87岁婆婆治愈出院</t>
  </si>
  <si>
    <t>['武汉', '87', '岁', '婆婆', '治愈', '出院']</t>
  </si>
  <si>
    <t>一场同学会感染6个新型肺炎</t>
  </si>
  <si>
    <t>['一场', '同学', '学会', '同学会', '感染', '6', '个', '新型', '肺炎']</t>
  </si>
  <si>
    <t>河南新增38例新型肺炎</t>
  </si>
  <si>
    <t>['河南', '新增', '38', '例', '新型', '肺炎']</t>
  </si>
  <si>
    <t>安徽省首例确诊病例治愈出院</t>
  </si>
  <si>
    <t>['安徽', '安徽省', '首例', '确诊', '病例', '治愈', '出院']</t>
  </si>
  <si>
    <t>各球队比赛现场纪念科比</t>
  </si>
  <si>
    <t>['各', '球队', '比赛', '现场', '纪念', '科比']</t>
  </si>
  <si>
    <t>肖战吃到金币饺子</t>
  </si>
  <si>
    <t>['肖战', '吃', '到', '金币', '饺子']</t>
  </si>
  <si>
    <t>湖北新增确诊病例840例</t>
  </si>
  <si>
    <t>['湖北', '新增', '确诊', '病例', '840', '例']</t>
  </si>
  <si>
    <t>无锡市桥面侧翻事故17官员被处理</t>
  </si>
  <si>
    <t>['无锡', '无锡市', '桥面', '侧翻', '事故', '17', '官员', '被', '处理']</t>
  </si>
  <si>
    <t>山东新增26例新型肺炎</t>
  </si>
  <si>
    <t>['山东', '新增', '26', '例', '新型', '肺炎']</t>
  </si>
  <si>
    <t>退役军人买4000只口罩发给市民</t>
  </si>
  <si>
    <t>['退役', '军人', '退役军人', '买', '4000', '只', '口罩', '发给', '市民']</t>
  </si>
  <si>
    <t>重庆首例确诊病例治愈出院</t>
  </si>
  <si>
    <t>['重庆', '首例', '确诊', '病例', '治愈', '出院']</t>
  </si>
  <si>
    <t>得知同行好友感染病危医生泪崩</t>
  </si>
  <si>
    <t>['得知', '同行', '好友', '感染', '病危', '医生', '泪崩']</t>
  </si>
  <si>
    <t>分离到三株新型冠状病毒毒株</t>
  </si>
  <si>
    <t>['分离', '到', '三株', '新型', '冠状', '病毒', '冠状病毒', '毒株']</t>
  </si>
  <si>
    <t>金银潭医院院长身患渐冻症</t>
  </si>
  <si>
    <t>['金银', '潭', '医院', '院长', '医院院长', '身患', '渐冻症']</t>
  </si>
  <si>
    <t>科比 时代周刊封面</t>
  </si>
  <si>
    <t>['科比', ' ', '时代', '周刊', '时代周刊', '封面']</t>
  </si>
  <si>
    <t>初五迎财神</t>
  </si>
  <si>
    <t>['初五', '迎', '财神']</t>
  </si>
  <si>
    <t>朱一龙捐款100万元支援武汉</t>
  </si>
  <si>
    <t>['朱一龙', '捐款', '100', '万元', '支援', '武汉']</t>
  </si>
  <si>
    <t>公安部正式明确严禁擅自封路</t>
  </si>
  <si>
    <t>['公安', '安部', '公安部', '正式', '明确', '严禁', '擅自', '封路']</t>
  </si>
  <si>
    <t>安徽最小确诊患者仅8个月大</t>
  </si>
  <si>
    <t>['安徽', '最小', '确诊', '患者', '仅', '8', '个', '月', '大']</t>
  </si>
  <si>
    <t>丈夫送妻驰援武汉喊话做一年家务</t>
  </si>
  <si>
    <t>['丈夫', '送妻', '驰援', '武汉', '喊话', '做', '一年', '家务']</t>
  </si>
  <si>
    <t>白宫暂时不暂停中美航班</t>
  </si>
  <si>
    <t>['白宫', '暂时', '不', '暂停', '中', '美', '航班']</t>
  </si>
  <si>
    <t>四川首例病例治愈</t>
  </si>
  <si>
    <t>['四川', '首例', '病例', '治愈']</t>
  </si>
  <si>
    <t>白宫考虑取消中美间所有航班</t>
  </si>
  <si>
    <t>['白宫', '考虑', '取消', '中美', '中美间', '所有', '航班']</t>
  </si>
  <si>
    <t>奥尼尔缅怀科比落泪</t>
  </si>
  <si>
    <t>['尼尔', '奥尼尔', '缅怀', '科比', '落泪']</t>
  </si>
  <si>
    <t>这116个车次航班发现患者</t>
  </si>
  <si>
    <t>['这', '116', '个', '车次', '航班', '发现', '患者']</t>
  </si>
  <si>
    <t>适量补充维C可抗击新冠病毒</t>
  </si>
  <si>
    <t>['适量', '补充', '维', 'C', '可', '抗击', '新冠', '病毒']</t>
  </si>
  <si>
    <t>李佳航在家旅游</t>
  </si>
  <si>
    <t>['李佳航', '在家', '旅游']</t>
  </si>
  <si>
    <t>武汉市委书记回应歧视湖北人</t>
  </si>
  <si>
    <t>['武汉', '市委', '书记', '市委书记', '回应', '歧视', '湖北', '人']</t>
  </si>
  <si>
    <t>黄冈版小汤山正式启用</t>
  </si>
  <si>
    <t>['黄冈', '版', '小汤', '小汤山', '正式', '启用']</t>
  </si>
  <si>
    <t>内蒙古新增3例新型肺炎</t>
  </si>
  <si>
    <t>['内蒙', '蒙古', '内蒙古', '新增', '3', '例', '新型', '肺炎']</t>
  </si>
  <si>
    <t>2020/01/30</t>
  </si>
  <si>
    <t>科比妻子更换头像</t>
  </si>
  <si>
    <t>['科比', '妻子', '更换', '头像']</t>
  </si>
  <si>
    <t>安徽新增48例确诊病例</t>
  </si>
  <si>
    <t>['安徽', '新增', '48', '例', '确诊', '病例']</t>
  </si>
  <si>
    <t>女子报警谎称男友有新型肺炎</t>
  </si>
  <si>
    <t>['女子', '报警', '谎称', '男友', '有', '新型', '肺炎']</t>
  </si>
  <si>
    <t>湖北省长回应网友批评</t>
  </si>
  <si>
    <t>['湖北', '湖北省', '长', '回应', '网友', '批评']</t>
  </si>
  <si>
    <t>全国累计确诊病例增至7711例</t>
  </si>
  <si>
    <t>['全国', '累计', '确诊', '病例', '增至', '7711', '例']</t>
  </si>
  <si>
    <t>雷神山医院全部通电</t>
  </si>
  <si>
    <t>['雷', '神山', '医院', '全部', '通电']</t>
  </si>
  <si>
    <t>顺丰回应快递员拦截包裹卖口罩</t>
  </si>
  <si>
    <t>['顺丰', '回应', '快递', '员', '拦截', '包裹', '卖', '口罩']</t>
  </si>
  <si>
    <t>那些被眼镜封印的颜值</t>
  </si>
  <si>
    <t>['那些', '被', '眼镜', '封印', '的', '颜值']</t>
  </si>
  <si>
    <t>钟南山院士亲自示范如何脱口罩</t>
  </si>
  <si>
    <t>['南山', '钟南山', '院士', '亲自', '示范', '如何', '脱', '口罩']</t>
  </si>
  <si>
    <t>权志龙观赛NBA</t>
  </si>
  <si>
    <t>['权志龙', '观赛', 'NBA']</t>
  </si>
  <si>
    <t>河北新增17例确诊病例</t>
  </si>
  <si>
    <t>['河北', '新增', '17', '例', '确诊', '病例']</t>
  </si>
  <si>
    <t>科比妻子瓦妮莎发长文</t>
  </si>
  <si>
    <t>['科比', '妻子', '瓦妮', '莎发', '长文']</t>
  </si>
  <si>
    <t>打护士肺炎病人家属被刑拘</t>
  </si>
  <si>
    <t>['打', '护士', '肺炎', '病人', '家属', '被', '刑拘']</t>
  </si>
  <si>
    <t>华山医院硬核主任</t>
  </si>
  <si>
    <t>['华山', '医院', '华山医院', '硬核', '主任']</t>
  </si>
  <si>
    <t>宠物也会感染新型肺炎</t>
  </si>
  <si>
    <t>['宠物', '也', '会', '感染', '新型', '肺炎']</t>
  </si>
  <si>
    <t>首都机场取消航班546架次</t>
  </si>
  <si>
    <t>['首都', '机场', '首都机场', '取消', '航班', '546', '架次']</t>
  </si>
  <si>
    <t>一家6口5人确诊剩下2岁半宝宝</t>
  </si>
  <si>
    <t>['一家', '6', '口', '5', '人', '确诊', '剩下', '2', '岁', '半', '宝宝']</t>
  </si>
  <si>
    <t>宝宝的可爱戴口罩方式</t>
  </si>
  <si>
    <t>['宝宝', '的', '可', '爱戴', '口罩', '方式']</t>
  </si>
  <si>
    <t>科比妻子瓦妮莎首发文</t>
  </si>
  <si>
    <t>['科比', '妻子', '瓦妮', '莎', '首发', '文']</t>
  </si>
  <si>
    <t>浙江新增132例确诊病例</t>
  </si>
  <si>
    <t>['浙江', '新增', '132', '例', '确诊', '病例']</t>
  </si>
  <si>
    <t>民警为防疫主动值班不幸殉职</t>
  </si>
  <si>
    <t>['民警', '为', '防疫', '主动', '值班', '不幸', '殉职']</t>
  </si>
  <si>
    <t>徐峥评价王一博的演唱</t>
  </si>
  <si>
    <t>['徐峥', '评价', '王一博', '的', '演唱']</t>
  </si>
  <si>
    <t>金银潭医院院长回应渐冻症</t>
  </si>
  <si>
    <t>['金银', '潭', '医院', '院长', '医院院长', '回应', '渐冻症']</t>
  </si>
  <si>
    <t>武汉发来的快递不用拒收</t>
  </si>
  <si>
    <t>['武汉', '发来', '的', '快递', '不用', '拒收']</t>
  </si>
  <si>
    <t>除夕与初六对比图</t>
  </si>
  <si>
    <t>['除夕', '与', '初六', '对比', '图']</t>
  </si>
  <si>
    <t>姐姐微信来啦</t>
  </si>
  <si>
    <t>['姐姐', '微信', '来', '啦']</t>
  </si>
  <si>
    <t>出境游丢掉衣服装5800个口罩回国</t>
  </si>
  <si>
    <t>['出境', '出境游', '丢掉', '衣服', '装', '5800', '个', '口罩', '回国']</t>
  </si>
  <si>
    <t>芬兰确诊首例新型肺炎病例</t>
  </si>
  <si>
    <t>['芬兰', '确诊', '首例', '新型', '肺炎', '病例']</t>
  </si>
  <si>
    <t>浙江每天多增加50万只口罩供应</t>
  </si>
  <si>
    <t>['浙江', '每天', '多', '增加', '50', '万', '只', '口罩', '供应']</t>
  </si>
  <si>
    <t>网友在线监工挖掘机天团</t>
  </si>
  <si>
    <t>['网友', '在线', '监工', '挖掘', '挖掘机', '天团']</t>
  </si>
  <si>
    <t>谢腾飞 好惨一孩子</t>
  </si>
  <si>
    <t>['谢', '腾飞', ' ', '好惨', '一', '孩子']</t>
  </si>
  <si>
    <t>97年小伙匿名捐25万只口罩</t>
  </si>
  <si>
    <t>['97', '年', '小伙', '匿名', '捐', '25', '万', '只', '口罩']</t>
  </si>
  <si>
    <t>广东新增70例确诊病例</t>
  </si>
  <si>
    <t>['广东', '新增', '70', '例', '确诊', '病例']</t>
  </si>
  <si>
    <t>国际跳高邀请赛张国伟夺冠</t>
  </si>
  <si>
    <t>['国际', '跳高', '邀请', '邀请赛', '张国伟', '夺冠']</t>
  </si>
  <si>
    <t>河南新增72例确诊病例</t>
  </si>
  <si>
    <t>['河南', '新增', '72', '例', '确诊', '病例']</t>
  </si>
  <si>
    <t>黄冈卫健委</t>
  </si>
  <si>
    <t>['黄冈', '卫健委']</t>
  </si>
  <si>
    <t>山东推迟复工时间</t>
  </si>
  <si>
    <t>['山东', '推迟', '复工', '时间']</t>
  </si>
  <si>
    <t>湖南5人聚餐后被确诊为新冠肺炎</t>
  </si>
  <si>
    <t>['湖南', '5', '人', '聚餐', '后', '被', '确诊', '为', '新冠', '肺炎']</t>
  </si>
  <si>
    <t>95后护士的手</t>
  </si>
  <si>
    <t>['95', '后', '护士', '的', '手']</t>
  </si>
  <si>
    <t>病毒在毛质衣物上存活时间更短</t>
  </si>
  <si>
    <t>['病毒', '在', '毛质', '衣物', '上', '存活', '时间', '更', '短']</t>
  </si>
  <si>
    <t>那个被感染了的急诊科女护士</t>
  </si>
  <si>
    <t>['那个', '被', '感染', '了', '的', '急诊', '急诊科', '护士', '女护士']</t>
  </si>
  <si>
    <t>王一博登泰版GQ封面</t>
  </si>
  <si>
    <t>['王一博', '登泰版', 'GQ', '封面']</t>
  </si>
  <si>
    <t>中国女足在澳洲被隔离14天</t>
  </si>
  <si>
    <t>['中国', '女足', '中国女足', '在', '澳洲', '被', '隔离', '14', '天']</t>
  </si>
  <si>
    <t>湖北省委书记为疫情逝者表示哀悼</t>
  </si>
  <si>
    <t>['湖北', '省委', '湖北省', '湖北省委', '书记', '为', '疫情', '逝者', '表示', '哀悼']</t>
  </si>
  <si>
    <t>王源欧阳娜娜 大主宰</t>
  </si>
  <si>
    <t>['王源', '欧阳', '娜娜', ' ', '大', '主宰']</t>
  </si>
  <si>
    <t>邓紫棋自弹自唱为武汉加油</t>
  </si>
  <si>
    <t>['邓紫棋', '自弹', '自唱', '自弹自唱', '为', '武汉', '加油']</t>
  </si>
  <si>
    <t>2020/01/31</t>
  </si>
  <si>
    <t>全国累计确诊新型肺炎9692例</t>
  </si>
  <si>
    <t>['全国', '累计', '确诊', '新型', '肺炎', '9692', '例']</t>
  </si>
  <si>
    <t>新冠肺炎构成国际突发卫生事件</t>
  </si>
  <si>
    <t>['新冠', '肺炎', '构成', '国际', '突发', '卫生', '生事', '事件', '卫生事件']</t>
  </si>
  <si>
    <t>美国出现首例人传人病例</t>
  </si>
  <si>
    <t>['美国', '出现', '首例', '人', '传人', '病例']</t>
  </si>
  <si>
    <t>河北企业复工不早于2月9日</t>
  </si>
  <si>
    <t>['河北', '企业', '复工', '不早', '于', '2', '月', '9', '日']</t>
  </si>
  <si>
    <t>李克强再次与钟南山握手</t>
  </si>
  <si>
    <t>['李克强', '再次', '与', '南山', '钟南山', '握手']</t>
  </si>
  <si>
    <t>黄冈卫健委主任被免职</t>
  </si>
  <si>
    <t>['黄冈', '卫健委', '主任', '被', '免职']</t>
  </si>
  <si>
    <t>上海医疗专家组长回应党员上一线</t>
  </si>
  <si>
    <t>['上海', '医疗', '专家', '组长', '回应', '党员', '上', '一线']</t>
  </si>
  <si>
    <t>河南新增74例累计确诊352例</t>
  </si>
  <si>
    <t>['河南', '新增', '74', '例', '累计', '确诊', '352', '例']</t>
  </si>
  <si>
    <t>外交部回应世界卫生组织决定</t>
  </si>
  <si>
    <t>['外交', '外交部', '回应', '世界', '卫生', '组织', '世界卫生组织', '决定']</t>
  </si>
  <si>
    <t>褪下口罩的瞬间心疼哭了</t>
  </si>
  <si>
    <t>['褪下', '口罩', '的', '瞬间', '心疼', '哭', '了']</t>
  </si>
  <si>
    <t>北京由输入期向扩散期过渡</t>
  </si>
  <si>
    <t>['北京', '由', '输入', '期向', '扩散', '期', '过渡']</t>
  </si>
  <si>
    <t>四川新增36例累计确诊177例</t>
  </si>
  <si>
    <t>['四川', '新增', '36', '例', '累计', '确诊', '177', '例']</t>
  </si>
  <si>
    <t>省委书记检查防疫被村口大爷拦住</t>
  </si>
  <si>
    <t>['省委', '书记', '省委书记', '检查', '防疫', '被', '村口', '大爷', '拦住']</t>
  </si>
  <si>
    <t>重庆飞南通航班83人被医学观察</t>
  </si>
  <si>
    <t>['重庆', '飞', '南通', '航班', '83', '人', '被', '医学', '观察', '医学观察']</t>
  </si>
  <si>
    <t>安徽新增37例累计确诊237例</t>
  </si>
  <si>
    <t>['安徽', '新增', '37', '例', '累计', '确诊', '237', '例']</t>
  </si>
  <si>
    <t>不抢蔬菜的温馨提醒</t>
  </si>
  <si>
    <t>['不', '抢', '蔬菜', '的', '温馨', '提醒']</t>
  </si>
  <si>
    <t>14日T156和K1454次乘客</t>
  </si>
  <si>
    <t>['14', '日', 'T156', '和', 'K1454', '次', '乘客']</t>
  </si>
  <si>
    <t>我回来要监督你做一年的家务</t>
  </si>
  <si>
    <t>['我', '回来', '要', '监督', '你', '做', '一年', '的', '家务']</t>
  </si>
  <si>
    <t>武汉一患者家属殴打医生被刑拘</t>
  </si>
  <si>
    <t>['武汉', '一', '患者', '家属', '殴打', '医生', '被', '刑拘']</t>
  </si>
  <si>
    <t>拿身份证帮武汉一家开房被拘留</t>
  </si>
  <si>
    <t>['拿', '身份', '身份证', '帮', '武汉', '一家', '开房', '被', '拘留']</t>
  </si>
  <si>
    <t>北京新增7例累计确诊121例</t>
  </si>
  <si>
    <t>['北京', '新增', '7', '例', '累计', '确诊', '121', '例']</t>
  </si>
  <si>
    <t>广东新增82例累计确诊393例</t>
  </si>
  <si>
    <t>['广东', '新增', '82', '例', '累计', '确诊', '393', '例']</t>
  </si>
  <si>
    <t>疫情防控医务人员获补助</t>
  </si>
  <si>
    <t>['疫情', '防控', '医务', '人员', '医务人员', '获', '补助']</t>
  </si>
  <si>
    <t>湖北红十字会回应口罩捐赠质疑</t>
  </si>
  <si>
    <t>['湖北', '十字', '红十字', '红十字会', '回应', '口罩', '捐赠', '质疑']</t>
  </si>
  <si>
    <t>重庆新增24例累计确诊206例</t>
  </si>
  <si>
    <t>['重庆', '新增', '24', '例', '累计', '确诊', '206', '例']</t>
  </si>
  <si>
    <t>NBA全明星改制致敬科比</t>
  </si>
  <si>
    <t>['NBA', '明星', '全明星', '改制', '致敬', '科比']</t>
  </si>
  <si>
    <t>专家呼吁把N95口罩留给医护人员</t>
  </si>
  <si>
    <t>['专家', '呼吁', '把', 'N95', '口罩', '留给', '医护', '护人', '人员', '医护人员']</t>
  </si>
  <si>
    <t>北京各企业2月10日上班</t>
  </si>
  <si>
    <t>['北京', '各', '企业', '2', '月', '10', '日', '上班']</t>
  </si>
  <si>
    <t>山东新增20例累计确诊178例</t>
  </si>
  <si>
    <t>['山东', '新增', '20', '例', '累计', '确诊', '178', '例']</t>
  </si>
  <si>
    <t>江苏新增39例累计确诊168例</t>
  </si>
  <si>
    <t>['江苏', '新增', '39', '例', '累计', '确诊', '168', '例']</t>
  </si>
  <si>
    <t>北方大城市将投放储备蔬菜</t>
  </si>
  <si>
    <t>['北方', '大城', '城市', '大城市', '将', '投放', '储备', '蔬菜']</t>
  </si>
  <si>
    <t>新冠肺炎患者治愈后有再感染风险</t>
  </si>
  <si>
    <t>['新冠', '肺炎', '患者', '治愈', '后', '有', '再', '感染', '风险']</t>
  </si>
  <si>
    <t>大妈硬核阻止不戴口罩村民串门</t>
  </si>
  <si>
    <t>['大妈', '硬核', '阻止', '不戴', '口罩', '村民', '串门']</t>
  </si>
  <si>
    <t>中国决定派包机接海外湖北公民回家</t>
  </si>
  <si>
    <t>['中国', '决定', '派', '包机', '接', '海外', '湖北', '公民', '回家']</t>
  </si>
  <si>
    <t>在家的我被逼成什么样了</t>
  </si>
  <si>
    <t>['在家', '的', '我', '被', '逼成', '什么', '什么样', '了']</t>
  </si>
  <si>
    <t>NBA全明星东西部替补名单出炉</t>
  </si>
  <si>
    <t>['NBA', '明星', '全明星', '东西', '西部', '东西部', '替补', '名单', '替补名单', '出炉']</t>
  </si>
  <si>
    <t>空姐哽咽与援鄂医生约定</t>
  </si>
  <si>
    <t>['空姐', '哽咽', '与', '援', '鄂', '医生', '约定']</t>
  </si>
  <si>
    <t>北京延长假期至2月10日</t>
  </si>
  <si>
    <t>['北京', '延长', '假期', '至', '2', '月', '10', '日']</t>
  </si>
  <si>
    <t>检察官质问制作劣质口罩嫌疑人</t>
  </si>
  <si>
    <t>['检察', '检察官', '质问', '制作', '劣质', '口罩', '嫌疑', '嫌疑人']</t>
  </si>
  <si>
    <t>萧亚轩 平平无奇恋爱小天才</t>
  </si>
  <si>
    <t>['萧亚轩', ' ', '平平', '无', '奇', '恋爱', '小', '天才']</t>
  </si>
  <si>
    <t>基层干部赴防疫途中遭遇车祸牺牲</t>
  </si>
  <si>
    <t>['基层', '干部', '基层干部', '赴', '防疫', '途中', '遭遇', '车祸', '牺牲']</t>
  </si>
  <si>
    <t>人类拍到迄今最清晰的太阳照片</t>
  </si>
  <si>
    <t>['人类', '拍', '到', '迄今', '最', '清晰', '的', '太阳', '照片']</t>
  </si>
  <si>
    <t>浙江新增109例累计确诊537例</t>
  </si>
  <si>
    <t>['浙江', '新增', '109', '例', '累计', '确诊', '537', '例']</t>
  </si>
  <si>
    <t>詹姆斯纹身</t>
  </si>
  <si>
    <t>['詹姆斯', '纹身']</t>
  </si>
  <si>
    <t>2020/02/01</t>
  </si>
  <si>
    <t>111名武汉旅客包机从东京返回武汉</t>
  </si>
  <si>
    <t>['111', '名', '武汉', '旅客', '包机', '从', '东京', '返回', '武汉']</t>
  </si>
  <si>
    <t>手机也可能是病毒载体</t>
  </si>
  <si>
    <t>['手机', '也', '可能', '是', '病毒', '载体']</t>
  </si>
  <si>
    <t>李兰娟提倡没毛病不要乱吃药</t>
  </si>
  <si>
    <t>['李兰娟', '提倡', '没', '毛病', '不要', '乱', '吃药']</t>
  </si>
  <si>
    <t>火神山工人手指断了不喊疼</t>
  </si>
  <si>
    <t>['火神', '山', '工人', '手指', '断', '了', '不', '喊', '疼']</t>
  </si>
  <si>
    <t>杭州红十字会收支每日公布</t>
  </si>
  <si>
    <t>['杭州', '十字', '红十字', '红十字会', '收支', '每日', '公布']</t>
  </si>
  <si>
    <t>军队医疗队里最宅的一组人</t>
  </si>
  <si>
    <t>['军队', '医疗', '医疗队', '里', '最宅', '的', '一组', '人']</t>
  </si>
  <si>
    <t>黄冈实行市区人口出行管控</t>
  </si>
  <si>
    <t>['黄冈', '实行', '市区', '人口', '出行', '管控']</t>
  </si>
  <si>
    <t>湖北红十字会将对责任人追责</t>
  </si>
  <si>
    <t>['湖北', '十字', '红十字', '红十字会', '将', '对', '责任', '任人', '责任人', '追责']</t>
  </si>
  <si>
    <t>8名警察牺牲在疫情防控一线</t>
  </si>
  <si>
    <t>['8', '名', '警察', '牺牲', '在', '疫情', '防控', '一线']</t>
  </si>
  <si>
    <t>新冠肺炎患者故意隐瞒行踪被立案</t>
  </si>
  <si>
    <t>['新冠', '肺炎', '患者', '故意', '隐瞒', '行踪', '被', '立案']</t>
  </si>
  <si>
    <t>湖北暂停办理所有婚姻登记业务</t>
  </si>
  <si>
    <t>['湖北', '暂停', '办理', '所有', '婚姻', '登记', '婚姻登记', '业务']</t>
  </si>
  <si>
    <t>火神山医院全部通电</t>
  </si>
  <si>
    <t>['火神', '山', '医院', '全部', '通电']</t>
  </si>
  <si>
    <t>火神山医院警务室挂牌成立</t>
  </si>
  <si>
    <t>['火神', '山', '医院', '警务', '警务室', '挂牌', '成立']</t>
  </si>
  <si>
    <t>22岁感染科护士的手</t>
  </si>
  <si>
    <t>['22', '岁', '感染', '科', '护士', '的', '手']</t>
  </si>
  <si>
    <t>三生三世枕上书白浅上线</t>
  </si>
  <si>
    <t>['三生', '三世', '枕上', '书白', '浅', '上线']</t>
  </si>
  <si>
    <t>武汉协和医院收到急需物资</t>
  </si>
  <si>
    <t>['武汉', '协和', '医院', '武汉协和医院', '收到', '急需', '物资']</t>
  </si>
  <si>
    <t>詹姆斯哭了</t>
  </si>
  <si>
    <t>['詹姆斯', '哭', '了']</t>
  </si>
  <si>
    <t>广州一市场仍在偷卖野生动物</t>
  </si>
  <si>
    <t>['广州', '一', '市场', '仍', '在', '偷', '卖', '野生', '生动', '动物', '野生动物']</t>
  </si>
  <si>
    <t>我国过去一周进口5622.8万个口罩</t>
  </si>
  <si>
    <t>['我国', '过去', '一周', '进口', '5622.8', '万个', '口罩']</t>
  </si>
  <si>
    <t>全国累计确诊新型肺炎11791例</t>
  </si>
  <si>
    <t>['全国', '累计', '确诊', '新型', '肺炎', '11791', '例']</t>
  </si>
  <si>
    <t>上海药物所回应</t>
  </si>
  <si>
    <t>['上海', '药物', '所', '回应']</t>
  </si>
  <si>
    <t>火神山医院基础施工完工</t>
  </si>
  <si>
    <t>['火神', '山', '医院', '基础', '施工', '完工']</t>
  </si>
  <si>
    <t>医护人员用碰肘礼互相加油</t>
  </si>
  <si>
    <t>['医护', '护人', '人员', '医护人员', '用', '碰肘', '礼', '互相', '加油']</t>
  </si>
  <si>
    <t>广东新增确诊新冠肺炎127例</t>
  </si>
  <si>
    <t>['广东', '新增', '确诊', '新冠', '肺炎', '127', '例']</t>
  </si>
  <si>
    <t>护士推迟婚礼坚守一线</t>
  </si>
  <si>
    <t>['护士', '推迟', '婚礼', '坚守', '一线']</t>
  </si>
  <si>
    <t>央视记者采访武汉协和医院</t>
  </si>
  <si>
    <t>['央视', '记者', '采访', '武汉', '协和', '医院', '武汉协和医院']</t>
  </si>
  <si>
    <t>林生斌给武汉捐5000个口罩</t>
  </si>
  <si>
    <t>['林生斌', '给', '武汉', '捐', '5000', '个', '口罩']</t>
  </si>
  <si>
    <t>矢野浩二捐赠13万个口罩</t>
  </si>
  <si>
    <t>['矢野浩二', '捐赠', '13', '万个', '口罩']</t>
  </si>
  <si>
    <t>湖北新增确诊新冠肺炎1347例</t>
  </si>
  <si>
    <t>['湖北', '新增', '确诊', '新冠', '肺炎', '1347', '例']</t>
  </si>
  <si>
    <t>一火锅店藏30斤活蛇被查处</t>
  </si>
  <si>
    <t>['一', '火锅', '火锅店', '藏', '30', '斤', '活蛇', '被', '查处']</t>
  </si>
  <si>
    <t>湖北回应红十字会物资供应问题</t>
  </si>
  <si>
    <t>['湖北', '回应', '十字', '红十字', '红十字会', '物资', '供应', '物资供应', '问题']</t>
  </si>
  <si>
    <t>四川新增确诊新冠肺炎30例</t>
  </si>
  <si>
    <t>['四川', '新增', '确诊', '新冠', '肺炎', '30', '例']</t>
  </si>
  <si>
    <t>土耳其向中国提供医疗物资援助</t>
  </si>
  <si>
    <t>['土耳其', '向', '中国', '提供', '医疗', '物资', '援助']</t>
  </si>
  <si>
    <t>武汉协和本部不在红会名单上</t>
  </si>
  <si>
    <t>['武汉', '协和', '本部', '不', '在', '红会', '名单', '上']</t>
  </si>
  <si>
    <t>林书豪怒批关于疫情不良言论</t>
  </si>
  <si>
    <t>['书豪', '林书豪', '怒批', '关于', '疫情', '不良', '言论']</t>
  </si>
  <si>
    <t>脑瘫儿死亡镇书记镇长被免职</t>
  </si>
  <si>
    <t>['脑瘫', '儿', '死亡', '镇', '书记', '镇长', '被', '免职']</t>
  </si>
  <si>
    <t>重庆新增确诊新冠肺炎27例</t>
  </si>
  <si>
    <t>['重庆', '新增', '确诊', '新冠', '肺炎', '27', '例']</t>
  </si>
  <si>
    <t>被训诫武汉医生确诊新冠肺炎</t>
  </si>
  <si>
    <t>['被', '训诫', '武汉', '医生', '确诊', '新冠', '肺炎']</t>
  </si>
  <si>
    <t>仁爱医院院长回应口罩使用情况</t>
  </si>
  <si>
    <t>['仁爱', '医院', '仁爱医院', '院长', '回应', '口罩', '使用', '情况']</t>
  </si>
  <si>
    <t>任嘉伦谭松韵一眼万年</t>
  </si>
  <si>
    <t>['任嘉伦', '谭松韵', '一眼', '万年']</t>
  </si>
  <si>
    <t>红十字总会派工作组赴武汉</t>
  </si>
  <si>
    <t>['十字', '红十字', '总会', '派', '工作', '工作组', '赴', '武汉']</t>
  </si>
  <si>
    <t>安徽新增确诊新冠肺炎60例</t>
  </si>
  <si>
    <t>['安徽', '新增', '确诊', '新冠', '肺炎', '60', '例']</t>
  </si>
  <si>
    <t>湖人球馆铺满科比球衣</t>
  </si>
  <si>
    <t>['湖人', '球馆', '铺满', '科比', '球衣']</t>
  </si>
  <si>
    <t>请勿抢购自行服用双黄连口服液</t>
  </si>
  <si>
    <t>['请勿', '抢购', '自行', '服用', '双黄', '黄连', '双黄连', '口服', '口服液']</t>
  </si>
  <si>
    <t>目前没有足够数据证实母胎传播</t>
  </si>
  <si>
    <t>['目前', '没有', '足够', '数据', '证实', '母胎', '传播']</t>
  </si>
  <si>
    <t>央视记者被红十字会保安阻拦</t>
  </si>
  <si>
    <t>['央视', '记者', '被', '十字', '红十字', '红十字会', '保安', '阻拦']</t>
  </si>
  <si>
    <t>英国正式脱欧</t>
  </si>
  <si>
    <t>['英国', '正式', '脱欧']</t>
  </si>
  <si>
    <t>2020/02/02</t>
  </si>
  <si>
    <t>全国累计确诊新冠肺炎14380例</t>
  </si>
  <si>
    <t>['全国', '累计', '确诊', '新冠', '肺炎', '14380', '例']</t>
  </si>
  <si>
    <t>确诊患者粪便中检出病毒RNA阳性</t>
  </si>
  <si>
    <t>['确诊', '患者', '粪便', '中', '检出', '病毒', 'RNA', '阳性']</t>
  </si>
  <si>
    <t>可直接与武汉医院对接捐赠</t>
  </si>
  <si>
    <t>['可', '直接', '与', '武汉', '医院', '对接', '捐赠']</t>
  </si>
  <si>
    <t>湖北省集中隔离所有疑似病例</t>
  </si>
  <si>
    <t>['湖北', '湖北省', '集中', '隔离', '所有', '疑似', '病例', '疑似病例']</t>
  </si>
  <si>
    <t>江苏出现1名患者感染10人案例</t>
  </si>
  <si>
    <t>['江苏', '出现', '1', '名', '患者', '感染', '10', '人', '案例']</t>
  </si>
  <si>
    <t>萧亚轩男朋友</t>
  </si>
  <si>
    <t>['萧亚轩', '朋友', '男朋友']</t>
  </si>
  <si>
    <t>最早发现疫情的女医生</t>
  </si>
  <si>
    <t>['最早', '发现', '疫情', '的', '医生', '女医生']</t>
  </si>
  <si>
    <t>累计治愈出院病例328例</t>
  </si>
  <si>
    <t>['累计', '治愈', '出院', '病例', '328', '例']</t>
  </si>
  <si>
    <t>百位明星战疫MV</t>
  </si>
  <si>
    <t>['百位', '明星', '战疫', 'MV']</t>
  </si>
  <si>
    <t>医用口罩信息可网上查询</t>
  </si>
  <si>
    <t>['医用', '口罩', '信息', '可', '网上', '查询']</t>
  </si>
  <si>
    <t>欧文再次受伤</t>
  </si>
  <si>
    <t>['欧文', '再次', '受伤']</t>
  </si>
  <si>
    <t>武汉红会回应协和被列黑名单质疑</t>
  </si>
  <si>
    <t>['武汉', '红会', '回应', '协和', '被列', '黑名', '名单', '黑名单', '质疑']</t>
  </si>
  <si>
    <t>火神山医院今日挂牌</t>
  </si>
  <si>
    <t>['火神', '山', '医院', '今日', '挂牌']</t>
  </si>
  <si>
    <t>朋友圈手工凉皮大赛</t>
  </si>
  <si>
    <t>['朋友', '朋友圈', '手工', '凉皮', '大赛']</t>
  </si>
  <si>
    <t>班主任在线开学</t>
  </si>
  <si>
    <t>['班主', '主任', '班主任', '在线', '开学']</t>
  </si>
  <si>
    <t>湖北新增确诊新冠肺炎1921例</t>
  </si>
  <si>
    <t>['湖北', '新增', '确诊', '新冠', '肺炎', '1921', '例']</t>
  </si>
  <si>
    <t>黄冈市长回应疾控负责人一问三不知</t>
  </si>
  <si>
    <t>['黄冈', '黄冈市', '长', '回应', '疾控', '负责', '责人', '负责人', '不知', '一问三不知']</t>
  </si>
  <si>
    <t>钟南山回应病毒粪口传播风险</t>
  </si>
  <si>
    <t>['南山', '钟南山', '回应', '病毒', '粪口', '传播', '风险']</t>
  </si>
  <si>
    <t>山东发现聚集性疫情60起</t>
  </si>
  <si>
    <t>['山东', '发现', '聚集', '性', '疫情', '60', '起']</t>
  </si>
  <si>
    <t>山西新增确诊新型肺炎9例</t>
  </si>
  <si>
    <t>['山西', '新增', '确诊', '新型', '肺炎', '9', '例']</t>
  </si>
  <si>
    <t>军队抽组1400人承担火神山医疗任务</t>
  </si>
  <si>
    <t>['军队', '抽组', '1400', '人', '承担', '火神', '山', '医疗', '任务']</t>
  </si>
  <si>
    <t>手工凉皮大赛</t>
  </si>
  <si>
    <t>['手工', '凉皮', '大赛']</t>
  </si>
  <si>
    <t>邓紫棋新歌致敬白衣天使</t>
  </si>
  <si>
    <t>['邓紫棋', '新歌', '致敬', '白衣', '天使', '白衣天使']</t>
  </si>
  <si>
    <t>无权阻止无症状返京人员进社区</t>
  </si>
  <si>
    <t>['无权', '阻止', '症状', '无症状', '返京', '人员', '社区', '进社区']</t>
  </si>
  <si>
    <t>不得以任何名义截留调用医疗物资</t>
  </si>
  <si>
    <t>['不得', '以', '任何', '名义', '截留', '调用', '医疗', '物资']</t>
  </si>
  <si>
    <t>新冠肺炎患者死亡后应就近火化</t>
  </si>
  <si>
    <t>['新冠', '肺炎', '患者', '死亡', '后应', '就近', '火化']</t>
  </si>
  <si>
    <t>钟南山回应确诊人数上升较快</t>
  </si>
  <si>
    <t>['南山', '钟南山', '回应', '确诊', '人数', '上升', '较', '快']</t>
  </si>
  <si>
    <t>世界完全对称日</t>
  </si>
  <si>
    <t>['世界', '完全', '对称', '日']</t>
  </si>
  <si>
    <t>湖南新增确诊新冠肺炎74例</t>
  </si>
  <si>
    <t>['湖南', '新增', '确诊', '新冠', '肺炎', '74', '例']</t>
  </si>
  <si>
    <t>哈尔滨春节聚餐致多人感染</t>
  </si>
  <si>
    <t>['哈尔', '哈尔滨', '春节', '聚餐', '致多人', '感染']</t>
  </si>
  <si>
    <t>詹姆斯悼念科比致辞</t>
  </si>
  <si>
    <t>['詹姆斯', '悼念', '科比', '致辞']</t>
  </si>
  <si>
    <t>房东主动降租80万1200租户受益</t>
  </si>
  <si>
    <t>['房东', '主动', '降租', '80', '万', '1200', '租户', '受益']</t>
  </si>
  <si>
    <t>滇池海鸥专人投喂</t>
  </si>
  <si>
    <t>['滇池', '海鸥', '专人', '投', '喂']</t>
  </si>
  <si>
    <t>河南新增确诊新冠肺炎71例</t>
  </si>
  <si>
    <t>['河南', '新增', '确诊', '新冠', '肺炎', '71', '例']</t>
  </si>
  <si>
    <t>刘传健送四川医疗队赴武汉</t>
  </si>
  <si>
    <t>['刘传健', '送', '四川', '医疗', '医疗队', '赴', '武汉']</t>
  </si>
  <si>
    <t>武汉动物园寻求社会支援</t>
  </si>
  <si>
    <t>['武汉', '动物', '动物园', '寻求', '社会', '支援']</t>
  </si>
  <si>
    <t>武汉医生采访时哭了</t>
  </si>
  <si>
    <t>['武汉', '医生', '采访', '时', '哭', '了']</t>
  </si>
  <si>
    <t>解放军正在入驻接管火神山医院</t>
  </si>
  <si>
    <t>['解放', '解放军', '正在', '入驻', '接管', '火神', '山', '医院']</t>
  </si>
  <si>
    <t>接触确诊患者后隐瞒致全村被隔离</t>
  </si>
  <si>
    <t>['接触', '确诊', '患者', '后', '隐瞒', '致', '全村', '被', '隔离']</t>
  </si>
  <si>
    <t>农民骑行40公里给医疗队送蔬菜</t>
  </si>
  <si>
    <t>['农民', '骑行', '40', '公里', '给', '医疗', '医疗队', '送', '蔬菜']</t>
  </si>
  <si>
    <t>救治成功率高于甲流和禽流感</t>
  </si>
  <si>
    <t>['救治', '成功', '功率', '成功率', '高于', '甲流', '和', '流感', '禽流感']</t>
  </si>
  <si>
    <t>人肉背口罩回国的中国人</t>
  </si>
  <si>
    <t>['人肉', '背', '口罩', '回国', '的', '中国', '人']</t>
  </si>
  <si>
    <t>央行将投放1.2亿元流动性</t>
  </si>
  <si>
    <t>['央行', '将', '投放', '1.2', '亿元', '流动', '流动性']</t>
  </si>
  <si>
    <t>关于新冠肺炎的一切</t>
  </si>
  <si>
    <t>['关于', '新冠', '肺炎', '的', '一切']</t>
  </si>
  <si>
    <t>2020/02/03</t>
  </si>
  <si>
    <t>李兰娟院士回应疫苗进展</t>
  </si>
  <si>
    <t>['李兰娟', '院士', '回应', '疫苗', '进展']</t>
  </si>
  <si>
    <t>多地暂停尾号限行</t>
  </si>
  <si>
    <t>['多地', '暂停', '尾号', '限行']</t>
  </si>
  <si>
    <t>白衣护士与消防员的隔空婚礼</t>
  </si>
  <si>
    <t>['白衣', '护士', '与', '消防', '消防员', '的', '隔空', '婚礼']</t>
  </si>
  <si>
    <t>挑战全网最丑马桶</t>
  </si>
  <si>
    <t>['挑战', '全网', '最丑', '马桶']</t>
  </si>
  <si>
    <t>董卿 枪响之后没有赢家</t>
  </si>
  <si>
    <t>['董卿', ' ', '枪响', '之后', '没有', '赢家']</t>
  </si>
  <si>
    <t>野狼disco伴奏原作者</t>
  </si>
  <si>
    <t>['野狼', 'disco', '伴奏', '原作', '作者', '原作者']</t>
  </si>
  <si>
    <t>登记在册在世幸存者仅剩76位</t>
  </si>
  <si>
    <t>['登记', '在册', '登记在册', '在世', '幸存', '幸存者', '仅剩', '76', '位']</t>
  </si>
  <si>
    <t>成都5.1级地震</t>
  </si>
  <si>
    <t>['成都', '5.1', '级', '地震']</t>
  </si>
  <si>
    <t>排爆可疑包裹发现里面是口罩</t>
  </si>
  <si>
    <t>['排爆', '可疑', '包裹', '发现', '里面', '是', '口罩']</t>
  </si>
  <si>
    <t>一口气唱歌</t>
  </si>
  <si>
    <t>['一口', '口气', '一口气', '唱歌']</t>
  </si>
  <si>
    <t>撒贝宁9首古诗句谈人生这场修行</t>
  </si>
  <si>
    <t>['撒', '贝宁', '9', '首古', '诗句', '谈', '人生', '这场', '修行']</t>
  </si>
  <si>
    <t>浙江新增63例累计确诊724例</t>
  </si>
  <si>
    <t>['浙江', '新增', '63', '例', '累计', '确诊', '724', '例']</t>
  </si>
  <si>
    <t>状元锡安空接暴扣</t>
  </si>
  <si>
    <t>['状元', '锡安', '空接', '暴扣']</t>
  </si>
  <si>
    <t>民企接手武汉红会物资工作</t>
  </si>
  <si>
    <t>['民企', '接手', '武汉', '红会', '物资', '工作']</t>
  </si>
  <si>
    <t>武汉家中滞留宠物救援</t>
  </si>
  <si>
    <t>['武汉', '家中', '滞留', '宠物', '救援']</t>
  </si>
  <si>
    <t>疫情过后政府将收储口罩富余产能</t>
  </si>
  <si>
    <t>['疫情', '过后', '政府', '将', '收储', '口罩', '富余', '产能']</t>
  </si>
  <si>
    <t>背回口罩送交警留名中国人</t>
  </si>
  <si>
    <t>['背回', '口罩', '送', '交警', '留名', '中国', '人']</t>
  </si>
  <si>
    <t>核酸检测试剂产量是疑似患者40倍</t>
  </si>
  <si>
    <t>['核酸', '检测', '试剂', '产量', '是', '疑似', '患者', '40', '倍']</t>
  </si>
  <si>
    <t>口罩全国日产2000多万只</t>
  </si>
  <si>
    <t>['口罩', '全国', '日产', '2000', '多万', '万只', '多万只']</t>
  </si>
  <si>
    <t>确诊病例门把手测出病毒核酸</t>
  </si>
  <si>
    <t>['确诊', '病例', '把手', '门把手', '测出', '病毒', '核酸']</t>
  </si>
  <si>
    <t>上海7个月婴儿被感染</t>
  </si>
  <si>
    <t>['上海', '7', '个', '月', '婴儿', '被', '感染']</t>
  </si>
  <si>
    <t>疫情防控值班期间饮酒被免职</t>
  </si>
  <si>
    <t>['疫情', '防控', '值班', '期间', '饮酒', '被', '免职']</t>
  </si>
  <si>
    <t>火神山医院内部</t>
  </si>
  <si>
    <t>['火神', '山', '医院', '内部']</t>
  </si>
  <si>
    <t>女子不戴口罩大闹商场后续</t>
  </si>
  <si>
    <t>['女子', '不戴', '口罩', '大闹', '商场', '后续']</t>
  </si>
  <si>
    <t>花木兰终极预告</t>
  </si>
  <si>
    <t>['花木', '木兰', '花木兰', '终极', '预告']</t>
  </si>
  <si>
    <t>全国累计确诊新冠肺炎17205例</t>
  </si>
  <si>
    <t>['全国', '累计', '确诊', '新冠', '肺炎', '17205', '例']</t>
  </si>
  <si>
    <t>出现疫情应立即停用中央空调</t>
  </si>
  <si>
    <t>['出现', '疫情', '立即', '应立即', '停用', '中央', '空调', '中央空调']</t>
  </si>
  <si>
    <t>四川新增23例累计确诊254例</t>
  </si>
  <si>
    <t>['四川', '新增', '23', '例', '累计', '确诊', '254', '例']</t>
  </si>
  <si>
    <t>返京租户进入小区时受阻</t>
  </si>
  <si>
    <t>['返京', '租户', '进入', '小区', '时', '受阻']</t>
  </si>
  <si>
    <t>许昕背后击球</t>
  </si>
  <si>
    <t>['许昕', '背后', '击球']</t>
  </si>
  <si>
    <t>橘子烟花</t>
  </si>
  <si>
    <t>['橘子', '烟花']</t>
  </si>
  <si>
    <t>外卖小哥流泪述说在武汉的见闻</t>
  </si>
  <si>
    <t>['外卖', '小哥', '流泪', '述说', '在', '武汉', '的', '见闻']</t>
  </si>
  <si>
    <t>火神山医院不设门诊</t>
  </si>
  <si>
    <t>['火神', '山', '医院', '不设', '门诊']</t>
  </si>
  <si>
    <t>张艺兴向家乡湖南捐赠物资</t>
  </si>
  <si>
    <t>['张艺兴', '向', '家乡', '湖南', '捐赠', '物资']</t>
  </si>
  <si>
    <t>钟南山谈疫情死亡率</t>
  </si>
  <si>
    <t>['南山', '钟南山', '谈', '疫情', '死亡', '死亡率']</t>
  </si>
  <si>
    <t>棋牌室老板举报自己</t>
  </si>
  <si>
    <t>['棋牌', '棋牌室', '老板', '举报', '自己']</t>
  </si>
  <si>
    <t>外交部辟谣美方称对疫情提供巨大帮助</t>
  </si>
  <si>
    <t>['外交', '外交部', '辟谣', '美方', '称', '对', '疫情', '提供', '巨大', '帮助']</t>
  </si>
  <si>
    <t>喝醉后的贺繁星</t>
  </si>
  <si>
    <t>['喝醉', '后', '的', '贺', '繁星']</t>
  </si>
  <si>
    <t>湖北确诊病例破万</t>
  </si>
  <si>
    <t>['湖北', '确诊', '病例', '破万']</t>
  </si>
  <si>
    <t>小德澳网夺冠缅怀科比</t>
  </si>
  <si>
    <t>['小德', '澳网', '夺冠', '缅怀', '科比']</t>
  </si>
  <si>
    <t>消毒一定要有针对性</t>
  </si>
  <si>
    <t>['消毒', '一定', '要', '有', '针对', '针对性']</t>
  </si>
  <si>
    <t>首席生化武器防御专家陈薇</t>
  </si>
  <si>
    <t>['首席', '生化', '化武', '武器', '生化武器', '防御', '专家', '陈薇']</t>
  </si>
  <si>
    <t>超级碗赛前默哀缅怀科比</t>
  </si>
  <si>
    <t>['超级', '碗', '赛前', '默哀', '缅怀', '科比']</t>
  </si>
  <si>
    <t>科比尸检报告</t>
  </si>
  <si>
    <t>['科比', '尸检', '报告']</t>
  </si>
  <si>
    <t>驻鄂部队50台卡车运送200吨物资</t>
  </si>
  <si>
    <t>['驻', '鄂', '部队', '50', '台', '卡车', '运送', '200', '吨', '物资']</t>
  </si>
  <si>
    <t>新增治愈病例连续4天超死亡病例</t>
  </si>
  <si>
    <t>['新增', '治愈', '病例', '连续', '4', '天超', '死亡', '病例']</t>
  </si>
  <si>
    <t>各地不得随意关闭菜市场</t>
  </si>
  <si>
    <t>['各地', '不得', '随意', '关闭', '菜市', '市场', '菜市场']</t>
  </si>
  <si>
    <t>2020/02/04</t>
  </si>
  <si>
    <t>爸爸和女儿时隔17年接力出征</t>
  </si>
  <si>
    <t>['爸爸', '和', '女儿', '时隔', '17', '年', '接力', '出征']</t>
  </si>
  <si>
    <t>康复期和出院患者没有传染性</t>
  </si>
  <si>
    <t>['康复', '期', '和', '出院', '患者', '没有', '传染', '传染性']</t>
  </si>
  <si>
    <t>全国累计确诊新冠肺炎20438例</t>
  </si>
  <si>
    <t>['全国', '累计', '确诊', '新冠', '肺炎', '20438', '例']</t>
  </si>
  <si>
    <t>首批转运患者抵达火神山医院</t>
  </si>
  <si>
    <t>['首批', '转运', '患者', '抵达', '火神', '山', '医院']</t>
  </si>
  <si>
    <t>肖战刘昊然张若昀合唱两只蝴蝶</t>
  </si>
  <si>
    <t>['肖战', '刘昊然', '张若昀', '合唱', '两只', '蝴蝶']</t>
  </si>
  <si>
    <t>宝石gem回应野狼disco涉侵权</t>
  </si>
  <si>
    <t>['宝石', 'gem', '回应', '野狼', 'disco', '涉', '侵权']</t>
  </si>
  <si>
    <t>武汉酒店女老板为医护提供住宿</t>
  </si>
  <si>
    <t>['武汉', '酒店', '老板', '女老板', '为', '医护', '提供', '住宿']</t>
  </si>
  <si>
    <t>湖北新增2345例确诊病例</t>
  </si>
  <si>
    <t>['湖北', '新增', '2345', '例', '确诊', '病例']</t>
  </si>
  <si>
    <t>新冠病毒适宜环境下可存活5天</t>
  </si>
  <si>
    <t>['新冠', '病毒', '适宜', '环境', '下', '可', '存活', '5', '天']</t>
  </si>
  <si>
    <t>疫情结束后最想吃的东西</t>
  </si>
  <si>
    <t>['疫情', '结束', '后', '最', '想', '吃', '的', '东西']</t>
  </si>
  <si>
    <t>立春</t>
  </si>
  <si>
    <t>['立春']</t>
  </si>
  <si>
    <t>杭州所有村庄小区单位封闭式管理</t>
  </si>
  <si>
    <t>['杭州', '所有', '村庄', '小区', '单位', '封闭', '闭式', '封闭式', '管理']</t>
  </si>
  <si>
    <t>江西新增确诊新冠肺炎85例</t>
  </si>
  <si>
    <t>['江西', '新增', '确诊', '新冠', '肺炎', '85', '例']</t>
  </si>
  <si>
    <t>黑龙江省新增确诊病例37例</t>
  </si>
  <si>
    <t>['龙江', '黑龙江', '黑龙江省', '新增', '确诊', '病例', '37', '例']</t>
  </si>
  <si>
    <t>全国确诊病例病死率为2.1%</t>
  </si>
  <si>
    <t>['全国', '确诊', '病例', '病死', '病死率', '为', '2.1%']</t>
  </si>
  <si>
    <t>疑似感染医生奔跑为物资车引路</t>
  </si>
  <si>
    <t>['疑似', '感染', '医生', '奔跑', '为', '物资', '车', '引路']</t>
  </si>
  <si>
    <t>海南最小感染者3个月</t>
  </si>
  <si>
    <t>['海南', '最小', '感染', '感染者', '3', '个', '月']</t>
  </si>
  <si>
    <t>姜Gary儿子</t>
  </si>
  <si>
    <t>['姜', 'Gary', '儿子']</t>
  </si>
  <si>
    <t>河南新增确诊新冠肺炎109例</t>
  </si>
  <si>
    <t>['河南', '新增', '确诊', '新冠', '肺炎', '109', '例']</t>
  </si>
  <si>
    <t>科比与女儿遗体已移交家人</t>
  </si>
  <si>
    <t>['科比', '与', '女儿', '遗体', '已', '移交', '家人']</t>
  </si>
  <si>
    <t>威尼斯引爆一枚二战遗留的炸弹</t>
  </si>
  <si>
    <t>['威尼', '尼斯', '威尼斯', '引爆', '一枚', '二战', '遗留', '的', '炸弹']</t>
  </si>
  <si>
    <t>陕西首例确诊患者治愈出院</t>
  </si>
  <si>
    <t>['陕西', '首例', '确诊', '患者', '治愈', '出院']</t>
  </si>
  <si>
    <t>我爸说papi酱是他同学</t>
  </si>
  <si>
    <t>['我爸', '说', 'papi', '酱', '是', '他', '同学']</t>
  </si>
  <si>
    <t>违规聚会被免职副镇长确诊新冠肺炎</t>
  </si>
  <si>
    <t>['违规', '聚会', '被', '免职', '镇长', '副镇长', '确诊', '新冠', '肺炎']</t>
  </si>
  <si>
    <t>武汉首批患者转运火神山医院</t>
  </si>
  <si>
    <t>['武汉', '首批', '患者', '转运', '火神', '山', '医院']</t>
  </si>
  <si>
    <t>李兰娟说坐电梯不必戴手套</t>
  </si>
  <si>
    <t>['李兰娟', '说', '电梯', '坐电梯', '不必', '戴', '手套']</t>
  </si>
  <si>
    <t>确诊老人隐瞒致百余人密切接触</t>
  </si>
  <si>
    <t>['确诊', '老人', '隐瞒', '致', '百余', '百余人', '密切', '接触', '密切接触']</t>
  </si>
  <si>
    <t>湖北省红十字会3名领导被问责</t>
  </si>
  <si>
    <t>['湖北', '湖北省', '十字', '红十字', '红十字会', '3', '名', '领导', '被', '问责']</t>
  </si>
  <si>
    <t>莫兰特假动作骗过摄像机</t>
  </si>
  <si>
    <t>['莫', '兰特', '动作', '假动作', '骗过', '摄像', '摄像机']</t>
  </si>
  <si>
    <t>尹正 蒋梦婕</t>
  </si>
  <si>
    <t>['尹正', ' ', '蒋梦婕']</t>
  </si>
  <si>
    <t>隔离区护士猛喝半瓶水后晕倒</t>
  </si>
  <si>
    <t>['隔离', '隔离区', '护士', '猛', '喝', '半瓶', '水后', '晕倒']</t>
  </si>
  <si>
    <t>武汉最新城市宣传片</t>
  </si>
  <si>
    <t>['武汉', '最新', '城市', '宣传', '宣传片']</t>
  </si>
  <si>
    <t>特雷杨连续logo三分</t>
  </si>
  <si>
    <t>['特雷', '杨', '连续', 'logo', '三分']</t>
  </si>
  <si>
    <t>李兰娟院士团队发布重大成果</t>
  </si>
  <si>
    <t>['李兰娟', '院士', '团队', '发布', '重大', '大成', '成果', '重大成果']</t>
  </si>
  <si>
    <t>重庆一小区自制5米消毒通道</t>
  </si>
  <si>
    <t>['重庆', '一', '小区', '自制', '5', '米', '消毒', '通道']</t>
  </si>
  <si>
    <t>外交部希望美方不作过度反应</t>
  </si>
  <si>
    <t>['外交', '外交部', '希望', '美方', '不', '作', '过度', '反应']</t>
  </si>
  <si>
    <t>安徽新增确诊病例72例</t>
  </si>
  <si>
    <t>['安徽', '新增', '确诊', '病例', '72', '例']</t>
  </si>
  <si>
    <t>成都8旬老夫妻ICU内牵手告别</t>
  </si>
  <si>
    <t>['成都', '8', '旬', '老夫', '夫妻', '老夫妻', 'ICU', '内', '牵手', '告别']</t>
  </si>
  <si>
    <t>杜富国妹妹坚守抗疫一线</t>
  </si>
  <si>
    <t>['杜', '富国', '妹妹', '坚守', '抗疫', '一线']</t>
  </si>
  <si>
    <t>武汉宠物猪靠一盆饭撑过12天</t>
  </si>
  <si>
    <t>['武汉', '宠物', '宠物猪', '靠', '一盆', '饭', '撑过', '12', '天']</t>
  </si>
  <si>
    <t>张伟大力甜</t>
  </si>
  <si>
    <t>['张', '伟大', '力甜']</t>
  </si>
  <si>
    <t>安七炫郑柔美恋情</t>
  </si>
  <si>
    <t>['安七炫', '郑', '柔美', '恋情']</t>
  </si>
  <si>
    <t>90后乡镇医生过劳猝死</t>
  </si>
  <si>
    <t>['90', '后', '乡镇', '医生', '过劳', '猝死']</t>
  </si>
  <si>
    <t>没事不要出门</t>
  </si>
  <si>
    <t>['没事', '不要', '出门']</t>
  </si>
  <si>
    <t>贵州1个月婴儿确诊</t>
  </si>
  <si>
    <t>['贵州', '1', '个', '月', '婴儿', '确诊']</t>
  </si>
  <si>
    <t>四川新增28例累计确诊282例</t>
  </si>
  <si>
    <t>['四川', '新增', '28', '例', '累计', '确诊', '282', '例']</t>
  </si>
  <si>
    <t>好响出去丸</t>
  </si>
  <si>
    <t>['好响', '出去', '丸']</t>
  </si>
  <si>
    <t>浙江省新增确诊病例105例</t>
  </si>
  <si>
    <t>['浙江', '浙江省', '新增', '确诊', '病例', '105', '例']</t>
  </si>
  <si>
    <t>2020/02/05</t>
  </si>
  <si>
    <t>全国累计确诊新冠肺炎24324例</t>
  </si>
  <si>
    <t>['全国', '累计', '确诊', '新冠', '肺炎', '24324', '例']</t>
  </si>
  <si>
    <t>怀疑易烊千玺拿错女主剧本</t>
  </si>
  <si>
    <t>['怀疑', '易', '烊', '千玺', '拿', '错', '女主', '剧本']</t>
  </si>
  <si>
    <t>郭冬临被逼晒捐款凭证</t>
  </si>
  <si>
    <t>['郭冬临', '被', '逼', '晒', '捐款', '凭证']</t>
  </si>
  <si>
    <t>李荣浩 同根</t>
  </si>
  <si>
    <t>['李荣浩', ' ', '同根']</t>
  </si>
  <si>
    <t>公益人士团购5万口罩一撕就碎</t>
  </si>
  <si>
    <t>['公益', '人士', '团购', '5', '万', '口罩', '一', '撕', '就', '碎']</t>
  </si>
  <si>
    <t>俄罗斯军机携救援物资飞抵武汉</t>
  </si>
  <si>
    <t>['罗斯', '俄罗斯', '军机', '携', '救援', '物资', '飞抵', '武汉']</t>
  </si>
  <si>
    <t>日本搭3700人邮轮现聚集感染</t>
  </si>
  <si>
    <t>['日本', '搭', '3700', '人', '邮轮', '现', '聚集', '感染']</t>
  </si>
  <si>
    <t>元宋分手</t>
  </si>
  <si>
    <t>['元宋', '分手']</t>
  </si>
  <si>
    <t>不愧是周迅</t>
  </si>
  <si>
    <t>['不愧', '是', '周迅']</t>
  </si>
  <si>
    <t>70万只蝙蝠入侵澳洲</t>
  </si>
  <si>
    <t>['70', '万', '只', '蝙蝠', '入侵', '澳洲']</t>
  </si>
  <si>
    <t>新增疑似病例连续第二天下降</t>
  </si>
  <si>
    <t>['新增', '疑似', '病例', '疑似病例', '连续', '第二', '二天', '第二天', '下降']</t>
  </si>
  <si>
    <t>上海各级各类学校2月底前不开学</t>
  </si>
  <si>
    <t>['上海', '各级', '各类', '学校', '2', '月底', '前', '不', '开学']</t>
  </si>
  <si>
    <t>最有仪式感的接机</t>
  </si>
  <si>
    <t>['最有', '仪式', '感', '的', '接机']</t>
  </si>
  <si>
    <t>湖北新增3156例确诊病例</t>
  </si>
  <si>
    <t>['湖北', '新增', '3156', '例', '确诊', '病例']</t>
  </si>
  <si>
    <t>贺繁星带叶鹿鸣参加同学聚会</t>
  </si>
  <si>
    <t>['贺', '繁星', '带叶', '鹿鸣', '参加', '同学', '聚会', '同学聚会']</t>
  </si>
  <si>
    <t>德云社年终奖</t>
  </si>
  <si>
    <t>['德云社', '年终', '年终奖']</t>
  </si>
  <si>
    <t>浙江新增确诊新冠肺炎66例</t>
  </si>
  <si>
    <t>['浙江', '新增', '确诊', '新冠', '肺炎', '66', '例']</t>
  </si>
  <si>
    <t>护士长因丢1个口罩大哭</t>
  </si>
  <si>
    <t>['护士', '护士长', '因', '丢', '1', '个', '口罩', '大哭']</t>
  </si>
  <si>
    <t>过分清醒张雨剑</t>
  </si>
  <si>
    <t>['过分', '清醒', '张雨剑']</t>
  </si>
  <si>
    <t>陆绎袁今夏分手</t>
  </si>
  <si>
    <t>['陆绎', '袁', '今夏', '分手']</t>
  </si>
  <si>
    <t>手写加油接力</t>
  </si>
  <si>
    <t>['手写', '加油', '接力']</t>
  </si>
  <si>
    <t>NBA四方交易</t>
  </si>
  <si>
    <t>['NBA', '四方', '交易']</t>
  </si>
  <si>
    <t>男子武汉返乡却谎称菲律宾回来</t>
  </si>
  <si>
    <t>['男子', '武汉', '返乡', '却', '谎称', '菲律宾', '回来']</t>
  </si>
  <si>
    <t>演技派虐恋情深</t>
  </si>
  <si>
    <t>['演技', '演技派', '虐恋', '情深']</t>
  </si>
  <si>
    <t>军医防护服上写湖北姑爷</t>
  </si>
  <si>
    <t>['军医', '防护', '防护服', '上', '写', '湖北', '姑爷']</t>
  </si>
  <si>
    <t>湖北禁止堆砌断路中断公路交通</t>
  </si>
  <si>
    <t>['湖北', '禁止', '堆砌', '断路', '中断', '公路', '交通', '公路交通']</t>
  </si>
  <si>
    <t>丈夫瞒着待产妻子加入援鄂一线</t>
  </si>
  <si>
    <t>['丈夫', '瞒', '着', '待产', '妻子', '加入', '援鄂', '一线']</t>
  </si>
  <si>
    <t>专家回应为何启用方舱医院</t>
  </si>
  <si>
    <t>['专家', '回应', '为何', '启用', '方舱', '医院']</t>
  </si>
  <si>
    <t>武汉协和14名被感染医护全出院</t>
  </si>
  <si>
    <t>['武汉', '协和', '14', '名', '被', '感染', '医护', '全', '出院']</t>
  </si>
  <si>
    <t>南京实施小区封闭式管理</t>
  </si>
  <si>
    <t>['南京', '实施', '小区', '封闭', '闭式', '封闭式', '管理']</t>
  </si>
  <si>
    <t>李兰娟回应疫情何时会明显下降</t>
  </si>
  <si>
    <t>['李兰娟', '回应', '疫情', '何时', '会', '明显', '下降']</t>
  </si>
  <si>
    <t>新世界 徐天被打</t>
  </si>
  <si>
    <t>['世界', '新世界', ' ', '徐天', '被', '打']</t>
  </si>
  <si>
    <t>IMF总裁 对中国经济有信心</t>
  </si>
  <si>
    <t>['IMF', '总裁', ' ', '对', '中国', '经济', '有', '信心']</t>
  </si>
  <si>
    <t>试剂盒检测时间缩短到1天</t>
  </si>
  <si>
    <t>['试剂', '试剂盒', '检测', '测时', '时间', '检测时间', '缩短', '到', '1', '天']</t>
  </si>
  <si>
    <t>湖南新增确诊新冠肺炎68例</t>
  </si>
  <si>
    <t>['湖南', '新增', '确诊', '新冠', '肺炎', '68', '例']</t>
  </si>
  <si>
    <t>王俊凯回复支援武汉粉丝</t>
  </si>
  <si>
    <t>['王俊凯', '回复', '支援', '武汉', '粉丝']</t>
  </si>
  <si>
    <t>没有特效药可以把病毒杀死</t>
  </si>
  <si>
    <t>['没有', '特效', '特效药', '可以', '把', '病毒', '杀死']</t>
  </si>
  <si>
    <t>咸阳全市排查六类人群</t>
  </si>
  <si>
    <t>['咸阳', '全市', '排查', '六类', '人群']</t>
  </si>
  <si>
    <t>安徽新增确诊新冠肺炎50例</t>
  </si>
  <si>
    <t>['安徽', '新增', '确诊', '新冠', '肺炎', '50', '例']</t>
  </si>
  <si>
    <t>科比答应配合霍华德扣篮</t>
  </si>
  <si>
    <t>['科比', '答应', '配合', '霍华德', '扣篮']</t>
  </si>
  <si>
    <t>孙杨为值守民警点外卖</t>
  </si>
  <si>
    <t>['孙杨为', '值守', '民警', '点', '外卖']</t>
  </si>
  <si>
    <t>老百姓的自我防护觉悟</t>
  </si>
  <si>
    <t>['百姓', '老百姓', '的', '自我', '防护', '觉悟']</t>
  </si>
  <si>
    <t>武汉一志愿者感染新冠肺炎去世</t>
  </si>
  <si>
    <t>['武汉', '一', '志愿', '愿者', '志愿者', '感染', '新冠', '肺炎', '去世']</t>
  </si>
  <si>
    <t>河南新增确诊新冠肺炎89例</t>
  </si>
  <si>
    <t>['河南', '新增', '确诊', '新冠', '肺炎', '89', '例']</t>
  </si>
  <si>
    <t>武汉百步亭社区多栋发热门栋</t>
  </si>
  <si>
    <t>['武汉', '百步', '百步亭', '社区', '多栋', '发热', '门栋']</t>
  </si>
  <si>
    <t>建议适当延缓非急诊手术</t>
  </si>
  <si>
    <t>['建议', '适当', '延缓', '非', '急诊', '手术']</t>
  </si>
  <si>
    <t>核酸检测医生双手被捂出红斑</t>
  </si>
  <si>
    <t>['核酸', '检测', '医生', '双手', '被', '捂', '出', '红斑']</t>
  </si>
  <si>
    <t>2020/02/06</t>
  </si>
  <si>
    <t>戚然阮子慕</t>
  </si>
  <si>
    <t>['戚然', '阮子慕']</t>
  </si>
  <si>
    <t>口罩喷酒精可能将病毒留在口罩上</t>
  </si>
  <si>
    <t>['口罩', '喷', '酒精', '可能', '将', '病毒', '留在', '口罩', '上']</t>
  </si>
  <si>
    <t>汪峰大女儿小苹果晒跳舞视频</t>
  </si>
  <si>
    <t>['汪峰', '大', '女儿', '苹果', '小苹果', '晒', '跳舞', '视频']</t>
  </si>
  <si>
    <t>明星都在挑战的健身动作</t>
  </si>
  <si>
    <t>['明星', '都', '在', '挑战', '的', '健身', '动作']</t>
  </si>
  <si>
    <t>疑似病例确诊或排除速度加快</t>
  </si>
  <si>
    <t>['疑似', '病例', '疑似病例', '确诊', '或', '排除', '速度', '加快']</t>
  </si>
  <si>
    <t>已接回1500多名湖北籍旅客</t>
  </si>
  <si>
    <t>['已接', '回', '1500', '多名', '湖北', '籍', '旅客']</t>
  </si>
  <si>
    <t>张继科在家与父亲打球</t>
  </si>
  <si>
    <t>['张继科', '在家', '与', '父亲', '打球']</t>
  </si>
  <si>
    <t>疫情上报第一人记大功</t>
  </si>
  <si>
    <t>['疫情', '上报', '第一', '人', '大功', '记大功']</t>
  </si>
  <si>
    <t>全国累计确诊新冠肺炎28018例</t>
  </si>
  <si>
    <t>['全国', '累计', '确诊', '新冠', '肺炎', '28018', '例']</t>
  </si>
  <si>
    <t>出门买菜未戴口罩被感染</t>
  </si>
  <si>
    <t>['出门', '买菜', '未戴', '口罩', '被', '感染']</t>
  </si>
  <si>
    <t>湖北新增2987例新冠肺炎</t>
  </si>
  <si>
    <t>['湖北', '新增', '2987', '例新冠', '肺炎']</t>
  </si>
  <si>
    <t>湖南新增确诊病例50例</t>
  </si>
  <si>
    <t>['湖南', '新增', '确诊', '病例', '50', '例']</t>
  </si>
  <si>
    <t>李佳琦回应章子怡评论</t>
  </si>
  <si>
    <t>['李佳琦', '回应', '章子', '章子怡', '评论']</t>
  </si>
  <si>
    <t>湖北首批5名儿童患者出院</t>
  </si>
  <si>
    <t>['湖北', '首批', '5', '名', '儿童', '患者', '出院']</t>
  </si>
  <si>
    <t>英国小学生中文合唱给中国加油</t>
  </si>
  <si>
    <t>['英国', '小学', '学生', '小学生', '中文', '合唱', '给', '中国', '加油']</t>
  </si>
  <si>
    <t>钟南山 药物临床试验要谨慎</t>
  </si>
  <si>
    <t>['南山', '钟南山', ' ', '药物', '临床', '试验', '临床试验', '要', '谨慎']</t>
  </si>
  <si>
    <t>疫情不除 头发不留</t>
  </si>
  <si>
    <t>['疫情', '不除', ' ', '头发', '不留']</t>
  </si>
  <si>
    <t>羊羊羊小可爱升级当爸妈</t>
  </si>
  <si>
    <t>['羊羊羊', '小可', '可爱', '小可爱', '升级', '当', '爸妈']</t>
  </si>
  <si>
    <t>郑恺小号</t>
  </si>
  <si>
    <t>['郑恺', '小号']</t>
  </si>
  <si>
    <t>贺灿阳房子塌了</t>
  </si>
  <si>
    <t>['贺灿阳', '房子', '塌', '了']</t>
  </si>
  <si>
    <t>洪山体育馆方舱医院接收首批患者</t>
  </si>
  <si>
    <t>['洪山', '体育', '体育馆', '方舱', '医院', '接收', '首批', '患者']</t>
  </si>
  <si>
    <t>国台办 以疫谋独绝不会得逞</t>
  </si>
  <si>
    <t>['台办', '国台办', ' ', '以疫谋独', '绝不', '不会', '绝不会', '得逞']</t>
  </si>
  <si>
    <t>大理市长就扣留口罩道歉</t>
  </si>
  <si>
    <t>['大理', '市长', '就', '扣留', '口罩', '道歉']</t>
  </si>
  <si>
    <t>儿子确诊90岁母亲陪护4天4夜</t>
  </si>
  <si>
    <t>['儿子', '确诊', '90', '岁', '母亲', '陪护', '4', '天', '4', '夜']</t>
  </si>
  <si>
    <t>抖音母公司为牺牲乡镇医生捐款</t>
  </si>
  <si>
    <t>['抖音', '公司', '母公司', '为', '牺牲', '乡镇', '医生', '捐款']</t>
  </si>
  <si>
    <t>印度黑客组织攻击我国医疗机构</t>
  </si>
  <si>
    <t>['印度', '黑客', '组织', '攻击', '我国', '医疗', '机构', '医疗机构']</t>
  </si>
  <si>
    <t>李文亮医生去世</t>
  </si>
  <si>
    <t>['李文亮', '医生', '去世']</t>
  </si>
  <si>
    <t>男孩帮忙更换电梯公用纸巾</t>
  </si>
  <si>
    <t>['男孩', '帮忙', '更换', '电梯', '公用', '纸巾']</t>
  </si>
  <si>
    <t>95后女医生骑行300公里回武汉</t>
  </si>
  <si>
    <t>['95', '后', '医生', '女医生', '骑行', '300', '公里', '回', '武汉']</t>
  </si>
  <si>
    <t>洗衣机拍照</t>
  </si>
  <si>
    <t>['洗衣', '洗衣机', '拍照']</t>
  </si>
  <si>
    <t>寿光支援武汉司机谈初衷</t>
  </si>
  <si>
    <t>['寿光', '支援', '武汉', '司机', '谈', '初衷']</t>
  </si>
  <si>
    <t>山西新增确诊病例9例</t>
  </si>
  <si>
    <t>['山西', '新增', '确诊', '病例', '9', '例']</t>
  </si>
  <si>
    <t>NBA版爱情公寓</t>
  </si>
  <si>
    <t>['NBA', '版', '爱情', '公寓']</t>
  </si>
  <si>
    <t>土耳其机场客机断成两截</t>
  </si>
  <si>
    <t>['土耳其', '机场', '客机', '断成', '两截', '断成两截']</t>
  </si>
  <si>
    <t>钟南山战疫全记录</t>
  </si>
  <si>
    <t>['南山', '钟南山', '战疫', '记录', '全记录']</t>
  </si>
  <si>
    <t>86岁患者病愈感谢解放军救治</t>
  </si>
  <si>
    <t>['86', '岁', '患者', '病愈', '感谢', '解放', '解放军', '救治']</t>
  </si>
  <si>
    <t>特朗普免遭弹劾</t>
  </si>
  <si>
    <t>['特朗普', '免遭', '弹劾']</t>
  </si>
  <si>
    <t>宋茜教宋威龙跳舞</t>
  </si>
  <si>
    <t>['宋茜', '教宋', '威龙', '跳舞']</t>
  </si>
  <si>
    <t>足球版爱情公寓</t>
  </si>
  <si>
    <t>['足球', '版', '爱情', '公寓']</t>
  </si>
  <si>
    <t>菏泽275吨农产品驰援武汉</t>
  </si>
  <si>
    <t>['菏泽', '275', '吨', '农产', '产品', '农产品', '驰援', '武汉']</t>
  </si>
  <si>
    <t>全国非湖北地区确诊病例连降两日</t>
  </si>
  <si>
    <t>['全国', '非', '湖北', '地区', '确诊', '病例', '连降', '两日']</t>
  </si>
  <si>
    <t>肺炎一号</t>
  </si>
  <si>
    <t>['肺炎', '一号']</t>
  </si>
  <si>
    <t>男子取药没戴口罩50秒被感染</t>
  </si>
  <si>
    <t>['男子', '取药', '没戴', '口罩', '50', '秒', '被', '感染']</t>
  </si>
  <si>
    <t>瓦妮莎连发动态怀念科比Gigi</t>
  </si>
  <si>
    <t>['瓦妮', '莎', '连发', '动态', '怀念', '科比', 'Gigi']</t>
  </si>
  <si>
    <t>汶川感恩您武汉要雄起</t>
  </si>
  <si>
    <t>['汶川', '感恩', '您', '武汉', '要', '雄起']</t>
  </si>
  <si>
    <t>浙江省新增确诊病例59例</t>
  </si>
  <si>
    <t>['浙江', '浙江省', '新增', '确诊', '病例', '59', '例']</t>
  </si>
  <si>
    <t>首批新冠肺炎重症患者将接受用药</t>
  </si>
  <si>
    <t>['首批', '新冠', '肺炎', '重症', '患者', '将', '接受', '用药']</t>
  </si>
  <si>
    <t>私生打电话骚扰周震南</t>
  </si>
  <si>
    <t>['私生', '电话', '打电话', '骚扰', '周震南']</t>
  </si>
  <si>
    <t>2020/02/07</t>
  </si>
  <si>
    <t>大熊猫闯进村民家睡猪圈</t>
  </si>
  <si>
    <t>['大熊', '熊猫', '大熊猫', '闯进', '村民', '家', '睡', '猪圈']</t>
  </si>
  <si>
    <t>全国累计确诊新冠肺炎31161例</t>
  </si>
  <si>
    <t>['全国', '累计', '确诊', '新冠', '肺炎', '31161', '例']</t>
  </si>
  <si>
    <t>穿山甲为新冠病毒潜在中间宿主</t>
  </si>
  <si>
    <t>['山甲', '穿山甲', '为', '新冠', '病毒', '潜在', '中间', '宿主']</t>
  </si>
  <si>
    <t>克莱汤普森为武汉加油</t>
  </si>
  <si>
    <t>['克莱', '汤普森', '为', '武汉', '加油']</t>
  </si>
  <si>
    <t>国家监察委调查涉李文亮有关问题</t>
  </si>
  <si>
    <t>['国家', '监察', '委', '调查', '涉', '李文亮', '有关', '问题']</t>
  </si>
  <si>
    <t>武汉4名医护人员病愈后返岗</t>
  </si>
  <si>
    <t>['武汉', '4', '名', '医护', '护人', '人员', '医护人员', '病愈', '后', '返岗']</t>
  </si>
  <si>
    <t>李文亮</t>
  </si>
  <si>
    <t>['李文亮']</t>
  </si>
  <si>
    <t>黑龙江新增确诊病例50例</t>
  </si>
  <si>
    <t>['龙江', '黑龙江', '新增', '确诊', '病例', '50', '例']</t>
  </si>
  <si>
    <t>NBA全明星队长选人结果出炉</t>
  </si>
  <si>
    <t>['NBA', '明星', '全明星', '队长', '选人', '结果', '出炉']</t>
  </si>
  <si>
    <t>武汉全民体温监测</t>
  </si>
  <si>
    <t>['武汉', '全民', '体温', '监测']</t>
  </si>
  <si>
    <t>湖北医护人员缺口约2250人</t>
  </si>
  <si>
    <t>['湖北', '医护', '护人', '人员', '医护人员', '缺口', '约', '2250', '人']</t>
  </si>
  <si>
    <t>天天向上云录制</t>
  </si>
  <si>
    <t>['天天', '向上', '天天向上', '云', '录制']</t>
  </si>
  <si>
    <t>天津一患者致973人被隔离</t>
  </si>
  <si>
    <t>['天津', '一', '患者', '致', '973', '人', '被', '隔离']</t>
  </si>
  <si>
    <t>湖北新增2447例新冠肺炎</t>
  </si>
  <si>
    <t>['湖北', '新增', '2447', '例新冠', '肺炎']</t>
  </si>
  <si>
    <t>王一博穿粉色卫衣变魔术</t>
  </si>
  <si>
    <t>['王一博', '穿', '粉色', '卫衣', '魔术', '变魔术']</t>
  </si>
  <si>
    <t>广东新增确诊病例74例</t>
  </si>
  <si>
    <t>['广东', '新增', '确诊', '病例', '74', '例']</t>
  </si>
  <si>
    <t>金银潭医院启动瑞德西韦临床试验</t>
  </si>
  <si>
    <t>['金银', '潭', '医院', '启动', '瑞德', '西韦', '临床', '试验', '临床试验']</t>
  </si>
  <si>
    <t>国家邮政局呼吁让快递员进小区</t>
  </si>
  <si>
    <t>['国家', '邮政', '政局', '邮政局', '国家邮政局', '呼吁', '让', '快递', '员进', '小区']</t>
  </si>
  <si>
    <t>一线防疫工作者免征个税</t>
  </si>
  <si>
    <t>['一线', '防疫', '工作', '作者', '工作者', '免征', '个', '税']</t>
  </si>
  <si>
    <t>王一博 条纹衬衫</t>
  </si>
  <si>
    <t>['王一博', ' ', '条纹', '衬衫']</t>
  </si>
  <si>
    <t>湖南新增确诊病例61例</t>
  </si>
  <si>
    <t>['湖南', '新增', '确诊', '病例', '61', '例']</t>
  </si>
  <si>
    <t>武汉市政府向李文亮医生致敬</t>
  </si>
  <si>
    <t>['武汉', '武汉市', '政府', '向', '李文亮', '医生', '致敬']</t>
  </si>
  <si>
    <t>宋威龙 为什么他没有实习期</t>
  </si>
  <si>
    <t>['宋', '威龙', ' ', '什么', '为什么', '他', '没有', '实习', '实习期']</t>
  </si>
  <si>
    <t>日本邮轮新增41人确诊新冠肺炎</t>
  </si>
  <si>
    <t>['日本', '邮轮', '新增', '41', '人', '确诊', '新冠', '肺炎']</t>
  </si>
  <si>
    <t>电饭煲蛋糕</t>
  </si>
  <si>
    <t>['饭煲', '电饭煲', '蛋糕']</t>
  </si>
  <si>
    <t>李娜捐赠300万</t>
  </si>
  <si>
    <t>['李娜', '捐赠', '300', '万']</t>
  </si>
  <si>
    <t>起来搞点夜点心778</t>
  </si>
  <si>
    <t>['起来', '搞点夜', '点心', '778']</t>
  </si>
  <si>
    <t>浙江新增确诊病例52例</t>
  </si>
  <si>
    <t>['浙江', '新增', '确诊', '病例', '52', '例']</t>
  </si>
  <si>
    <t>在家打麻将三天致多人感染</t>
  </si>
  <si>
    <t>['在家', '麻将', '打麻将', '三天', '致多人', '感染']</t>
  </si>
  <si>
    <t>钟南山建议医护人员轮休</t>
  </si>
  <si>
    <t>['南山', '钟南山', '建议', '医护', '护人', '人员', '医护人员', '轮休']</t>
  </si>
  <si>
    <t>雷神山医院用传递窗送药</t>
  </si>
  <si>
    <t>['雷', '神山', '医院', '用', '传递', '传递窗', '送药']</t>
  </si>
  <si>
    <t>个人隐瞒疫情将列入征信黑名单</t>
  </si>
  <si>
    <t>['个人', '隐瞒', '疫情', '将', '列入', '征信', '黑名', '名单', '黑名单']</t>
  </si>
  <si>
    <t>随州医用物资仅够3天使用</t>
  </si>
  <si>
    <t>['随州', '医用', '物资', '仅够', '3', '天', '使用']</t>
  </si>
  <si>
    <t>286万只口罩非洲包机回国</t>
  </si>
  <si>
    <t>['286', '万', '只', '口罩', '非洲', '包机', '回国']</t>
  </si>
  <si>
    <t>李文亮仍在抢救</t>
  </si>
  <si>
    <t>['李文亮', '仍', '在', '抢救']</t>
  </si>
  <si>
    <t>上楼请踢我一脚</t>
  </si>
  <si>
    <t>['上楼', '请', '踢', '我', '一脚']</t>
  </si>
  <si>
    <t>电脑模拟仿真疫情趋势</t>
  </si>
  <si>
    <t>['电脑', '模拟', '仿真', '疫情', '趋势']</t>
  </si>
  <si>
    <t>山东新增确诊病例32例</t>
  </si>
  <si>
    <t>['山东', '新增', '确诊', '病例', '32', '例']</t>
  </si>
  <si>
    <t>江苏新增确诊病例35例</t>
  </si>
  <si>
    <t>['江苏', '新增', '确诊', '病例', '35', '例']</t>
  </si>
  <si>
    <t>四大行定期存款到期将自动延期</t>
  </si>
  <si>
    <t>['四大', '大行', '四大行', '定期', '存款', '定期存款', '到期', '将', '自动', '延期']</t>
  </si>
  <si>
    <t>两万斤芹菜一斤不卖全捐武汉</t>
  </si>
  <si>
    <t>['两万', '万斤', '两万斤', '芹菜', '一斤', '不卖', '全捐', '武汉']</t>
  </si>
  <si>
    <t>莫山山结印手势</t>
  </si>
  <si>
    <t>['山山', '莫山山', '结印', '手势']</t>
  </si>
  <si>
    <t>李文亮医生家人平安</t>
  </si>
  <si>
    <t>['李文亮', '医生', '家人', '平安']</t>
  </si>
  <si>
    <t>2020/02/08</t>
  </si>
  <si>
    <t>全国累计确诊新冠肺炎34546例</t>
  </si>
  <si>
    <t>['全国', '累计', '确诊', '新冠', '肺炎', '34546', '例']</t>
  </si>
  <si>
    <t>全球政要发声支持中国抗击疫情</t>
  </si>
  <si>
    <t>['全球', '政要', '发声', '支持', '中国', '抗击', '疫情']</t>
  </si>
  <si>
    <t>春节延长假期间上班先安排补休</t>
  </si>
  <si>
    <t>['春节', '延长', '假', '期间', '上班', '先', '安排', '补休']</t>
  </si>
  <si>
    <t>元宵节</t>
  </si>
  <si>
    <t>['元宵', '元宵节']</t>
  </si>
  <si>
    <t>白浅凤九同框</t>
  </si>
  <si>
    <t>['白浅', '凤九同', '框']</t>
  </si>
  <si>
    <t>武汉市民鲜花吊唁李文亮</t>
  </si>
  <si>
    <t>['武汉', '武汉市', '民', '鲜花', '吊唁', '李文亮']</t>
  </si>
  <si>
    <t>能洗头的玻尿酸</t>
  </si>
  <si>
    <t>['能', '洗头', '的', '玻', '尿酸']</t>
  </si>
  <si>
    <t>浙江新增确诊病例42例</t>
  </si>
  <si>
    <t>['浙江', '新增', '确诊', '病例', '42', '例']</t>
  </si>
  <si>
    <t>安徽新增确诊病例68例</t>
  </si>
  <si>
    <t>['安徽', '新增', '确诊', '病例', '68', '例']</t>
  </si>
  <si>
    <t>维嘉妈妈是双宋CP粉</t>
  </si>
  <si>
    <t>['维嘉', '妈妈', '是', '双宋', 'CP', '粉']</t>
  </si>
  <si>
    <t>萌娃阳台大喊想出去玩被邻居劝退</t>
  </si>
  <si>
    <t>['萌娃', '阳台', '大喊', '想', '出去', '出去玩', '被', '邻居', '劝退']</t>
  </si>
  <si>
    <t>1只N95换5只一次性医用口罩</t>
  </si>
  <si>
    <t>['1', '只', 'N95', '换', '5', '只', '一次', '一次性', '医用', '口罩']</t>
  </si>
  <si>
    <t>16省份一省包一市支援湖北</t>
  </si>
  <si>
    <t>['16', '省份', '一省', '包一市', '支援', '湖北']</t>
  </si>
  <si>
    <t>湖北以外地区新增病例连降四天</t>
  </si>
  <si>
    <t>['湖北', '以外', '地区', '新增', '病例', '连降', '四天']</t>
  </si>
  <si>
    <t>出现咽拭子核酸检测三阴感染者</t>
  </si>
  <si>
    <t>['出现', '咽', '拭子', '核酸', '检测', '三阴', '感染', '感染者']</t>
  </si>
  <si>
    <t>执勤人员冰天雪地里吃泡面</t>
  </si>
  <si>
    <t>['执勤', '人员', '冰天', '雪地', '冰天雪地', '里', '吃', '泡面']</t>
  </si>
  <si>
    <t>北京首次公布疑似病例数量</t>
  </si>
  <si>
    <t>['北京', '首次', '公布', '疑似', '病例', '疑似病例', '数量']</t>
  </si>
  <si>
    <t>杨幂白浅大婚造型</t>
  </si>
  <si>
    <t>['杨幂', '白浅大婚', '造型']</t>
  </si>
  <si>
    <t>李宇春肖战 岁岁平安</t>
  </si>
  <si>
    <t>['李宇春', '肖战', ' ', '岁', '岁', '平安']</t>
  </si>
  <si>
    <t>华晨宇 寒鸦少年</t>
  </si>
  <si>
    <t>['华晨', '宇', ' ', '寒鸦', '少年']</t>
  </si>
  <si>
    <t>周深 大鱼</t>
  </si>
  <si>
    <t>['周深', ' ', '大鱼']</t>
  </si>
  <si>
    <t>央视诗朗诵太感人了</t>
  </si>
  <si>
    <t>['央视', '朗诵', '诗朗诵', '太', '感人', '了']</t>
  </si>
  <si>
    <t>战疫一线民警累到站着睡着</t>
  </si>
  <si>
    <t>['战疫', '一线', '民警', '累到', '站', '着', '睡着']</t>
  </si>
  <si>
    <t>山东新增确诊病例21例</t>
  </si>
  <si>
    <t>['山东', '新增', '确诊', '病例', '21', '例']</t>
  </si>
  <si>
    <t>李文亮妻子发声</t>
  </si>
  <si>
    <t>['李文亮', '妻子', '发声']</t>
  </si>
  <si>
    <t>90后护士讲述逆行驰援武汉经历</t>
  </si>
  <si>
    <t>['90', '后', '护士', '讲述', '逆行', '驰援', '武汉', '经历']</t>
  </si>
  <si>
    <t>中央赴湖北指导组要求应收尽收</t>
  </si>
  <si>
    <t>['中央', '赴', '湖北', '指导', '指导组', '要求', '应收', '尽收']</t>
  </si>
  <si>
    <t>多省2月底前不开学</t>
  </si>
  <si>
    <t>['多省', '2', '月底', '前', '不', '开学']</t>
  </si>
  <si>
    <t>湖北疫情呈现城市向农村蔓延态势</t>
  </si>
  <si>
    <t>['湖北', '疫情', '呈现', '城市', '向', '农村', '蔓延', '态势']</t>
  </si>
  <si>
    <t>湖北新增确诊病例2841例</t>
  </si>
  <si>
    <t>['湖北', '新增', '确诊', '病例', '2841', '例']</t>
  </si>
  <si>
    <t>危重病人拔管后紧拉医生的手</t>
  </si>
  <si>
    <t>['危重', '重病', '危重病', '人', '拔管', '后', '紧拉', '医生', '的', '手']</t>
  </si>
  <si>
    <t>90后男医生为早产儿做袋鼠护理</t>
  </si>
  <si>
    <t>['90', '后', '医生', '男医生', '为', '早产', '产儿', '早产儿', '做', '袋鼠', '护理']</t>
  </si>
  <si>
    <t>硬核阿姨把玩偶服当防护服用</t>
  </si>
  <si>
    <t>['硬核', '阿姨', '把', '玩偶', '服当', '防护', '服用']</t>
  </si>
  <si>
    <t>河北新增确诊病例24例</t>
  </si>
  <si>
    <t>['河北', '新增', '确诊', '病例', '24', '例']</t>
  </si>
  <si>
    <t>元宵节晚会观众席空无一人</t>
  </si>
  <si>
    <t>['元宵', '元宵节', '晚会', '观众', '观众席', '空无一人']</t>
  </si>
  <si>
    <t>江苏新增确诊病例31例</t>
  </si>
  <si>
    <t>['江苏', '新增', '确诊', '病例', '31', '例']</t>
  </si>
  <si>
    <t>央视元宵晚会调整为抗疫特别节目</t>
  </si>
  <si>
    <t>['央视', '元宵', '晚会', '调整', '为', '抗疫', '特别', '节目', '特别节目']</t>
  </si>
  <si>
    <t>野狼disco伴奏原作者再发声</t>
  </si>
  <si>
    <t>['野狼', 'disco', '伴奏', '原作', '作者', '原作者', '再', '发声']</t>
  </si>
  <si>
    <t>实地探访武汉方舱医院</t>
  </si>
  <si>
    <t>['实地', '探访', '武汉', '方舱', '医院']</t>
  </si>
  <si>
    <t>平板加速挑战</t>
  </si>
  <si>
    <t>['平板', '加速', '挑战']</t>
  </si>
  <si>
    <t>湖南新增31例累计确诊803例</t>
  </si>
  <si>
    <t>['湖南', '新增', '31', '例', '累计', '确诊', '803', '例']</t>
  </si>
  <si>
    <t>致每个平凡的中国人</t>
  </si>
  <si>
    <t>['致', '每个', '平凡', '的', '中国', '人']</t>
  </si>
  <si>
    <t>全国累计治愈出院超2千例</t>
  </si>
  <si>
    <t>['全国', '累计', '治愈', '出院', '超', '2', '千例']</t>
  </si>
  <si>
    <t>河南一护士下班回小区遭阻拦</t>
  </si>
  <si>
    <t>['河南', '一', '护士', '下班', '回', '小区', '遭', '阻拦']</t>
  </si>
  <si>
    <t>唐嫣</t>
  </si>
  <si>
    <t>['唐嫣']</t>
  </si>
  <si>
    <t>该追星的追星 该追剧的追剧</t>
  </si>
  <si>
    <t>['该', '追星', '的', '追星', ' ', '该', '追剧', '的', '追剧']</t>
  </si>
  <si>
    <t>2020/02/09</t>
  </si>
  <si>
    <t>小区演唱会</t>
  </si>
  <si>
    <t>['小区', '演唱', '演唱会']</t>
  </si>
  <si>
    <t>凤凰传奇只有玲花</t>
  </si>
  <si>
    <t>['凤凰', '传奇', '只有', '玲花']</t>
  </si>
  <si>
    <t>湖北以外地区新增病例连降5天</t>
  </si>
  <si>
    <t>['湖北', '以外', '地区', '新增', '病例', '连降', '5', '天']</t>
  </si>
  <si>
    <t>累计调派11921名医护驰援湖北</t>
  </si>
  <si>
    <t>['累计', '调派', '11921', '名', '医护', '驰援', '湖北']</t>
  </si>
  <si>
    <t>虹桥枢纽已发现体温异常101人</t>
  </si>
  <si>
    <t>['虹桥', '枢纽', '已', '发现', '体温', '异常', '101', '人']</t>
  </si>
  <si>
    <t>全国累计确诊新冠肺炎37198例</t>
  </si>
  <si>
    <t>['全国', '累计', '确诊', '新冠', '肺炎', '37198', '例']</t>
  </si>
  <si>
    <t>医生为援武汉赶不上见昏迷的爷爷</t>
  </si>
  <si>
    <t>['医生', '为援', '武汉', '赶不上', '见', '昏迷', '的', '爷爷']</t>
  </si>
  <si>
    <t>男子不戴口罩威胁工作人员被拘</t>
  </si>
  <si>
    <t>['男子', '不戴', '口罩', '威胁', '工作', '作人', '人员', '工作人员', '被', '拘']</t>
  </si>
  <si>
    <t>卖爆米花50年攒2.5万全捐医院</t>
  </si>
  <si>
    <t>['卖', '爆米花', '50', '年', '攒', '2.5', '万全', '捐', '医院']</t>
  </si>
  <si>
    <t>四大天团医院支援武汉</t>
  </si>
  <si>
    <t>['四大', '天团', '医院', '支援', '武汉']</t>
  </si>
  <si>
    <t>湖北新增2147例新冠肺炎</t>
  </si>
  <si>
    <t>['湖北', '新增', '2147', '例新冠', '肺炎']</t>
  </si>
  <si>
    <t>患者隐瞒病情失去最佳治疗机会</t>
  </si>
  <si>
    <t>['患者', '隐瞒', '病情', '失去', '最佳', '治疗', '机会']</t>
  </si>
  <si>
    <t>江苏十三太保</t>
  </si>
  <si>
    <t>['江苏', '十三', '太保', '十三太保']</t>
  </si>
  <si>
    <t>湖北籍明星祝福武汉</t>
  </si>
  <si>
    <t>['湖北', '籍', '明星', '祝福', '武汉']</t>
  </si>
  <si>
    <t>河北学校开学不早于3月1日</t>
  </si>
  <si>
    <t>['河北', '学校', '开学', '不早', '于', '3', '月', '1', '日']</t>
  </si>
  <si>
    <t>空气中一般不会有新冠病毒</t>
  </si>
  <si>
    <t>['空气', '中', '一般', '不会', '有', '新冠', '病毒']</t>
  </si>
  <si>
    <t>男子输液时吐口水致2名医护感染</t>
  </si>
  <si>
    <t>['男子', '输液', '时', '吐口', '水致', '2', '名', '医护', '感染']</t>
  </si>
  <si>
    <t>中国船员讲述在日邮轮隔离</t>
  </si>
  <si>
    <t>['中国', '船员', '讲述', '在', '日', '邮轮', '隔离']</t>
  </si>
  <si>
    <t>新型冠状病毒属于SARS冠状病毒</t>
  </si>
  <si>
    <t>['新型', '冠状', '病毒', '冠状病毒', '属于', 'SARS', '冠状', '病毒', '冠状病毒']</t>
  </si>
  <si>
    <t>隔空拥抱的母女终于抱上了</t>
  </si>
  <si>
    <t>['隔空', '拥抱', '的', '母女', '终于', '抱', '上', '了']</t>
  </si>
  <si>
    <t>医护当半岁确诊患儿临时妈妈</t>
  </si>
  <si>
    <t>['医护', '当', '半岁', '确诊', '患儿', '临时', '妈妈']</t>
  </si>
  <si>
    <t>又发现5种药物能抑制新冠病毒</t>
  </si>
  <si>
    <t>['又', '发现', '5', '种', '药物', '能', '抑制', '新冠', '病毒']</t>
  </si>
  <si>
    <t>小蓝下线</t>
  </si>
  <si>
    <t>['小蓝', '下线']</t>
  </si>
  <si>
    <t>当直男cos许光汉</t>
  </si>
  <si>
    <t>['当直', '男', 'cos', '许光汉']</t>
  </si>
  <si>
    <t>透解祛瘟颗粒获批临床使用</t>
  </si>
  <si>
    <t>['透解', '祛', '瘟', '颗粒', '获批', '临床', '使用']</t>
  </si>
  <si>
    <t>王耀庆配音</t>
  </si>
  <si>
    <t>['王耀庆', '配音']</t>
  </si>
  <si>
    <t>张艺兴 会好的</t>
  </si>
  <si>
    <t>['张艺兴', ' ', '会', '好', '的']</t>
  </si>
  <si>
    <t>延迟复工工资发放新政策</t>
  </si>
  <si>
    <t>['延迟', '复工', '工资', '发放', '新', '政策']</t>
  </si>
  <si>
    <t>新冠肺炎人人易感</t>
  </si>
  <si>
    <t>['新冠', '肺炎', '人人', '易感']</t>
  </si>
  <si>
    <t>张智霖袁咏仪庆祝结婚19周年</t>
  </si>
  <si>
    <t>['张智霖', '袁咏仪', '庆祝', '结婚', '19', '周年']</t>
  </si>
  <si>
    <t>在家当主播的老师</t>
  </si>
  <si>
    <t>['在', '家当', '主播', '的', '老师']</t>
  </si>
  <si>
    <t>3岁宝宝闻着医生妈妈睡衣入睡</t>
  </si>
  <si>
    <t>['3', '岁', '宝宝', '闻着', '医生', '妈妈', '睡衣', '入睡']</t>
  </si>
  <si>
    <t>杨幂迪丽热巴花絮</t>
  </si>
  <si>
    <t>['杨', '幂迪丽', '热巴', '花絮']</t>
  </si>
  <si>
    <t>患者在方舱医院跳广场舞</t>
  </si>
  <si>
    <t>['患者', '在', '方舱', '医院', '跳', '广场', '舞']</t>
  </si>
  <si>
    <t>全国新增2656例新冠肺炎</t>
  </si>
  <si>
    <t>['全国', '新增', '2656', '例新冠', '肺炎']</t>
  </si>
  <si>
    <t>少林寺海外采购百万口罩驰援家乡</t>
  </si>
  <si>
    <t>['少林', '少林寺', '海外', '采购', '百万', '口罩', '驰援', '家乡']</t>
  </si>
  <si>
    <t>俄罗斯支援183立方米抗疫物资</t>
  </si>
  <si>
    <t>['罗斯', '俄罗斯', '支援', '183', '立方', '立方米', '抗疫', '物资']</t>
  </si>
  <si>
    <t>全国各地亮灯为武汉加油</t>
  </si>
  <si>
    <t>['全国', '各地', '亮灯', '为', '武汉', '加油']</t>
  </si>
  <si>
    <t>雷神山医院收治首批转运患者</t>
  </si>
  <si>
    <t>['雷', '神山', '医院', '收治', '首批', '转运', '患者']</t>
  </si>
  <si>
    <t>武汉组织露天马路市场营业</t>
  </si>
  <si>
    <t>['武汉', '组织', '露天', '马路', '市场', '营业']</t>
  </si>
  <si>
    <t>肖战捐赠医疗物资</t>
  </si>
  <si>
    <t>['肖战', '捐赠', '医疗', '物资']</t>
  </si>
  <si>
    <t>西安一肯德基店员确诊</t>
  </si>
  <si>
    <t>['西安', '一', '肯德', '肯德基', '店员', '确诊']</t>
  </si>
  <si>
    <t>两天内检测完武汉所有疑似患者</t>
  </si>
  <si>
    <t>['两天', '内', '检测', '完', '武汉', '所有', '疑似', '患者']</t>
  </si>
  <si>
    <t>新冠肺炎患者产下男婴取名小汤圆</t>
  </si>
  <si>
    <t>['新冠', '肺炎', '患者', '产下', '男婴', '取名', '小', '汤圆']</t>
  </si>
  <si>
    <t>2020/02/10</t>
  </si>
  <si>
    <t>新冠肺炎病死率远低于SARS</t>
  </si>
  <si>
    <t>['新冠', '肺炎', '病死', '病死率', '远', '低于', 'SARS']</t>
  </si>
  <si>
    <t>全国新冠肺炎治愈比例明显上升</t>
  </si>
  <si>
    <t>['全国', '新冠', '肺炎', '治愈', '比例', '明显', '上升']</t>
  </si>
  <si>
    <t>寒假作业被我妈炒菜了</t>
  </si>
  <si>
    <t>['寒假', '假作', '作业', '寒假作业', '被', '我', '妈', '炒菜', '了']</t>
  </si>
  <si>
    <t>肖战杨紫亲脸照</t>
  </si>
  <si>
    <t>['肖战', '杨', '紫', '亲脸', '照']</t>
  </si>
  <si>
    <t>钟南山团队回应潜伏期最长为24天</t>
  </si>
  <si>
    <t>['南山', '钟南山', '团队', '回应', '潜伏', '潜伏期', '最长', '为', '24', '天']</t>
  </si>
  <si>
    <t>贺灿阳蔡敏敏太甜了</t>
  </si>
  <si>
    <t>['贺灿阳', '蔡敏敏', '太甜', '了']</t>
  </si>
  <si>
    <t>男子为寻刺激朝路人吐口水被刑拘</t>
  </si>
  <si>
    <t>['男子', '为', '寻', '刺激', '朝路', '人', '吐口', '水', '被', '刑拘']</t>
  </si>
  <si>
    <t>李现神预测奥斯卡</t>
  </si>
  <si>
    <t>['李现', '神', '预测', '奥斯卡']</t>
  </si>
  <si>
    <t>上海可能是疫情风险最高的城市</t>
  </si>
  <si>
    <t>['上海', '可能', '是', '疫情', '风险', '最高', '的', '城市']</t>
  </si>
  <si>
    <t>放松就是对病毒的放纵</t>
  </si>
  <si>
    <t>['放松', '就是', '对', '病毒', '的', '放纵']</t>
  </si>
  <si>
    <t>豆豆先生在武汉为中国加油</t>
  </si>
  <si>
    <t>['豆豆', '先生', '在', '武汉', '为', '中国', '加油']</t>
  </si>
  <si>
    <t>医院副院长拒戴口罩被暂停职务</t>
  </si>
  <si>
    <t>['医院', '副', '院长', '拒戴', '口罩', '被', '暂停', '职务']</t>
  </si>
  <si>
    <t>湖南女大学生把亲爹举报了</t>
  </si>
  <si>
    <t>['湖南', '女', '大学', '学生', '大学生', '把', '亲爹', '举报', '了']</t>
  </si>
  <si>
    <t>王俊凯 百里昊和</t>
  </si>
  <si>
    <t>['王俊凯', ' ', '百里', '昊', '和']</t>
  </si>
  <si>
    <t>新冠肺炎潜伏期最长24天</t>
  </si>
  <si>
    <t>['新冠', '肺炎', '潜伏', '潜伏期', '最长', '24', '天']</t>
  </si>
  <si>
    <t>新冠肺炎愈后一般6个月内不会再得</t>
  </si>
  <si>
    <t>['新冠', '肺炎', '愈后', '一般', '6', '个', '月', '内', '不会', '再', '得']</t>
  </si>
  <si>
    <t>菲尼克斯 最佳男主</t>
  </si>
  <si>
    <t>['尼克', '克斯', '尼克斯', '菲尼克斯', ' ', '最佳', '男主']</t>
  </si>
  <si>
    <t>锦衣之下大结局</t>
  </si>
  <si>
    <t>['锦衣', '之下', '结局', '大结局']</t>
  </si>
  <si>
    <t>美国男篮奥运会44人大名单</t>
  </si>
  <si>
    <t>['美国', '男篮', '奥运', '奥运会', '44', '人大', '名单']</t>
  </si>
  <si>
    <t>郑爽 火红的萨日朗</t>
  </si>
  <si>
    <t>['郑爽', ' ', '火红', '的', '萨日朗']</t>
  </si>
  <si>
    <t>小时候赚钱养家的罗志祥</t>
  </si>
  <si>
    <t>['小时', '时候', '小时候', '赚钱', '养家', '的', '罗志祥']</t>
  </si>
  <si>
    <t>98岁老华侨去世前一天为武汉捐款</t>
  </si>
  <si>
    <t>['98', '岁', '老', '华侨', '去世', '一天', '前一天', '为', '武汉', '捐款']</t>
  </si>
  <si>
    <t>青海连续4天无新增病例</t>
  </si>
  <si>
    <t>['青海', '连续', '4', '天无', '新增', '病例']</t>
  </si>
  <si>
    <t>花式自制防护服</t>
  </si>
  <si>
    <t>['花式', '自制', '防护', '防护服']</t>
  </si>
  <si>
    <t>全国累计确诊新冠肺炎40171例</t>
  </si>
  <si>
    <t>['全国', '累计', '确诊', '新冠', '肺炎', '40171', '例']</t>
  </si>
  <si>
    <t>河南一医院院长拒戴口罩被停职</t>
  </si>
  <si>
    <t>['河南', '一', '医院', '院长', '医院院长', '拒戴', '口罩', '被', '停职']</t>
  </si>
  <si>
    <t>小朋友有多想出去玩</t>
  </si>
  <si>
    <t>['朋友', '小朋友', '有', '多', '想', '出去', '出去玩']</t>
  </si>
  <si>
    <t>温州老板开车被困高速15天</t>
  </si>
  <si>
    <t>['温州', '老板', '开车', '被困', '高速', '15', '天']</t>
  </si>
  <si>
    <t>湖北以外新增病例连降6天</t>
  </si>
  <si>
    <t>['湖北', '以外', '新增', '病例', '连降', '6', '天']</t>
  </si>
  <si>
    <t>寄生虫获奥斯卡最佳影片</t>
  </si>
  <si>
    <t>['寄生', '寄生虫', '获', '奥斯卡', '最佳', '影片', '最佳影片']</t>
  </si>
  <si>
    <t>齐鲁医疗队编写武汉方言手册</t>
  </si>
  <si>
    <t>['齐鲁', '医疗', '医疗队', '编写', '武汉', '方言', '手册']</t>
  </si>
  <si>
    <t>湖北排除疑似病例速度加快</t>
  </si>
  <si>
    <t>['湖北', '排除', '疑似', '病例', '疑似病例', '速度', '加快']</t>
  </si>
  <si>
    <t>英雄机长刘传健再送战疫医疗队</t>
  </si>
  <si>
    <t>['英雄', '机长', '刘传健', '再', '送', '战疫', '医疗', '医疗队']</t>
  </si>
  <si>
    <t>新冠病毒不是SARS</t>
  </si>
  <si>
    <t>['新冠', '病毒', '不是', 'SARS']</t>
  </si>
  <si>
    <t>第92届奥斯卡红毯</t>
  </si>
  <si>
    <t>['第', '92', '届', '奥斯卡', '红毯']</t>
  </si>
  <si>
    <t>云南新增新冠肺炎病例为零</t>
  </si>
  <si>
    <t>['云南', '新增', '新冠', '肺炎', '病例', '为', '零']</t>
  </si>
  <si>
    <t>姐妹俩撕扯医生口罩被行拘</t>
  </si>
  <si>
    <t>['姐妹', '姐妹俩', '撕扯', '医生', '口罩', '被行', '拘']</t>
  </si>
  <si>
    <t>安徽新增确诊病例51例</t>
  </si>
  <si>
    <t>['安徽', '新增', '确诊', '病例', '51', '例']</t>
  </si>
  <si>
    <t>在离病毒最近的地方取样</t>
  </si>
  <si>
    <t>['在', '离', '病毒', '最近', '的', '地方', '取样']</t>
  </si>
  <si>
    <t>戴口罩可防止气溶胶传播</t>
  </si>
  <si>
    <t>['戴', '口罩', '可', '防止', '溶胶', '气溶胶', '传播']</t>
  </si>
  <si>
    <t>深圳旅客穿太空服登机</t>
  </si>
  <si>
    <t>['深圳', '旅客', '穿', '太空', '太空服', '登机']</t>
  </si>
  <si>
    <t>菜地主人竖起0.1元标牌</t>
  </si>
  <si>
    <t>['菜地', '主人', '竖起', '0.1', '元', '标牌']</t>
  </si>
  <si>
    <t>陈一新任中央指导组副组长</t>
  </si>
  <si>
    <t>['陈一', '新任', '中央', '指导', '指导组', '组长', '副组长']</t>
  </si>
  <si>
    <t>41架包机近6000人同天抵达武汉</t>
  </si>
  <si>
    <t>['41', '架', '包机', '近', '6000', '人同天', '抵达', '武汉']</t>
  </si>
  <si>
    <t>红十字会总会要求湖北彻底整改</t>
  </si>
  <si>
    <t>['十字', '红十字', '红十字会', '总会', '要求', '湖北', '彻底', '整改']</t>
  </si>
  <si>
    <t>2020/02/11</t>
  </si>
  <si>
    <t>NASA立扫把挑战</t>
  </si>
  <si>
    <t>['NASA', '立', '扫把', '挑战']</t>
  </si>
  <si>
    <t>全国累计确诊新冠肺炎42638例</t>
  </si>
  <si>
    <t>['全国', '累计', '确诊', '新冠', '肺炎', '42638', '例']</t>
  </si>
  <si>
    <t>雷神山网红小蓝背后的兄弟</t>
  </si>
  <si>
    <t>['雷', '神山', '网红小蓝', '背后', '的', '兄弟']</t>
  </si>
  <si>
    <t>上海1.3万个小区封闭式管理</t>
  </si>
  <si>
    <t>['上海', '1.3', '万个', '小区', '封闭', '闭式', '封闭式', '管理']</t>
  </si>
  <si>
    <t>爱情公寓拆迁</t>
  </si>
  <si>
    <t>['爱情', '公寓', '拆迁']</t>
  </si>
  <si>
    <t>张定宇 新冠肺炎是自限性疾病</t>
  </si>
  <si>
    <t>['张定宇', ' ', '新冠', '肺炎', '是', '限性', '自限性', '疾病']</t>
  </si>
  <si>
    <t>学生旅客3月31前机票可免费退改签</t>
  </si>
  <si>
    <t>['学生', '旅客', '3', '月', '31', '前', '机票', '可', '免费', '退', '改签']</t>
  </si>
  <si>
    <t>武汉发热患者不得跨区就诊</t>
  </si>
  <si>
    <t>['武汉', '发热', '患者', '不得', '跨区', '就诊']</t>
  </si>
  <si>
    <t>湖北以外地区新增病例连降7天</t>
  </si>
  <si>
    <t>['湖北', '以外', '地区', '新增', '病例', '连降', '7', '天']</t>
  </si>
  <si>
    <t>立扫把挑战</t>
  </si>
  <si>
    <t>['立', '扫把', '挑战']</t>
  </si>
  <si>
    <t>世界卫生组织命名新冠状病毒</t>
  </si>
  <si>
    <t>['世界', '卫生', '组织', '世界卫生组织', '命名', '新', '冠状', '病毒', '冠状病毒']</t>
  </si>
  <si>
    <t>湖北新增确诊病例2097例</t>
  </si>
  <si>
    <t>['湖北', '新增', '确诊', '病例', '2097', '例']</t>
  </si>
  <si>
    <t>锦衣之下现代番外</t>
  </si>
  <si>
    <t>['锦衣', '之下', '现代', '番外']</t>
  </si>
  <si>
    <t>李兰娟团队救治模式初显成效</t>
  </si>
  <si>
    <t>['李兰娟', '团队', '救治', '模式', '初显', '成效']</t>
  </si>
  <si>
    <t>陕西一高铁保洁员确诊</t>
  </si>
  <si>
    <t>['陕西', '一', '高铁', '保洁', '保洁员', '确诊']</t>
  </si>
  <si>
    <t>WHO专家先遣队抵达中国</t>
  </si>
  <si>
    <t>['WHO', '专家', '先遣', '先遣队', '抵达', '中国']</t>
  </si>
  <si>
    <t>武汉所有小区实行封闭管理</t>
  </si>
  <si>
    <t>['武汉', '所有', '小区', '实行', '封闭', '管理']</t>
  </si>
  <si>
    <t>河南新增确诊病例32例</t>
  </si>
  <si>
    <t>['河南', '新增', '确诊', '病例', '32', '例']</t>
  </si>
  <si>
    <t>兰州牛肉面吃出了科举考试的感觉</t>
  </si>
  <si>
    <t>['兰州', '牛肉', '牛肉面', '吃', '出', '了', '科举', '考试', '科举考试', '的', '感觉']</t>
  </si>
  <si>
    <t>民政部呼吁企业开发公益软件</t>
  </si>
  <si>
    <t>['民政', '民政部', '呼吁', '企业', '开发', '公益', '软件']</t>
  </si>
  <si>
    <t>WHO 新冠病毒不怕炎热湿润天气</t>
  </si>
  <si>
    <t>['WHO', ' ', '新冠', '病毒', '不怕', '炎热', '湿润', '天气']</t>
  </si>
  <si>
    <t>王源用火锅底料煮泡面</t>
  </si>
  <si>
    <t>['王源', '用', '火锅', '底料', '煮', '泡面']</t>
  </si>
  <si>
    <t>鹿晗新歌彩排</t>
  </si>
  <si>
    <t>['鹿晗', '新歌', '彩排']</t>
  </si>
  <si>
    <t>尼日利亚爆发不明疾病</t>
  </si>
  <si>
    <t>['日利', '利亚', '尼日利亚', '爆发', '不明', '疾病']</t>
  </si>
  <si>
    <t>武软校方发布道歉信</t>
  </si>
  <si>
    <t>['武软', '校方', '发布', '道歉', '道歉信']</t>
  </si>
  <si>
    <t>易烊千玺撸猫</t>
  </si>
  <si>
    <t>['易', '烊', '千玺', '撸', '猫']</t>
  </si>
  <si>
    <t>国家发改委呼吁不要囤口罩</t>
  </si>
  <si>
    <t>['国家', '发改委', '呼吁', '不要', '囤', '口罩']</t>
  </si>
  <si>
    <t>贺繁星元宋修罗场</t>
  </si>
  <si>
    <t>['贺', '繁星', '元宋', '修罗', '修罗场']</t>
  </si>
  <si>
    <t>王一博背影封面</t>
  </si>
  <si>
    <t>['王一博', '背影', '封面']</t>
  </si>
  <si>
    <t>湖南新增确诊病例33例</t>
  </si>
  <si>
    <t>['湖南', '新增', '确诊', '病例', '33', '例']</t>
  </si>
  <si>
    <t>武汉排查出1499名重症患者全部入院</t>
  </si>
  <si>
    <t>['武汉', '排查', '出', '1499', '名', '重症', '患者', '全部', '入院']</t>
  </si>
  <si>
    <t>北京非生活必需的娱乐室一律关闭</t>
  </si>
  <si>
    <t>['北京', '非', '生活', '必需', '生活必需', '的', '娱乐', '娱乐室', '一律', '关闭']</t>
  </si>
  <si>
    <t>詹姆斯罚球命中数超乔丹</t>
  </si>
  <si>
    <t>['詹姆斯', '罚球', '命中', '数超', '乔丹']</t>
  </si>
  <si>
    <t>湖北省卫健委党组书记主任被免职</t>
  </si>
  <si>
    <t>['湖北', '湖北省', '卫健委', '党组', '书记', '党组书记', '主任', '被', '免职']</t>
  </si>
  <si>
    <t>小学举行网上开学典礼</t>
  </si>
  <si>
    <t>['小学', '举行', '网上', '开学', '典礼', '开学典礼']</t>
  </si>
  <si>
    <t>浙江一对新人捐50万婚宴费用抗疫</t>
  </si>
  <si>
    <t>['浙江', '一对', '新人', '捐', '50', '万', '婚宴', '费用', '抗疫']</t>
  </si>
  <si>
    <t>企业复工要为职工配发口罩</t>
  </si>
  <si>
    <t>['企业', '复工', '要', '为', '职工', '配发', '口罩']</t>
  </si>
  <si>
    <t>凌潇肃唐一菲给医护人员送年夜饭</t>
  </si>
  <si>
    <t>['凌潇肃', '唐一菲', '给', '医护', '护人', '人员', '医护人员', '送', '年夜', '夜饭', '年夜饭']</t>
  </si>
  <si>
    <t>伊戈达拉热火首秀</t>
  </si>
  <si>
    <t>['伊戈', '达拉', '热火', '首秀']</t>
  </si>
  <si>
    <t>黑龙江新增确诊病例29例</t>
  </si>
  <si>
    <t>['龙江', '黑龙江', '新增', '确诊', '病例', '29', '例']</t>
  </si>
  <si>
    <t>小妇人撤档</t>
  </si>
  <si>
    <t>['妇人', '小妇人', '撤档']</t>
  </si>
  <si>
    <t>巴西发现神秘病毒</t>
  </si>
  <si>
    <t>['巴西', '发现', '神秘', '病毒']</t>
  </si>
  <si>
    <t>拉塞尔森林狼首秀</t>
  </si>
  <si>
    <t>['拉塞', '塞尔', '拉塞尔', '森林', '森林狼', '首秀']</t>
  </si>
  <si>
    <t>央视记者进入武汉医院隔离区采访</t>
  </si>
  <si>
    <t>['央视', '记者', '进入', '武汉', '医院', '隔离', '隔离区', '采访']</t>
  </si>
  <si>
    <t>河南空管与机组乘员的对话</t>
  </si>
  <si>
    <t>['河南', '空管', '与', '机组', '乘员', '的', '对话']</t>
  </si>
  <si>
    <t>2020/02/12</t>
  </si>
  <si>
    <t>岳云鹏承诺医护粉丝听相声</t>
  </si>
  <si>
    <t>['岳云鹏', '承诺', '医护', '粉丝', '相声', '听相声']</t>
  </si>
  <si>
    <t>数学老师的第一次直播</t>
  </si>
  <si>
    <t>['数学', '老师', '数学老师', '的', '第一', '一次', '第一次', '直播']</t>
  </si>
  <si>
    <t>高秀贞去世</t>
  </si>
  <si>
    <t>['高秀贞', '去世']</t>
  </si>
  <si>
    <t>体育老师是如何上网课的</t>
  </si>
  <si>
    <t>['体育', '老师', '体育老师', '是', '如何', '上网', '课', '的']</t>
  </si>
  <si>
    <t>爱情公寓5大结局</t>
  </si>
  <si>
    <t>['爱情', '公寓', '5', '结局', '大结局']</t>
  </si>
  <si>
    <t>曾小贤最后一期节目</t>
  </si>
  <si>
    <t>['曾小贤', '最后', '一期', '节目']</t>
  </si>
  <si>
    <t>NASA回应立扫把挑战</t>
  </si>
  <si>
    <t>['NASA', '回应', '立', '扫把', '挑战']</t>
  </si>
  <si>
    <t>中央指导组约谈武汉副市长幕后</t>
  </si>
  <si>
    <t>['中央', '指导', '指导组', '约', '谈', '武汉', '副', '市长', '幕后']</t>
  </si>
  <si>
    <t>立鸡蛋</t>
  </si>
  <si>
    <t>['立', '鸡蛋']</t>
  </si>
  <si>
    <t>全国累计确诊新冠肺炎44653例</t>
  </si>
  <si>
    <t>['全国', '累计', '确诊', '新冠', '肺炎', '44653', '例']</t>
  </si>
  <si>
    <t>新冠病毒疫苗可能在18个月内完成</t>
  </si>
  <si>
    <t>['新冠', '病毒', '疫苗', '可能', '在', '18', '个', '月', '内', '完成']</t>
  </si>
  <si>
    <t>辽宁葫芦岛一企业发生爆炸</t>
  </si>
  <si>
    <t>['辽宁', '葫芦', '葫芦岛', '一', '企业', '发生', '爆炸', '发生爆炸']</t>
  </si>
  <si>
    <t>市长调研途中偶遇车祸现场</t>
  </si>
  <si>
    <t>['市长', '调研', '途中', '偶遇', '车祸', '现场']</t>
  </si>
  <si>
    <t>科比和Gigi遗体已下葬</t>
  </si>
  <si>
    <t>['科比', '和', 'Gigi', '遗体', '已', '下葬']</t>
  </si>
  <si>
    <t>湖北新增确诊病例1638例</t>
  </si>
  <si>
    <t>['湖北', '新增', '确诊', '病例', '1638', '例']</t>
  </si>
  <si>
    <t>火神山医院收治患者超900人</t>
  </si>
  <si>
    <t>['火神', '山', '医院', '收治', '患者', '超', '900', '人']</t>
  </si>
  <si>
    <t>新冠肺炎疫情有望4月前结束</t>
  </si>
  <si>
    <t>['新冠', '肺炎', '疫情', '有望', '4', '月', '前', '结束']</t>
  </si>
  <si>
    <t>我爸妈可能都下岗了</t>
  </si>
  <si>
    <t>['我', '爸妈', '可能', '都', '下岗', '了']</t>
  </si>
  <si>
    <t>不得强行要求学生每天上网打卡</t>
  </si>
  <si>
    <t>['不得', '强行', '要求', '学生', '每天', '上网', '打卡']</t>
  </si>
  <si>
    <t>王一博封面</t>
  </si>
  <si>
    <t>['王一博', '封面']</t>
  </si>
  <si>
    <t>钟南山回应潜伏期最长可达24天</t>
  </si>
  <si>
    <t>['南山', '钟南山', '回应', '潜伏', '潜伏期', '最长', '可达', '24', '天']</t>
  </si>
  <si>
    <t>易烊千玺入围金像奖最佳男主角</t>
  </si>
  <si>
    <t>['易', '烊', '千玺', '入围', '金像', '金像奖', '最佳', '主角', '男主角']</t>
  </si>
  <si>
    <t>全国治愈比例达10.6%</t>
  </si>
  <si>
    <t>['全国', '治愈', '比例', '达', '10.6%']</t>
  </si>
  <si>
    <t>钟南山称李文亮为英雄</t>
  </si>
  <si>
    <t>['南山', '钟南山', '称', '李文亮', '为', '英雄']</t>
  </si>
  <si>
    <t>隐瞒病情患者刚出院就被拘留</t>
  </si>
  <si>
    <t>['隐瞒', '病情', '患者', '刚', '出院', '就', '被', '拘留']</t>
  </si>
  <si>
    <t>黄冈排查发现发热病人13000人</t>
  </si>
  <si>
    <t>['黄冈', '排查', '发现', '发热', '病人', '13000', '人']</t>
  </si>
  <si>
    <t>黄冈全面排查发现发热病人13000人</t>
  </si>
  <si>
    <t>['黄冈', '全面', '排查', '发现', '发热', '病人', '13000', '人']</t>
  </si>
  <si>
    <t>我代家乡父老乡亲给大家鞠躬</t>
  </si>
  <si>
    <t>['我代', '家乡', '父老', '老乡', '乡亲', '父老乡亲', '给', '大家', '鞠躬']</t>
  </si>
  <si>
    <t>王源同款火锅泡面</t>
  </si>
  <si>
    <t>['王源', '同款', '火锅', '泡面']</t>
  </si>
  <si>
    <t>等我能出门我也这样走</t>
  </si>
  <si>
    <t>['等', '我', '能', '出门', '我', '也', '这样', '走']</t>
  </si>
  <si>
    <t>贺繁星元宋互怼</t>
  </si>
  <si>
    <t>['贺', '繁星', '元', '宋互', '怼']</t>
  </si>
  <si>
    <t>山东副省长带队援鄂</t>
  </si>
  <si>
    <t>['山东', '省长', '副省长', '带队', '援鄂']</t>
  </si>
  <si>
    <t>95后男护士带患者打太极</t>
  </si>
  <si>
    <t>['95', '后', '护士', '男护士', '带', '患者', '打', '太极']</t>
  </si>
  <si>
    <t>浙江省首批支援荆门医疗队出发</t>
  </si>
  <si>
    <t>['浙江', '浙江省', '首批', '支援', '荆门', '医疗', '医疗队', '出发']</t>
  </si>
  <si>
    <t>谢娜鼓励援汉医护人员</t>
  </si>
  <si>
    <t>['谢娜', '鼓励', '援汉', '医护', '护人', '人员', '医护人员']</t>
  </si>
  <si>
    <t>所有教师录播课程必须制止</t>
  </si>
  <si>
    <t>['所有', '教师', '录播', '课程', '必须', '制止']</t>
  </si>
  <si>
    <t>水花兄弟场下猜拳</t>
  </si>
  <si>
    <t>['水花', '兄弟', '场下', '猜拳']</t>
  </si>
  <si>
    <t>女子路边挨个摸车门把手</t>
  </si>
  <si>
    <t>['女子', '路边', '挨个', '摸', '车门', '把手']</t>
  </si>
  <si>
    <t>湖北大学生返校后需单独隔离</t>
  </si>
  <si>
    <t>['湖北', '大学', '学生', '大学生', '返校', '后', '需', '单独', '隔离']</t>
  </si>
  <si>
    <t>2020/02/13</t>
  </si>
  <si>
    <t>张雨剑直播</t>
  </si>
  <si>
    <t>['张雨剑', '直播']</t>
  </si>
  <si>
    <t>4次检测阴性第5次才确诊</t>
  </si>
  <si>
    <t>['4', '次', '检测', '阴性', '第', '5', '次', '才', '确诊']</t>
  </si>
  <si>
    <t>湖北将临床诊断病例数纳入新增数据</t>
  </si>
  <si>
    <t>['湖北', '将', '临床', '诊断', '病例', '数', '纳入', '新增', '数据']</t>
  </si>
  <si>
    <t>山东运菜大叔获20000元奖金</t>
  </si>
  <si>
    <t>['山东', '运菜', '大叔', '获', '20000', '元', '奖金']</t>
  </si>
  <si>
    <t>四川人教湖北人怎么吃儿菜</t>
  </si>
  <si>
    <t>['四川', '四川人', '教', '湖北', '人', '怎么', '吃儿', '菜']</t>
  </si>
  <si>
    <t>美国放全球最大烟花</t>
  </si>
  <si>
    <t>['美国', '放', '全球', '最大', '烟花']</t>
  </si>
  <si>
    <t>木子洋直播哄孩子</t>
  </si>
  <si>
    <t>['木子', '洋', '直播', '哄', '孩子']</t>
  </si>
  <si>
    <t>上海市长应勇任湖北省委书记</t>
  </si>
  <si>
    <t>['上海', '市长', '应勇任', '湖北', '省委', '湖北省', '湖北省委', '书记']</t>
  </si>
  <si>
    <t>一条劳力士的回家路</t>
  </si>
  <si>
    <t>['一条', '劳力', '力士', '劳力士', '的', '回家', '路']</t>
  </si>
  <si>
    <t>上个网课咋还有这么无理的要求</t>
  </si>
  <si>
    <t>['上个', '网课', '咋', '还有', '这么', '无理', '的', '要求']</t>
  </si>
  <si>
    <t>高质量陪伴宝宝</t>
  </si>
  <si>
    <t>['高质', '质量', '高质量', '陪伴', '宝宝']</t>
  </si>
  <si>
    <t>湖北新增确诊病例14840例</t>
  </si>
  <si>
    <t>['湖北', '新增', '确诊', '病例', '14840', '例']</t>
  </si>
  <si>
    <t>执勤警员凌晨军体拳暖身</t>
  </si>
  <si>
    <t>['执勤', '警员', '凌晨', '军体', '军体拳', '暖身']</t>
  </si>
  <si>
    <t>日本邮轮再增44例新冠肺炎病例</t>
  </si>
  <si>
    <t>['日本', '邮轮', '再增', '44', '例新冠', '肺炎', '病例']</t>
  </si>
  <si>
    <t>杜江魏大勋跳萨日朗</t>
  </si>
  <si>
    <t>['杜江', '魏大勋', '跳萨日朗']</t>
  </si>
  <si>
    <t>科比生前短信</t>
  </si>
  <si>
    <t>['科比', '生前', '短信']</t>
  </si>
  <si>
    <t>全国累计确诊新冠肺炎59804例</t>
  </si>
  <si>
    <t>['全国', '累计', '确诊', '新冠', '肺炎', '59804', '例']</t>
  </si>
  <si>
    <t>北京新增确诊病例14例</t>
  </si>
  <si>
    <t>['北京', '新增', '确诊', '病例', '14', '例']</t>
  </si>
  <si>
    <t>12日新增1485人驰援湖北</t>
  </si>
  <si>
    <t>['12', '日', '新增', '1485', '人', '驰援', '湖北']</t>
  </si>
  <si>
    <t>郭德纲向武汉捐赠爱心救护车</t>
  </si>
  <si>
    <t>['郭德纲', '向', '武汉', '捐赠', '爱心', '救护', '护车', '救护车']</t>
  </si>
  <si>
    <t>武汉感染人数未摸清</t>
  </si>
  <si>
    <t>['武汉', '感染', '人数', '未', '摸清']</t>
  </si>
  <si>
    <t>你好孤独啊小伙子</t>
  </si>
  <si>
    <t>['你好', '孤独', '啊', '小伙', '伙子', '小伙子']</t>
  </si>
  <si>
    <t>湖北将再建一所应急后备医院</t>
  </si>
  <si>
    <t>['湖北', '将', '再', '建', '一所', '应急', '后备', '医院']</t>
  </si>
  <si>
    <t>军队增派2600名医护人员支援武汉</t>
  </si>
  <si>
    <t>['军队', '增派', '2600', '名', '医护', '护人', '人员', '医护人员', '支援', '武汉']</t>
  </si>
  <si>
    <t>我爷爷年轻的时候就是我的理想型</t>
  </si>
  <si>
    <t>['我', '爷爷', '年轻', '的', '时候', '就是', '我', '的', '理想', '型']</t>
  </si>
  <si>
    <t>教师资格考试和认定推迟</t>
  </si>
  <si>
    <t>['教师', '师资', '资格', '师资格', '教师资格', '考试', '和', '认定', '推迟']</t>
  </si>
  <si>
    <t>孝感黄冈等地要采取武汉同等措施</t>
  </si>
  <si>
    <t>['孝感', '黄冈', '等', '地要', '采取', '武汉', '同等', '措施']</t>
  </si>
  <si>
    <t>湖北十堰张湾区实施战时管制</t>
  </si>
  <si>
    <t>['湖北', '十堰', '湾区', '张湾区', '实施', '战时', '管制']</t>
  </si>
  <si>
    <t>暴雪蓝色预警</t>
  </si>
  <si>
    <t>['暴雪', '蓝色', '预警']</t>
  </si>
  <si>
    <t>广东新增确诊病例22例</t>
  </si>
  <si>
    <t>['广东', '新增', '确诊', '病例', '22', '例']</t>
  </si>
  <si>
    <t>山东新增确诊病例9例</t>
  </si>
  <si>
    <t>['山东', '新增', '确诊', '病例', '9', '例']</t>
  </si>
  <si>
    <t>黑龙江新增确诊病例17例</t>
  </si>
  <si>
    <t>['龙江', '黑龙江', '新增', '确诊', '病例', '17', '例']</t>
  </si>
  <si>
    <t>河南新增确诊病例34例</t>
  </si>
  <si>
    <t>['河南', '新增', '确诊', '病例', '34', '例']</t>
  </si>
  <si>
    <t>王一博撒娇</t>
  </si>
  <si>
    <t>['王一博', '撒娇']</t>
  </si>
  <si>
    <t>新冠肺炎康复者血浆治疗11人</t>
  </si>
  <si>
    <t>['新冠', '肺炎', '康复', '康复者', '血浆', '治疗', '11', '人']</t>
  </si>
  <si>
    <t>印尼仍有市场售卖蝙蝠</t>
  </si>
  <si>
    <t>['印尼', '仍', '有', '市场', '售卖', '蝙蝠']</t>
  </si>
  <si>
    <t>周冬雨入围金像奖最佳女主角</t>
  </si>
  <si>
    <t>['周', '冬雨', '入围', '金像', '金像奖', '最佳', '主角', '女主角']</t>
  </si>
  <si>
    <t>所有消毒剂对新冠病毒都有效</t>
  </si>
  <si>
    <t>['所有', '消毒', '毒剂', '消毒剂', '对', '新冠', '病毒', '都', '有效']</t>
  </si>
  <si>
    <t>2020年应届高校毕业生有874万</t>
  </si>
  <si>
    <t>['2020', '年', '应届', '高校', '毕业', '业生', '毕业生', '有', '874', '万']</t>
  </si>
  <si>
    <t>外教误会孩子感染肺炎失声痛哭</t>
  </si>
  <si>
    <t>['外教', '误会', '孩子', '感染', '肺炎', '失声', '痛哭', '失声痛哭']</t>
  </si>
  <si>
    <t>大型网课翻车现场</t>
  </si>
  <si>
    <t>['大型', '网课', '翻车', '现场']</t>
  </si>
  <si>
    <t>北京一老人打牌染病传染一家人</t>
  </si>
  <si>
    <t>['北京', '一', '老人', '打牌', '染病', '传染', '一家', '家人', '一家人']</t>
  </si>
  <si>
    <t>捐赠者中华儿女</t>
  </si>
  <si>
    <t>['捐赠', '捐赠者', '中华', '儿女', '中华儿女']</t>
  </si>
  <si>
    <t>金银潭医院恳请康复患者捐献血浆</t>
  </si>
  <si>
    <t>['金银', '潭', '医院', '恳请', '康复', '患者', '捐献', '血浆']</t>
  </si>
  <si>
    <t>2020/02/14</t>
  </si>
  <si>
    <t>中国医生 徐晔</t>
  </si>
  <si>
    <t>['中国', '医生', ' ', '徐晔']</t>
  </si>
  <si>
    <t>徐晔 宋寅</t>
  </si>
  <si>
    <t>['徐晔', ' ', '宋寅']</t>
  </si>
  <si>
    <t>三大运营商开放用户14天访地查询</t>
  </si>
  <si>
    <t>['三大', '运营', '营商', '运营商', '开放', '用户', '14', '天访', '地', '查询']</t>
  </si>
  <si>
    <t>世卫总干事谭德塞回应西方记者</t>
  </si>
  <si>
    <t>['世卫', '干事', '总干事', '谭', '德塞', '回应', '西方', '记者']</t>
  </si>
  <si>
    <t>小七成功追星比伯</t>
  </si>
  <si>
    <t>['小七', '成功', '追星', '比伯']</t>
  </si>
  <si>
    <t>王一博腹肌封面</t>
  </si>
  <si>
    <t>['王一博', '腹肌', '封面']</t>
  </si>
  <si>
    <t>韩商言佟年情人节狗粮</t>
  </si>
  <si>
    <t>['韩商言', '佟年', '情人', '情人节', '狗', '粮']</t>
  </si>
  <si>
    <t>全国累计确诊新冠肺炎63851例</t>
  </si>
  <si>
    <t>['全国', '累计', '确诊', '新冠', '肺炎', '63851', '例']</t>
  </si>
  <si>
    <t>全国医务人员确诊新冠肺炎1716例</t>
  </si>
  <si>
    <t>['全国', '医务', '人员', '医务人员', '确诊', '新冠', '肺炎', '1716', '例']</t>
  </si>
  <si>
    <t>湖北新增确诊病例4823例</t>
  </si>
  <si>
    <t>['湖北', '新增', '确诊', '病例', '4823', '例']</t>
  </si>
  <si>
    <t>孙文斌案二审维持死刑判决</t>
  </si>
  <si>
    <t>['孙文斌', '二审', '案二审', '维持', '死刑', '判决']</t>
  </si>
  <si>
    <t>俄罗斯新冠肺炎中国籍患者出院</t>
  </si>
  <si>
    <t>['罗斯', '俄罗斯', '新冠', '肺炎', '中国', '国籍', '中国籍', '患者', '出院']</t>
  </si>
  <si>
    <t>李现教你如何科学节约口罩</t>
  </si>
  <si>
    <t>['李现', '教', '你', '如何', '科学', '节约', '口罩']</t>
  </si>
  <si>
    <t>情人节</t>
  </si>
  <si>
    <t>['情人', '情人节']</t>
  </si>
  <si>
    <t>山西无新增确诊新冠肺炎病例</t>
  </si>
  <si>
    <t>['山西', '无', '新增', '确诊', '新冠', '肺炎', '病例']</t>
  </si>
  <si>
    <t>全城机动车禁行的第12天</t>
  </si>
  <si>
    <t>['全城', '机动', '动车', '机动车', '禁行', '的', '第', '12', '天']</t>
  </si>
  <si>
    <t>痊愈患者发声愿为疫情捐献血浆</t>
  </si>
  <si>
    <t>['痊愈', '患者', '发声', '愿', '为', '疫情', '捐献', '血浆']</t>
  </si>
  <si>
    <t>肖战 练习室版神奇</t>
  </si>
  <si>
    <t>['肖战', ' ', '练习', '室版', '神奇']</t>
  </si>
  <si>
    <t>王一博COSMO采访</t>
  </si>
  <si>
    <t>['王一博', 'COSMO', '采访']</t>
  </si>
  <si>
    <t>女警通宵执勤昏倒路中央</t>
  </si>
  <si>
    <t>['女警', '通宵', '执勤', '昏倒', '路', '中央']</t>
  </si>
  <si>
    <t>今天我就是战士</t>
  </si>
  <si>
    <t>['今天', '我', '就是', '战士']</t>
  </si>
  <si>
    <t>海外网友点赞中国抗疫</t>
  </si>
  <si>
    <t>['海外', '网友', '点赞', '中国', '抗疫']</t>
  </si>
  <si>
    <t>科比妻子宣布曼巴基金改名</t>
  </si>
  <si>
    <t>['科比', '妻子', '宣布', '曼巴', '基金', '改名']</t>
  </si>
  <si>
    <t>比伯为中国捐款</t>
  </si>
  <si>
    <t>['比伯为', '中国', '捐款']</t>
  </si>
  <si>
    <t>喊话包一年家务的老公的情人节</t>
  </si>
  <si>
    <t>['喊话', '包', '一年', '家务', '的', '老公', '的', '情人', '情人节']</t>
  </si>
  <si>
    <t>夫妻殴打防疫人员被判刑</t>
  </si>
  <si>
    <t>['夫妻', '殴打', '防疫', '人员', '被', '判刑']</t>
  </si>
  <si>
    <t>黄智博</t>
  </si>
  <si>
    <t>['黄智博']</t>
  </si>
  <si>
    <t>第一次见猫打石膏</t>
  </si>
  <si>
    <t>['第一', '一次', '第一次', '见', '猫', '打', '石膏']</t>
  </si>
  <si>
    <t>河南3月1日以后开学</t>
  </si>
  <si>
    <t>['河南', '3', '月', '1', '日', '以后', '开学']</t>
  </si>
  <si>
    <t>娄艺潇告别胡一菲</t>
  </si>
  <si>
    <t>['娄艺潇', '告别', '胡一菲']</t>
  </si>
  <si>
    <t>凯尔特人将退役加内特5号球衣</t>
  </si>
  <si>
    <t>['凯尔', '尔特', '凯尔特', '凯尔特人', '将', '退役', '加内', '内特', '加内特', '5', '号', '球衣']</t>
  </si>
  <si>
    <t>李佳琦直播追星华晨宇</t>
  </si>
  <si>
    <t>['李佳琦', '直播', '追星', '华晨', '宇']</t>
  </si>
  <si>
    <t>有可能出现其他病毒传播途径</t>
  </si>
  <si>
    <t>['有', '可能', '出现', '其他', '病毒', '传播', '病毒传播', '途径']</t>
  </si>
  <si>
    <t>黄冈全面升级管控措施</t>
  </si>
  <si>
    <t>['黄冈', '全面', '升级', '管控', '措施']</t>
  </si>
  <si>
    <t>锡安再创生涯新高</t>
  </si>
  <si>
    <t>['锡安', '再创', '生涯', '新高']</t>
  </si>
  <si>
    <t>呼吸阀口罩有没有风险</t>
  </si>
  <si>
    <t>['呼吸', '呼吸阀', '口罩', '没有', '有没有', '风险']</t>
  </si>
  <si>
    <t>四川新增确诊病例12例</t>
  </si>
  <si>
    <t>['四川', '新增', '确诊', '病例', '12', '例']</t>
  </si>
  <si>
    <t>战疫时期的爱情</t>
  </si>
  <si>
    <t>['战疫', '时期', '的', '爱情']</t>
  </si>
  <si>
    <t>美国华盛顿市中心发生枪击案</t>
  </si>
  <si>
    <t>['美国', '华盛', '华盛顿', '中心', '市中心', '发生', '枪击', '枪击案']</t>
  </si>
  <si>
    <t>袁隆平捐赠200吨大米运抵武汉</t>
  </si>
  <si>
    <t>['袁隆平', '捐赠', '200', '吨', '大米', '运抵', '武汉']</t>
  </si>
  <si>
    <t>当可以解除隔离后</t>
  </si>
  <si>
    <t>['当', '可以', '解除', '隔离', '后']</t>
  </si>
  <si>
    <t>俄罗斯上千人用中文高呼中国加油</t>
  </si>
  <si>
    <t>['罗斯', '俄罗斯', '上千', '上千人', '用', '中文', '高呼', '中国', '加油']</t>
  </si>
  <si>
    <t>江苏新增确诊病例23例</t>
  </si>
  <si>
    <t>['江苏', '新增', '确诊', '病例', '23', '例']</t>
  </si>
  <si>
    <t>一家7口不在意亲戚确诊全部感染</t>
  </si>
  <si>
    <t>['一家', '7', '口', '不在', '在意', '不在意', '亲戚', '确诊', '全部', '感染']</t>
  </si>
  <si>
    <t>湖南启动气象灾害应急响应</t>
  </si>
  <si>
    <t>['湖南', '启动', '气象', '灾害', '应急', '响应']</t>
  </si>
  <si>
    <t>2020/02/15</t>
  </si>
  <si>
    <t>全国新增确诊病例2641例</t>
  </si>
  <si>
    <t>['全国', '新增', '确诊', '病例', '2641', '例']</t>
  </si>
  <si>
    <t>穿警服奔驰男强行闯关事件后续</t>
  </si>
  <si>
    <t>['穿', '警服', '奔驰', '男', '强行', '闯关', '事件', '后续']</t>
  </si>
  <si>
    <t>张家界疾控中心科长躲疫情被撤职</t>
  </si>
  <si>
    <t>['张家', '张家界', '中心', '疾控中心', '科长', '躲', '疫情', '被', '撤职']</t>
  </si>
  <si>
    <t>中国不会出现大规模通货膨胀</t>
  </si>
  <si>
    <t>['中国', '不会', '出现', '大规', '规模', '大规模', '通货', '膨胀', '通货膨胀']</t>
  </si>
  <si>
    <t>钟南山指导研制出快速检测试剂盒</t>
  </si>
  <si>
    <t>['南山', '钟南山', '指导', '研制', '出', '快速', '检测', '试剂', '试剂盒']</t>
  </si>
  <si>
    <t>毛不易淘汰</t>
  </si>
  <si>
    <t>['毛', '不易', '淘汰']</t>
  </si>
  <si>
    <t>9例重症患者血浆抗体治疗效果显著</t>
  </si>
  <si>
    <t>['9', '例', '重症', '患者', '血浆', '抗体', '治疗', '效果', '显著', '效果显著']</t>
  </si>
  <si>
    <t>高三学生方舱医院内备战高考</t>
  </si>
  <si>
    <t>['高三', '学生', '方舱', '医院', '内', '备战', '高考']</t>
  </si>
  <si>
    <t>奔驰男</t>
  </si>
  <si>
    <t>['奔驰', '男']</t>
  </si>
  <si>
    <t>广东首批捐献血浆康复者</t>
  </si>
  <si>
    <t>['广东', '首批', '捐献', '血浆', '康复', '康复者']</t>
  </si>
  <si>
    <t>部分疫苗品种已进入动物实验阶段</t>
  </si>
  <si>
    <t>['部分', '疫苗', '品种', '已', '进入', '动物', '实验', '阶段']</t>
  </si>
  <si>
    <t>法国出现1例死亡病例</t>
  </si>
  <si>
    <t>['法国', '出现', '1', '例', '死亡', '病例']</t>
  </si>
  <si>
    <t>武汉下雪</t>
  </si>
  <si>
    <t>['武汉', '下雪']</t>
  </si>
  <si>
    <t>方舱医院病友实拍</t>
  </si>
  <si>
    <t>['方舱', '医院', '病友', '实拍']</t>
  </si>
  <si>
    <t>15岁少年国外独自背回1.5万只口罩</t>
  </si>
  <si>
    <t>['15', '岁', '少年', '国外', '独自', '背回', '1.5', '万', '只', '口罩']</t>
  </si>
  <si>
    <t>当大象和装着甘蔗的车一起等红灯</t>
  </si>
  <si>
    <t>['当', '大象', '和', '装', '着', '甘蔗', '的', '车', '一起', '等', '红灯']</t>
  </si>
  <si>
    <t>湖北新增确诊病例2420例</t>
  </si>
  <si>
    <t>['湖北', '新增', '确诊', '病例', '2420', '例']</t>
  </si>
  <si>
    <t>北京一家十人因同住致九人感染</t>
  </si>
  <si>
    <t>['北京', '一家', '十人', '因同', '住', '致九人', '感染']</t>
  </si>
  <si>
    <t>韩红</t>
  </si>
  <si>
    <t>['韩红']</t>
  </si>
  <si>
    <t>全国治愈出院年龄最小的患者</t>
  </si>
  <si>
    <t>['全国', '治愈', '出院', '年龄', '最小', '的', '患者']</t>
  </si>
  <si>
    <t>确诊父亲离世女孩喊我没有爸爸了</t>
  </si>
  <si>
    <t>['确诊', '父亲', '离世', '女孩', '喊', '我', '没有', '爸爸', '了']</t>
  </si>
  <si>
    <t>枕上书 狐狸舞</t>
  </si>
  <si>
    <t>['枕上', '书', ' ', '狐狸', '舞']</t>
  </si>
  <si>
    <t>王子邓丽欣</t>
  </si>
  <si>
    <t>['王子', '邓丽欣']</t>
  </si>
  <si>
    <t>江苏援武汉医护收到17朵玫瑰</t>
  </si>
  <si>
    <t>['江苏', '援', '武汉', '医护', '收到', '17', '玫瑰', '朵玫瑰']</t>
  </si>
  <si>
    <t>全国范围取消3月雅思考试</t>
  </si>
  <si>
    <t>['全国', '范围', '取消', '3', '月', '雅思', '思考', '考试', '雅思考试']</t>
  </si>
  <si>
    <t>崇州辅警不配合登记被辞退</t>
  </si>
  <si>
    <t>['崇州', '辅警', '不', '配合', '登记', '被', '辞退']</t>
  </si>
  <si>
    <t>已派出3支国家中医医疗队2220人</t>
  </si>
  <si>
    <t>['已', '派出', '3', '支', '国家', '中医', '医疗', '医疗队', '2220', '人']</t>
  </si>
  <si>
    <t>萧敬腾拍MV出意外</t>
  </si>
  <si>
    <t>['萧敬腾', '拍', 'MV', '出', '意外']</t>
  </si>
  <si>
    <t>全国情侣都在异地恋</t>
  </si>
  <si>
    <t>['全国', '情侣', '都', '在', '异地', '恋']</t>
  </si>
  <si>
    <t>萧亚轩黄皓情人节大片</t>
  </si>
  <si>
    <t>['萧亚轩', '黄皓', '情人', '情人节', '大片']</t>
  </si>
  <si>
    <t>湖北启动重大气象灾害三级响应</t>
  </si>
  <si>
    <t>['湖北', '启动', '重大', '气象', '灾害', '三级', '响应']</t>
  </si>
  <si>
    <t>央行向武汉调拨新钞40亿元</t>
  </si>
  <si>
    <t>['央行', '向', '武汉', '调拨', '新钞', '40', '亿元']</t>
  </si>
  <si>
    <t>何炅做蛋糕</t>
  </si>
  <si>
    <t>['何炅', '做', '蛋糕']</t>
  </si>
  <si>
    <t>春运期间铁路累计退票1.15亿张</t>
  </si>
  <si>
    <t>['春运', '期间', '春运期间', '铁路', '累计', '退票', '1.15', '亿张']</t>
  </si>
  <si>
    <t>武汉保卫战湖北保卫战全面总攻</t>
  </si>
  <si>
    <t>['武汉', '保卫', '保卫战', '湖北', '保卫', '保卫战', '全面', '总攻']</t>
  </si>
  <si>
    <t>上古密约搞笑情人节礼物</t>
  </si>
  <si>
    <t>['上古', '密约', '搞笑', '情人', '情人节', '礼物']</t>
  </si>
  <si>
    <t>何炅谢娜易烊千玺合唱</t>
  </si>
  <si>
    <t>['何炅', '谢娜易', '烊', '千玺', '合唱']</t>
  </si>
  <si>
    <t>梨泰院class</t>
  </si>
  <si>
    <t>['梨泰院', 'class']</t>
  </si>
  <si>
    <t>发文称被接到荆州男子父亲停职</t>
  </si>
  <si>
    <t>['发文', '称', '被', '接到', '荆州', '男子', '父亲', '停职']</t>
  </si>
  <si>
    <t>武穴市域范围内全面禁出限行</t>
  </si>
  <si>
    <t>['武穴', '武穴市', '域', '范围', '内', '全面', '禁出', '限行']</t>
  </si>
  <si>
    <t>2020篮球名人堂最终候选名单</t>
  </si>
  <si>
    <t>['2020', '篮球', '名人', '名人堂', '最终', '候选', '名单']</t>
  </si>
  <si>
    <t>张定宇动员妻子捐献血浆</t>
  </si>
  <si>
    <t>['张定宇', '动员', '妻子', '捐献', '血浆']</t>
  </si>
  <si>
    <t>硬核五菱转产口罩仅用三天</t>
  </si>
  <si>
    <t>['硬核', '五菱', '转产', '口罩', '仅用', '三天']</t>
  </si>
  <si>
    <t>疫情期全国收费公路免费</t>
  </si>
  <si>
    <t>['疫情', '期', '全国', '收费', '公路', '收费公路', '免费']</t>
  </si>
  <si>
    <t>2020/02/16</t>
  </si>
  <si>
    <t>李现回应饺子夸他帅</t>
  </si>
  <si>
    <t>['李现', '回应', '饺子', '夸', '他帅']</t>
  </si>
  <si>
    <t>全国首例新冠肺炎患者遗体解剖</t>
  </si>
  <si>
    <t>['全国', '首例', '新冠', '肺炎', '患者', '遗体', '解剖']</t>
  </si>
  <si>
    <t>李佳琦安利堂妹</t>
  </si>
  <si>
    <t>['李佳琦', '安利', '堂妹']</t>
  </si>
  <si>
    <t>张韶涵炎亚纶合唱</t>
  </si>
  <si>
    <t>['张韶涵', '炎亚纶', '合唱']</t>
  </si>
  <si>
    <t>火神山医院ICU的不眠夜</t>
  </si>
  <si>
    <t>['火神', '山', '医院', 'ICU', '的', '不眠夜']</t>
  </si>
  <si>
    <t>丁太升点评萨顶顶</t>
  </si>
  <si>
    <t>['丁太升', '点评', '萨', '顶顶']</t>
  </si>
  <si>
    <t>王力宏萨顶顶缘分一道桥</t>
  </si>
  <si>
    <t>['王力宏', '萨', '顶顶', '缘分', '一道', '桥']</t>
  </si>
  <si>
    <t>全国新增确诊病例2009例</t>
  </si>
  <si>
    <t>['全国', '新增', '确诊', '病例', '2009', '例']</t>
  </si>
  <si>
    <t>武汉病毒所目前零感染</t>
  </si>
  <si>
    <t>['武汉', '病毒', '所', '目前', '零', '感染']</t>
  </si>
  <si>
    <t>郭麒麟反转配音柒个我</t>
  </si>
  <si>
    <t>['郭', '麒麟', '反转', '配音', '柒个', '我']</t>
  </si>
  <si>
    <t>湖南累计援鄂医疗队员1059人</t>
  </si>
  <si>
    <t>['湖南', '累计', '援鄂', '医疗', '队员', '1059', '人']</t>
  </si>
  <si>
    <t>王耀庆配音白娘子传奇</t>
  </si>
  <si>
    <t>['王耀庆', '配音', '娘子', '白娘子', '传奇']</t>
  </si>
  <si>
    <t>世界穿山甲日</t>
  </si>
  <si>
    <t>['世界', '山甲', '穿山甲', '日']</t>
  </si>
  <si>
    <t>与千玺同框</t>
  </si>
  <si>
    <t>['与', '千玺', '同框']</t>
  </si>
  <si>
    <t>仙本那大火</t>
  </si>
  <si>
    <t>['仙本', '那', '大火']</t>
  </si>
  <si>
    <t>漏报信息致患者自缢武汉多人被处理</t>
  </si>
  <si>
    <t>['漏报', '信息', '致', '患者', '自缢', '武汉', '多人', '被', '处理']</t>
  </si>
  <si>
    <t>江苏医生结婚第二天就出征</t>
  </si>
  <si>
    <t>['江苏', '医生', '结婚', '第二', '二天', '第二天', '就', '出征']</t>
  </si>
  <si>
    <t>饺子 李现实在太帅了</t>
  </si>
  <si>
    <t>['饺子', ' ', '李', '现实', '在', '太帅', '了']</t>
  </si>
  <si>
    <t>北京一确诊患者致数十位同事被隔离</t>
  </si>
  <si>
    <t>['北京', '一', '确诊', '患者', '致', '数十', '十位', '数十位', '同事', '被', '隔离']</t>
  </si>
  <si>
    <t>火神山出院患者隔空拥抱医护</t>
  </si>
  <si>
    <t>['火神', '山', '出院', '患者', '隔空', '拥抱', '医护']</t>
  </si>
  <si>
    <t>李如芝你的鸡腿来了</t>
  </si>
  <si>
    <t>['李如芝', '你', '的', '鸡腿', '来', '了']</t>
  </si>
  <si>
    <t>请授予殉职医护人员烈士称号</t>
  </si>
  <si>
    <t>['请', '授予', '殉职', '医护', '护人', '人员', '医护人员', '烈士', '称号']</t>
  </si>
  <si>
    <t>非洲沙漠蝗</t>
  </si>
  <si>
    <t>['非洲', '沙漠', '蝗']</t>
  </si>
  <si>
    <t>雷神山院长 疫情拐点已到来</t>
  </si>
  <si>
    <t>['雷', '神山', '院长', ' ', '疫情', '拐点', '已', '到来']</t>
  </si>
  <si>
    <t>连续4天治愈出院超千人</t>
  </si>
  <si>
    <t>['连续', '4', '天', '治愈', '出院', '超千人']</t>
  </si>
  <si>
    <t>脑瘫外卖小哥被封号</t>
  </si>
  <si>
    <t>['脑瘫', '外卖', '小哥', '被', '封号']</t>
  </si>
  <si>
    <t>武汉机场塔台的暖心通话</t>
  </si>
  <si>
    <t>['武汉', '机场', '塔台', '的', '暖', '心', '通话']</t>
  </si>
  <si>
    <t>孙艺洲 吹纸游戏全网挑战</t>
  </si>
  <si>
    <t>['孙艺洲', ' ', '吹纸', '游戏', '全网', '挑战']</t>
  </si>
  <si>
    <t>新冠肺炎已开始在日本流行</t>
  </si>
  <si>
    <t>['新冠', '肺炎', '已', '开始', '在', '日本', '流行']</t>
  </si>
  <si>
    <t>省纪委回应退休副厅长确诊拒隔离</t>
  </si>
  <si>
    <t>['纪委', '省纪委', '回应', '退休', '副厅', '厅长', '副厅长', '确诊', '拒', '隔离']</t>
  </si>
  <si>
    <t>薛之谦居家包包子</t>
  </si>
  <si>
    <t>['薛之谦', '居家', '包', '包子']</t>
  </si>
  <si>
    <t>上交麻将奖励口罩</t>
  </si>
  <si>
    <t>['上交', '麻将', '奖励', '口罩']</t>
  </si>
  <si>
    <t>蝗灾到6月或再增500倍</t>
  </si>
  <si>
    <t>['蝗灾', '到', '6', '月', '或', '再', '增', '500', '倍']</t>
  </si>
  <si>
    <t>宋威龙 直男操作</t>
  </si>
  <si>
    <t>['宋', '威龙', ' ', '直', '男', '操作']</t>
  </si>
  <si>
    <t>大雪纷飞中的疫情检查站</t>
  </si>
  <si>
    <t>['大雪', '纷飞', '大雪纷飞', '中', '的', '疫情', '检查', '检查站']</t>
  </si>
  <si>
    <t>全国疫情防控效果已经显现</t>
  </si>
  <si>
    <t>['全国', '疫情', '防控', '效果', '已经', '显现']</t>
  </si>
  <si>
    <t>湖北新增确诊病例1843例</t>
  </si>
  <si>
    <t>['湖北', '新增', '确诊', '病例', '1843', '例']</t>
  </si>
  <si>
    <t>BLACKPINK VOGUE封面</t>
  </si>
  <si>
    <t>['BLACKPINK', ' ', 'VOGUE', '封面']</t>
  </si>
  <si>
    <t>众景区景点向全国医务工作者免费开放</t>
  </si>
  <si>
    <t>['众', '景区', '景点', '向', '全国', '医务', '工作', '作者', '工作者', '免费', '开放']</t>
  </si>
  <si>
    <t>段氏伽马刀发明人段正澄院士去世</t>
  </si>
  <si>
    <t>['段氏', '伽马', '马刀', '伽马刀', '发明', '明人', '发明人', '段', '正澄', '院士', '去世']</t>
  </si>
  <si>
    <t>武汉重症病例占比下降至21.6%</t>
  </si>
  <si>
    <t>['武汉', '重症', '病例', '占', '比', '下降', '至', '21.6%']</t>
  </si>
  <si>
    <t>高福现身回应不实传言</t>
  </si>
  <si>
    <t>['高福', '现身', '回应', '不', '实', '传言']</t>
  </si>
  <si>
    <t>湖北以外新增病例12连降</t>
  </si>
  <si>
    <t>['湖北', '以外', '新增', '病例', '12', '连降']</t>
  </si>
  <si>
    <t>想见你加拍新结局</t>
  </si>
  <si>
    <t>['想见', '你加', '拍', '新', '结局']</t>
  </si>
  <si>
    <t>医疗队队长硬核训话</t>
  </si>
  <si>
    <t>['医疗', '医疗队', '队长', '硬核', '训话']</t>
  </si>
  <si>
    <t>NBA扣篮大赛</t>
  </si>
  <si>
    <t>['NBA', '扣篮', '大赛']</t>
  </si>
  <si>
    <t>2020/02/17</t>
  </si>
  <si>
    <t>全国新增确诊病例2048例</t>
  </si>
  <si>
    <t>['全国', '新增', '确诊', '病例', '2048', '例']</t>
  </si>
  <si>
    <t>河南信阳出现两例超常规病例</t>
  </si>
  <si>
    <t>['河南', '信阳', '出现', '两例', '超常', '常规', '超常规', '病例']</t>
  </si>
  <si>
    <t>生日快乐 子维哥</t>
  </si>
  <si>
    <t>['生日', '快乐', '生日快乐', ' ', '子维哥']</t>
  </si>
  <si>
    <t>全国累计治愈出院病例破万</t>
  </si>
  <si>
    <t>['全国', '累计', '治愈', '出院', '病例', '破万']</t>
  </si>
  <si>
    <t>谭松韵唱想见你</t>
  </si>
  <si>
    <t>['谭松韵', '唱', '想见', '你']</t>
  </si>
  <si>
    <t>沙漠蝗在我国大规模爆发风险很低</t>
  </si>
  <si>
    <t>['沙漠', '蝗', '在', '我国', '大规', '规模', '大规模', '爆发', '风险', '很', '低']</t>
  </si>
  <si>
    <t>遥控汽车后备箱当快递柜</t>
  </si>
  <si>
    <t>['遥控', '汽车', '后备', '后备箱', '当', '快递', '柜']</t>
  </si>
  <si>
    <t>黄智博姐姐发文</t>
  </si>
  <si>
    <t>['黄智博', '姐姐', '发文']</t>
  </si>
  <si>
    <t>日本50万人参跑马拉松</t>
  </si>
  <si>
    <t>['日本', '50', '万', '人参', '跑', '马拉', '马拉松']</t>
  </si>
  <si>
    <t>元宋爸爸拿钱威胁叶鹿鸣</t>
  </si>
  <si>
    <t>['元宋', '爸爸', '拿', '钱', '威胁', '叶鹿鸣']</t>
  </si>
  <si>
    <t>湖北新增1933例新冠肺炎</t>
  </si>
  <si>
    <t>['湖北', '新增', '1933', '例新冠', '肺炎']</t>
  </si>
  <si>
    <t>钻石公主号有40名美国人确诊感染</t>
  </si>
  <si>
    <t>['钻石', '公主', '号', '有', '40', '名', '美国', '人', '确诊', '感染']</t>
  </si>
  <si>
    <t>运20等8架运输机再飞武汉</t>
  </si>
  <si>
    <t>['运', '20', '等', '8', '架', '运输', '运输机', '再飞', '武汉']</t>
  </si>
  <si>
    <t>常凯一家4口12天内相继去世</t>
  </si>
  <si>
    <t>['常凯', '一家', '4', '口', '12', '天内', '相继', '去世']</t>
  </si>
  <si>
    <t>湖北一退休副厅长确诊后拒隔离</t>
  </si>
  <si>
    <t>['湖北', '一', '退休', '副厅', '厅长', '副厅长', '确诊', '后', '拒', '隔离']</t>
  </si>
  <si>
    <t>湖北以外新增病例13连降</t>
  </si>
  <si>
    <t>['湖北', '以外', '新增', '病例', '13', '连降']</t>
  </si>
  <si>
    <t>女孩蹭网学习父亲蹲墙角陪伴</t>
  </si>
  <si>
    <t>['女孩', '蹭', '网', '学习', '父亲', '蹲', '墙角', '陪伴']</t>
  </si>
  <si>
    <t>黑龙江新增12例新冠肺炎</t>
  </si>
  <si>
    <t>['龙江', '黑龙江', '新增', '12', '例新冠', '肺炎']</t>
  </si>
  <si>
    <t>山西各类学校开学不早于3月1日</t>
  </si>
  <si>
    <t>['山西', '各类', '学校', '开学', '不早', '于', '3', '月', '1', '日']</t>
  </si>
  <si>
    <t>武汉将开展拉网式大排查</t>
  </si>
  <si>
    <t>['武汉', '将', '开展', '拉网', '拉网式', '排查', '大排查']</t>
  </si>
  <si>
    <t>武汉20位康复医护人员捐血浆</t>
  </si>
  <si>
    <t>['武汉', '20', '位', '康复', '医护', '护人', '人员', '医护人员', '捐', '血浆']</t>
  </si>
  <si>
    <t>00后都开始相亲了吗</t>
  </si>
  <si>
    <t>['00', '后', '都', '开始', '相亲', '了', '吗']</t>
  </si>
  <si>
    <t>安徽新增11例新冠肺炎</t>
  </si>
  <si>
    <t>['安徽', '新增', '11', '例新冠', '肺炎']</t>
  </si>
  <si>
    <t>取快递就像特务接头</t>
  </si>
  <si>
    <t>['取', '快递', '就', '像', '特务', '接头']</t>
  </si>
  <si>
    <t>河南企业研发新型隔离帽</t>
  </si>
  <si>
    <t>['河南', '企业', '研发', '新型', '隔离', '帽']</t>
  </si>
  <si>
    <t>东京奥组委称奥运会将如期举行</t>
  </si>
  <si>
    <t>['东京', '组委', '奥组委', '称', '奥运', '奥运会', '将', '如期', '举行', '如期举行']</t>
  </si>
  <si>
    <t>蓝忘机开蓝忘机</t>
  </si>
  <si>
    <t>['蓝忘', '机开', '蓝忘机']</t>
  </si>
  <si>
    <t>广东报告一起学校诺如病毒疫情</t>
  </si>
  <si>
    <t>['广东', '报告', '一起', '学校', '诺如', '病毒', '疫情']</t>
  </si>
  <si>
    <t>安宰贤 请忘记我</t>
  </si>
  <si>
    <t>['安宰贤', ' ', '请', '忘记', '我']</t>
  </si>
  <si>
    <t>日本万人裸祭引发疫情担忧</t>
  </si>
  <si>
    <t>['日本', '万人', '裸', '祭', '引发', '疫情', '担忧']</t>
  </si>
  <si>
    <t>武汉方舱医院将开放13001张床位</t>
  </si>
  <si>
    <t>['武汉', '方舱', '医院', '将', '开放', '13001', '张', '床位']</t>
  </si>
  <si>
    <t>NBA全明星正赛</t>
  </si>
  <si>
    <t>['NBA', '明星', '全明星', '正赛']</t>
  </si>
  <si>
    <t>想见你大结局</t>
  </si>
  <si>
    <t>['想见', '你', '结局', '大结局']</t>
  </si>
  <si>
    <t>生产销售问题医用口罩可判无期</t>
  </si>
  <si>
    <t>['生产', '销售', '问题', '医用', '口罩', '可判', '无期']</t>
  </si>
  <si>
    <t>面对疫情我想说</t>
  </si>
  <si>
    <t>['面对', '疫情', '我', '想', '说']</t>
  </si>
  <si>
    <t>吉林16日无新增确诊病例</t>
  </si>
  <si>
    <t>['吉林', '16', '日', '无', '新增', '确诊', '病例']</t>
  </si>
  <si>
    <t>武汉公共场所实行扫码入出管理</t>
  </si>
  <si>
    <t>['武汉', '公共', '场所', '公共场所', '实行', '扫码', '入出', '管理']</t>
  </si>
  <si>
    <t>印度称已战胜新型冠状病毒</t>
  </si>
  <si>
    <t>['印度', '称', '已', '战胜', '新型', '冠状', '病毒', '冠状病毒']</t>
  </si>
  <si>
    <t>方舱医院最皮患者</t>
  </si>
  <si>
    <t>['方舱', '医院', '最皮', '患者']</t>
  </si>
  <si>
    <t>小伙赴武汉照顾女友自己被确诊</t>
  </si>
  <si>
    <t>['小伙', '赴', '武汉', '照顾', '女友', '自己', '被', '确诊']</t>
  </si>
  <si>
    <t>运20机票致敬白衣战士</t>
  </si>
  <si>
    <t>['运', '20', '机票', '致敬', '白衣', '战士', '白衣战士']</t>
  </si>
  <si>
    <t>聚众打牌被训后4男子申请当志愿者</t>
  </si>
  <si>
    <t>['聚众', '打牌', '被', '训后', '4', '男子', '申请', '当', '志愿', '愿者', '志愿者']</t>
  </si>
  <si>
    <t>公职人员隐瞒女儿武汉返乡史</t>
  </si>
  <si>
    <t>['公职', '人员', '公职人员', '隐瞒', '女儿', '武汉', '返乡', '史']</t>
  </si>
  <si>
    <t>太原鼓励餐饮业尽快复工</t>
  </si>
  <si>
    <t>['太原', '鼓励', '餐饮', '餐饮业', '尽快', '复工']</t>
  </si>
  <si>
    <t>贺妈妈发现贺灿阳蔡敏敏恋爱</t>
  </si>
  <si>
    <t>['贺', '妈妈', '发现', '贺灿阳', '蔡敏敏', '恋爱']</t>
  </si>
  <si>
    <t>因车祸去世环卫工家人婉拒善款</t>
  </si>
  <si>
    <t>['车祸', '因车祸', '去世', '环卫', '环卫工', '家人', '婉拒', '善款']</t>
  </si>
  <si>
    <t>2020/02/18</t>
  </si>
  <si>
    <t>海上漂流25天上岸得知疫情爆发</t>
  </si>
  <si>
    <t>['海上', '漂流', '25', '天', '上岸', '得知', '疫情', '爆发']</t>
  </si>
  <si>
    <t>沈腾模仿郭老师</t>
  </si>
  <si>
    <t>['沈腾', '模仿', '郭', '老师']</t>
  </si>
  <si>
    <t>祖海重录抗疫版为了谁</t>
  </si>
  <si>
    <t>['祖海', '重录', '抗疫版', '为了', '谁']</t>
  </si>
  <si>
    <t>波司登伦敦时装周喊中国加油</t>
  </si>
  <si>
    <t>['波司登', '伦敦', '时装', '时装周', '喊', '中国', '加油']</t>
  </si>
  <si>
    <t>武昌医院院长刘智明感染新冠肺炎去世</t>
  </si>
  <si>
    <t>['武昌', '医院', '院长', '医院院长', '刘智明', '感染', '新冠', '肺炎', '去世']</t>
  </si>
  <si>
    <t>比利时钢琴家创作歌曲声援武汉</t>
  </si>
  <si>
    <t>['比利', '比利时', '钢琴', '琴家', '钢琴家', '创作', '歌曲', '声援', '武汉']</t>
  </si>
  <si>
    <t>专家建议用仪式感来唤醒自己</t>
  </si>
  <si>
    <t>['专家', '建议', '专家建议', '用', '仪式', '感来', '唤醒', '自己']</t>
  </si>
  <si>
    <t>让人无法拒绝的体温枪</t>
  </si>
  <si>
    <t>['让', '人', '无法', '拒绝', '的', '体温', '枪']</t>
  </si>
  <si>
    <t>李晟李佳航合唱爱情公寓主题曲</t>
  </si>
  <si>
    <t>['李晟', '李佳航', '合唱', '爱情', '公寓', '主题', '主题曲']</t>
  </si>
  <si>
    <t>米德尔顿背影神似科比</t>
  </si>
  <si>
    <t>['米德', '德尔', '米德尔', '顿', '背影', '神似', '科比']</t>
  </si>
  <si>
    <t>郑爽收藏粉丝十年前来信</t>
  </si>
  <si>
    <t>['郑爽', '收藏', '粉丝', '十年', '前', '来信']</t>
  </si>
  <si>
    <t>李如芝吃到鸡腿了</t>
  </si>
  <si>
    <t>['李如芝', '吃', '到', '鸡腿', '了']</t>
  </si>
  <si>
    <t>Angelababy精灵妆</t>
  </si>
  <si>
    <t>['Angelababy', '精灵', '妆']</t>
  </si>
  <si>
    <t>浙江除温州外取消道路卡点</t>
  </si>
  <si>
    <t>['浙江', '除', '温州', '外', '取消', '道路', '卡点']</t>
  </si>
  <si>
    <t>抗疫护士因生理期浪费防护服落泪</t>
  </si>
  <si>
    <t>['抗疫', '护士', '因', '生理', '生理期', '浪费', '防护', '防护服', '落泪']</t>
  </si>
  <si>
    <t>郑爽坦言暴瘦的原因</t>
  </si>
  <si>
    <t>['郑爽', '坦言', '暴瘦', '的', '原因']</t>
  </si>
  <si>
    <t>广东援鄂医疗队员获1万补助</t>
  </si>
  <si>
    <t>['广东', '援鄂', '医疗', '队员', '获', '1', '万', '补助']</t>
  </si>
  <si>
    <t>甘肃省妇幼保健院回应护士被剃光头</t>
  </si>
  <si>
    <t>['甘肃', '甘肃省', '妇幼', '保健', '妇幼保健', '院', '回应', '护士', '被', '光头', '剃光头']</t>
  </si>
  <si>
    <t>感谢童话公主都不唱rap</t>
  </si>
  <si>
    <t>['感谢', '童话', '公主', '都', '不', '唱', 'rap']</t>
  </si>
  <si>
    <t>王源封面预告</t>
  </si>
  <si>
    <t>['王源', '封面', '预告']</t>
  </si>
  <si>
    <t>武汉拉网式大排查</t>
  </si>
  <si>
    <t>['武汉', '拉网', '拉网式', '排查', '大排查']</t>
  </si>
  <si>
    <t>方舱医院开启KTV模式</t>
  </si>
  <si>
    <t>['方舱', '医院', '开启', 'KTV', '模式']</t>
  </si>
  <si>
    <t>钟南山表示武汉还没有停止人传人</t>
  </si>
  <si>
    <t>['南山', '钟南山', '表示', '武汉', '还', '没有', '停止', '人', '传人']</t>
  </si>
  <si>
    <t>邮轮乘客向日本政府提交请愿书</t>
  </si>
  <si>
    <t>['邮轮', '乘客', '向', '日本', '政府', '日本政府', '提交', '请愿', '愿书', '请愿书']</t>
  </si>
  <si>
    <t>男子挑衅民警要戴口罩先戴手铐</t>
  </si>
  <si>
    <t>['男子', '挑衅', '民警', '要', '戴', '口罩', '先戴', '手铐']</t>
  </si>
  <si>
    <t>全国新增确诊病例1886例</t>
  </si>
  <si>
    <t>['全国', '新增', '确诊', '病例', '1886', '例']</t>
  </si>
  <si>
    <t>李兰迪做蛋糕</t>
  </si>
  <si>
    <t>['李兰迪', '做', '蛋糕']</t>
  </si>
  <si>
    <t>钟南山 确诊数预估二月中下旬达峰值</t>
  </si>
  <si>
    <t>['南山', '钟南山', ' ', '确诊', '数', '预估', '二月', '中下', '下旬', '中下旬', '达', '峰值']</t>
  </si>
  <si>
    <t>湖北男子杀人潜逃27年后自首</t>
  </si>
  <si>
    <t>['湖北', '男子', '杀人', '潜逃', '27', '年', '后', '自首']</t>
  </si>
  <si>
    <t>记者误把詹姆斯叫成科比</t>
  </si>
  <si>
    <t>['记者', '误', '把', '詹姆斯', '叫成', '科比']</t>
  </si>
  <si>
    <t>新冠病毒对年轻患者生育力的影响</t>
  </si>
  <si>
    <t>['新冠', '病毒', '对', '年轻', '患者', '生育', '生育力', '的', '影响']</t>
  </si>
  <si>
    <t>湖北新增确诊病例1807例</t>
  </si>
  <si>
    <t>['湖北', '新增', '确诊', '病例', '1807', '例']</t>
  </si>
  <si>
    <t>哪吒为什么脾气那么差</t>
  </si>
  <si>
    <t>['哪吒', '什么', '为什么', '脾气', '那么', '差']</t>
  </si>
  <si>
    <t>上海大中小学3月起开始在线教育</t>
  </si>
  <si>
    <t>['上海', '大中', '中小', '小学', '大中小', '中小学', '大中小学', '3', '月', '起', '开始', '在线', '教育', '在线教育']</t>
  </si>
  <si>
    <t>都30几了还说自己18岁</t>
  </si>
  <si>
    <t>['都', '30', '几了', '还', '说', '自己', '18', '岁']</t>
  </si>
  <si>
    <t>硬核捐赠大姐扔下银条就走</t>
  </si>
  <si>
    <t>['硬核', '捐赠', '大姐', '扔下', '银条', '就', '走']</t>
  </si>
  <si>
    <t>用自家遥控器换隔壁的台</t>
  </si>
  <si>
    <t>['用', '自家', '遥控', '遥控器', '换', '隔壁', '的', '台']</t>
  </si>
  <si>
    <t>疫情形势实现三个首次</t>
  </si>
  <si>
    <t>['疫情', '形势', '实现', '三个', '首次']</t>
  </si>
  <si>
    <t>武昌医院院长刘智明仍在抢救中</t>
  </si>
  <si>
    <t>['武昌', '医院', '院长', '医院院长', '刘智明', '仍', '在', '抢救', '中']</t>
  </si>
  <si>
    <t>武汉雷神山首例治愈患者出院</t>
  </si>
  <si>
    <t>['武汉', '雷', '神山', '首例', '治愈', '患者', '出院']</t>
  </si>
  <si>
    <t>超三千名医护感染新冠病毒</t>
  </si>
  <si>
    <t>['超', '三千', '千名', '三千名', '医护', '感染', '新冠', '病毒']</t>
  </si>
  <si>
    <t>钻石公主号所有人员样本采集完毕</t>
  </si>
  <si>
    <t>['钻石', '公主', '号', '所有', '人员', '样本', '采集', '完毕']</t>
  </si>
  <si>
    <t>钟南山回应磷酸氯喹是不是特效药</t>
  </si>
  <si>
    <t>['南山', '钟南山', '回应', '磷酸', '氯喹', '不是', '是不是', '特效', '特效药']</t>
  </si>
  <si>
    <t>欧阳娜娜 明天会更好</t>
  </si>
  <si>
    <t>['欧阳', '娜娜', ' ', '明天', '会', '更好']</t>
  </si>
  <si>
    <t>医生再穿17年前非典防护服</t>
  </si>
  <si>
    <t>['医生', '再', '穿', '17', '年前', '非典', '防护', '防护服']</t>
  </si>
  <si>
    <t>吴亦凡给医护粉丝留演唱会门票</t>
  </si>
  <si>
    <t>['吴亦凡', '给', '医护', '粉丝', '留', '演唱', '演唱会', '门票']</t>
  </si>
  <si>
    <t>涉药央企正进行新冠疫苗研发</t>
  </si>
  <si>
    <t>['涉药央', '企正', '进行', '新冠', '疫苗', '研发']</t>
  </si>
  <si>
    <t>武汉采取最严防疫措施</t>
  </si>
  <si>
    <t>['武汉', '采取', '最严', '防疫', '措施']</t>
  </si>
  <si>
    <t>2020/02/19</t>
  </si>
  <si>
    <t>孝感回应一家三口打麻将被处理</t>
  </si>
  <si>
    <t>['孝感', '回应', '一家', '三口', '麻将', '打麻将', '被', '处理']</t>
  </si>
  <si>
    <t>never和妹妹打起来了</t>
  </si>
  <si>
    <t>['never', '和', '妹妹', '打', '起来', '了']</t>
  </si>
  <si>
    <t>武昌医院院长与妻子的微信对话</t>
  </si>
  <si>
    <t>['武昌', '医院', '院长', '医院院长', '与', '妻子', '的', '微信', '对话']</t>
  </si>
  <si>
    <t>印度当前蝗灾已基本结束</t>
  </si>
  <si>
    <t>['印度', '当前', '蝗灾', '已', '基本', '结束']</t>
  </si>
  <si>
    <t>全国新增确诊病例1749例</t>
  </si>
  <si>
    <t>['全国', '新增', '确诊', '病例', '1749', '例']</t>
  </si>
  <si>
    <t>湖北新增确诊病例1693例</t>
  </si>
  <si>
    <t>['湖北', '新增', '确诊', '病例', '1693', '例']</t>
  </si>
  <si>
    <t>去年底可能已有104名感染者</t>
  </si>
  <si>
    <t>['去年', '年底', '去年底', '可能', '已有', '104', '名', '感染', '感染者']</t>
  </si>
  <si>
    <t>印度电影制作人拟告寄生虫抄袭</t>
  </si>
  <si>
    <t>['印度', '电影', '制作', '人拟告', '寄生', '寄生虫', '抄袭']</t>
  </si>
  <si>
    <t>天气预报中跳舞的女主播</t>
  </si>
  <si>
    <t>['天气', '预报', '天气预报', '中', '跳舞', '的', '女主播']</t>
  </si>
  <si>
    <t>口罩近几日产能保持在100%以上</t>
  </si>
  <si>
    <t>['口罩', '几日', '近几日', '产能', '保持', '在', '100%', '以上']</t>
  </si>
  <si>
    <t>张雨剑的第一条抖音</t>
  </si>
  <si>
    <t>['张雨剑', '的', '第一', '一条', '第一条', '抖音']</t>
  </si>
  <si>
    <t>323名严重精神障碍患者确诊新冠肺炎</t>
  </si>
  <si>
    <t>['323', '名', '严重', '精神', '障碍', '精神障碍', '患者', '确诊', '新冠', '肺炎']</t>
  </si>
  <si>
    <t>想见你致敬周杰伦</t>
  </si>
  <si>
    <t>['想见', '你', '致敬', '周杰伦']</t>
  </si>
  <si>
    <t>叙利亚3岁难民听到轰炸大笑</t>
  </si>
  <si>
    <t>['利亚', '叙利亚', '3', '岁', '难民', '听到', '轰炸', '大笑']</t>
  </si>
  <si>
    <t>近4万包卫生巾运抵武汉</t>
  </si>
  <si>
    <t>['近', '4', '万包', '卫生', '卫生巾', '运抵', '武汉']</t>
  </si>
  <si>
    <t>周锐直播教数学题</t>
  </si>
  <si>
    <t>['周锐', '直播', '教', '数学', '数学题']</t>
  </si>
  <si>
    <t>湖北以外新增病例15连降</t>
  </si>
  <si>
    <t>['湖北', '以外', '新增', '病例', '15', '连降']</t>
  </si>
  <si>
    <t>中国疾控中心最新重磅论文</t>
  </si>
  <si>
    <t>['中国', '中心', '疾控中心', '最新', '重磅', '论文']</t>
  </si>
  <si>
    <t>钟南山健身太太当教练</t>
  </si>
  <si>
    <t>['南山', '钟南山', '健身', '太太', '当', '教练']</t>
  </si>
  <si>
    <t>张雨剑原来演过琅琊榜</t>
  </si>
  <si>
    <t>['张雨剑', '原来', '演过', '琅', '琊', '榜']</t>
  </si>
  <si>
    <t>甘肃突发森林火灾</t>
  </si>
  <si>
    <t>['甘肃', '突发', '森林', '火灾']</t>
  </si>
  <si>
    <t>猪肉批发均价每公斤50元左右</t>
  </si>
  <si>
    <t>['猪肉', '批发', '均价', '公斤', '每公斤', '50', '元', '左右']</t>
  </si>
  <si>
    <t>雨水</t>
  </si>
  <si>
    <t>['雨水']</t>
  </si>
  <si>
    <t>火神山见证八旬老兵的爱情</t>
  </si>
  <si>
    <t>['火神', '山', '见证', '八旬', '老兵', '的', '爱情']</t>
  </si>
  <si>
    <t>武汉市委书记放狠话问责</t>
  </si>
  <si>
    <t>['武汉', '市委', '书记', '市委书记', '放狠话', '问责']</t>
  </si>
  <si>
    <t>叙利亚女童听到炸弹爆炸后大笑</t>
  </si>
  <si>
    <t>['利亚', '叙利亚', '女童', '听到', '炸弹', '爆炸', '后', '大笑']</t>
  </si>
  <si>
    <t>强制陪伴令</t>
  </si>
  <si>
    <t>['强制', '陪伴', '令']</t>
  </si>
  <si>
    <t>湖北鄂州卫健委主任被免职</t>
  </si>
  <si>
    <t>['湖北', '鄂州', '卫健委', '主任', '被', '免职']</t>
  </si>
  <si>
    <t>国务院决定阶段性减免企业社保费</t>
  </si>
  <si>
    <t>['国务', '国务院', '决定', '阶段', '阶段性', '减免', '企业', '社保', '保费', '社保费']</t>
  </si>
  <si>
    <t>日本一医院6000个口罩被盗</t>
  </si>
  <si>
    <t>['日本', '一', '医院', '6000', '个', '口罩', '被盗']</t>
  </si>
  <si>
    <t>消防员科普翻车现场</t>
  </si>
  <si>
    <t>['消防', '消防员', '科普', '翻车', '现场']</t>
  </si>
  <si>
    <t>男子不满防疫检查驾车冲撞检查站</t>
  </si>
  <si>
    <t>['男子', '不满', '防疫', '检查', '驾车', '冲撞', '检查', '检查站']</t>
  </si>
  <si>
    <t>宋雪东阳结婚</t>
  </si>
  <si>
    <t>['宋雪', '东阳', '结婚']</t>
  </si>
  <si>
    <t>易烊千玺不敢坐C位</t>
  </si>
  <si>
    <t>['易', '烊', '千玺', '不敢', '坐', 'C', '位']</t>
  </si>
  <si>
    <t>辅警父亲戴上牺牲儿子留下的警帽</t>
  </si>
  <si>
    <t>['辅警', '父亲', '戴上', '牺牲', '儿子', '留下', '的', '警帽']</t>
  </si>
  <si>
    <t>马苏体重</t>
  </si>
  <si>
    <t>['马苏', '体重']</t>
  </si>
  <si>
    <t>河北4市乘出租启用实名登记</t>
  </si>
  <si>
    <t>['河北', '4', '市乘', '出租', '启用', '实名', '登记']</t>
  </si>
  <si>
    <t>翻墙会女友致整栋住户隔离</t>
  </si>
  <si>
    <t>['翻墙', '会', '女友', '致', '整栋', '住户', '隔离']</t>
  </si>
  <si>
    <t>陈数气场</t>
  </si>
  <si>
    <t>['陈数', '气场']</t>
  </si>
  <si>
    <t>利物浦不敌马竞</t>
  </si>
  <si>
    <t>['利物', '利物浦', '不敌', '马', '竞']</t>
  </si>
  <si>
    <t>我的快乐会回来的</t>
  </si>
  <si>
    <t>['我', '的', '快乐', '会', '回来', '的']</t>
  </si>
  <si>
    <t>新冠肺炎女童出院跳舞感谢医护</t>
  </si>
  <si>
    <t>['新冠', '肺炎', '女童', '出院', '跳舞', '感谢', '医护']</t>
  </si>
  <si>
    <t>我军最大被服厂来救场</t>
  </si>
  <si>
    <t>['我军', '最大', '被服', '被服厂', '来', '救场']</t>
  </si>
  <si>
    <t>驰援黄石前给孩子取名吴汉</t>
  </si>
  <si>
    <t>['驰援', '黄石', '前', '给', '孩子', '取名', '吴汉']</t>
  </si>
  <si>
    <t>2020/02/20</t>
  </si>
  <si>
    <t>孙小果被执行死刑</t>
  </si>
  <si>
    <t>['小果', '孙小果', '被', '执行', '死刑']</t>
  </si>
  <si>
    <t>全国新增确诊病例394例</t>
  </si>
  <si>
    <t>['全国', '新增', '确诊', '病例', '394', '例']</t>
  </si>
  <si>
    <t>女子嫌捐的萝卜不好怒怼志愿者</t>
  </si>
  <si>
    <t>['女子', '嫌', '捐', '的', '萝卜', '不好', '怒', '怼', '志愿', '愿者', '志愿者']</t>
  </si>
  <si>
    <t>宋威龙姐姐</t>
  </si>
  <si>
    <t>['宋', '威龙', '姐姐']</t>
  </si>
  <si>
    <t>沈腾 我是真什么都不知道</t>
  </si>
  <si>
    <t>['沈腾', ' ', '我', '是', '真', '什么', '都', '不', '知道']</t>
  </si>
  <si>
    <t>全国多地无新增确诊病例</t>
  </si>
  <si>
    <t>['全国', '多地', '无', '新增', '确诊', '病例']</t>
  </si>
  <si>
    <t>康复者捐献血浆享无偿献血待遇</t>
  </si>
  <si>
    <t>['康复', '康复者', '捐献', '血浆', '享', '无偿', '献血', '无偿献血', '待遇']</t>
  </si>
  <si>
    <t>武汉要求各区负责人签责任状</t>
  </si>
  <si>
    <t>['武汉', '要求', '各区', '负责', '责人', '负责人', '签', '责任', '责任状']</t>
  </si>
  <si>
    <t>金钟大发文</t>
  </si>
  <si>
    <t>['金钟', '大', '发文']</t>
  </si>
  <si>
    <t>王辰 新冠病毒有可能长期存在</t>
  </si>
  <si>
    <t>['王辰', ' ', '新冠', '病毒', '有', '可能', '长期', '存在', '长期存在']</t>
  </si>
  <si>
    <t>心疼谢腾飞</t>
  </si>
  <si>
    <t>['心疼', '谢', '腾飞']</t>
  </si>
  <si>
    <t>钻石公主号首次出现死亡病例</t>
  </si>
  <si>
    <t>['钻石', '公主', '号', '首次', '出现', '死亡', '病例']</t>
  </si>
  <si>
    <t>柳如丝自杀</t>
  </si>
  <si>
    <t>['柳', '如丝', '自杀']</t>
  </si>
  <si>
    <t>台湾街头车顶立起我爱你中国</t>
  </si>
  <si>
    <t>['台湾', '街头', '车顶', '立', '起', '我爱你', '中国']</t>
  </si>
  <si>
    <t>毛不易新歌43分钟</t>
  </si>
  <si>
    <t>['毛', '不易', '新歌', '43', '分钟']</t>
  </si>
  <si>
    <t>男子离汉回京瞒报致母亲确诊</t>
  </si>
  <si>
    <t>['男子', '离汉', '回京', '瞒报', '致', '母亲', '确诊']</t>
  </si>
  <si>
    <t>武汉新增病例比全省多</t>
  </si>
  <si>
    <t>['武汉', '新增', '病例', '比', '全省', '多']</t>
  </si>
  <si>
    <t>李兰娟脸上的压痕</t>
  </si>
  <si>
    <t>['李兰娟', '脸上', '的', '压痕']</t>
  </si>
  <si>
    <t>华科教授柯卉兵因病逝世于武汉</t>
  </si>
  <si>
    <t>['华科', '教授', '柯卉兵', '因病', '逝世', '于', '武汉']</t>
  </si>
  <si>
    <t>考研成绩</t>
  </si>
  <si>
    <t>['考研', '成绩']</t>
  </si>
  <si>
    <t>鄂州发布回应派出所分发物资</t>
  </si>
  <si>
    <t>['鄂州', '发布', '回应', '派出', '派出所', '分发', '物资']</t>
  </si>
  <si>
    <t>湖北新增确诊病例349例</t>
  </si>
  <si>
    <t>['湖北', '新增', '确诊', '病例', '349', '例']</t>
  </si>
  <si>
    <t>王一博又换背景了</t>
  </si>
  <si>
    <t>['王一博', '又', '换', '背景', '了']</t>
  </si>
  <si>
    <t>男子十连击拆掉防疫检查点后续</t>
  </si>
  <si>
    <t>['男子', '十', '连击', '拆掉', '防疫', '检查', '查点', '检查点', '后续']</t>
  </si>
  <si>
    <t>广州学生将分三批开学</t>
  </si>
  <si>
    <t>['广州', '学生', '将分', '三批', '开学']</t>
  </si>
  <si>
    <t>一双95后护士的手</t>
  </si>
  <si>
    <t>['一双', '95', '后', '护士', '的', '手']</t>
  </si>
  <si>
    <t>美将5家中国媒体作为外国使团列管</t>
  </si>
  <si>
    <t>['美将', '5', '家', '中国', '媒体', '作为', '外国', '使团', '列管']</t>
  </si>
  <si>
    <t>湖北新增病例降至三位数</t>
  </si>
  <si>
    <t>['湖北', '新增', '病例', '降', '至', '三位', '位数', '三位数']</t>
  </si>
  <si>
    <t>被民警体温枪吓到举手投降</t>
  </si>
  <si>
    <t>['被', '民警', '体温', '枪', '吓', '到', '举手', '投降']</t>
  </si>
  <si>
    <t>官方回应火神山工人坚决不领工资</t>
  </si>
  <si>
    <t>['官方', '回应', '火神', '山', '工人', '坚决', '不', '领', '工资']</t>
  </si>
  <si>
    <t>黑龙江新增确诊病例6例</t>
  </si>
  <si>
    <t>['龙江', '黑龙江', '新增', '确诊', '病例', '6', '例']</t>
  </si>
  <si>
    <t>济南又地震了</t>
  </si>
  <si>
    <t>['济南', '又', '地震', '了']</t>
  </si>
  <si>
    <t>北京大中小学3月初开学系谣言</t>
  </si>
  <si>
    <t>['北京', '大中', '中小', '小学', '大中小', '中小学', '大中小学', '3', '月初', '开学', '系', '谣言']</t>
  </si>
  <si>
    <t>4颗新技术试验卫星发射成功</t>
  </si>
  <si>
    <t>['4', '颗', '新', '技术', '试验', '卫星', '发射', '射成', '成功', '发射成功']</t>
  </si>
  <si>
    <t>活捉一枚快乐的防疫小可爱</t>
  </si>
  <si>
    <t>['活捉', '一枚', '快乐', '的', '防疫', '小可', '可爱', '小可爱']</t>
  </si>
  <si>
    <t>筷子拍照</t>
  </si>
  <si>
    <t>['筷子', '拍照']</t>
  </si>
  <si>
    <t>德国发生枪击案至少8人死亡</t>
  </si>
  <si>
    <t>['德国', '发生', '枪击', '枪击案', '至少', '8', '人', '死亡']</t>
  </si>
  <si>
    <t>脑瘫外卖小哥谢绝网友捐款</t>
  </si>
  <si>
    <t>['脑瘫', '外卖', '小哥', '谢绝', '网友', '捐款']</t>
  </si>
  <si>
    <t>北大方正被银行申请破产重整</t>
  </si>
  <si>
    <t>['北大', '大方', '方正', '北大方正', '被', '银行', '申请', '破产', '重整']</t>
  </si>
  <si>
    <t>橘子侠客</t>
  </si>
  <si>
    <t>['橘子', '侠客']</t>
  </si>
  <si>
    <t>中方向日本捐赠新冠肺炎试剂盒</t>
  </si>
  <si>
    <t>['中', '方向', '日本', '捐赠', '新冠', '肺炎', '试剂', '试剂盒']</t>
  </si>
  <si>
    <t>钟南山联手哈佛大学攻坚新冠病毒</t>
  </si>
  <si>
    <t>['南山', '钟南山', '联手', '哈佛', '大学', '哈佛大学', '攻坚', '新冠', '病毒']</t>
  </si>
  <si>
    <t>为援鄂医护免费提供一年火锅</t>
  </si>
  <si>
    <t>['为援', '鄂', '医护', '免费', '提供', '一年', '火锅']</t>
  </si>
  <si>
    <t>谢广坤</t>
  </si>
  <si>
    <t>['谢广坤']</t>
  </si>
  <si>
    <t>薯片袋拍照</t>
  </si>
  <si>
    <t>['薯片', '袋', '拍照']</t>
  </si>
  <si>
    <t>王一博不放弃手势舞</t>
  </si>
  <si>
    <t>['王一博', '不', '放弃', '手势', '舞']</t>
  </si>
  <si>
    <t>北京华联超市回应口罩500一盒</t>
  </si>
  <si>
    <t>['北京', '华联', '超市', '回应', '口罩', '500', '一盒']</t>
  </si>
  <si>
    <t>2020/02/21</t>
  </si>
  <si>
    <t>全国疫情发展拐点尚未到来</t>
  </si>
  <si>
    <t>['全国', '疫情', '发展', '拐点', '尚未', '到来']</t>
  </si>
  <si>
    <t>刷抖音看到邻居帮喂自家狗</t>
  </si>
  <si>
    <t>['刷抖音', '看到', '邻居', '帮', '喂', '自家', '狗']</t>
  </si>
  <si>
    <t>邓紫棋 小区演唱会</t>
  </si>
  <si>
    <t>['邓紫棋', ' ', '小区', '演唱', '演唱会']</t>
  </si>
  <si>
    <t>官方回应韩红爱心慈善基金被举报</t>
  </si>
  <si>
    <t>['官方', '回应', '韩红', '爱心', '慈善', '基金', '被', '举报']</t>
  </si>
  <si>
    <t>陈赫孙艺洲 绕口令挑战</t>
  </si>
  <si>
    <t>['陈赫', '孙艺洲', ' ', '口令', '绕口令', '挑战']</t>
  </si>
  <si>
    <t>健忘症爷爷打扫方舱医院</t>
  </si>
  <si>
    <t>['健忘', '健忘症', '爷爷', '打扫', '方舱', '医院']</t>
  </si>
  <si>
    <t>全国累计确诊新冠肺炎75465例</t>
  </si>
  <si>
    <t>['全国', '累计', '确诊', '新冠', '肺炎', '75465', '例']</t>
  </si>
  <si>
    <t>杜海涛 你们人多给我等着</t>
  </si>
  <si>
    <t>['杜', '海涛', ' ', '你们', '人多', '给', '我', '等', '着']</t>
  </si>
  <si>
    <t>Angelababy 冰凌花</t>
  </si>
  <si>
    <t>['Angelababy', ' ', '冰凌', '花']</t>
  </si>
  <si>
    <t>湖北新增确诊病例411例</t>
  </si>
  <si>
    <t>['湖北', '新增', '确诊', '病例', '411', '例']</t>
  </si>
  <si>
    <t>Lisa金色套装</t>
  </si>
  <si>
    <t>['Lisa', '金色', '套装']</t>
  </si>
  <si>
    <t>韩国确认发生超级传播</t>
  </si>
  <si>
    <t>['韩国', '确认', '发生', '超级', '传播']</t>
  </si>
  <si>
    <t>虞书欣 青春有你2</t>
  </si>
  <si>
    <t>['虞书欣', ' ', '青春', '有', '你', '2']</t>
  </si>
  <si>
    <t>向佐郭碧婷还没领证</t>
  </si>
  <si>
    <t>['向', '佐', '郭碧婷', '还', '没', '领证']</t>
  </si>
  <si>
    <t>火神山眼镜大叔出院了</t>
  </si>
  <si>
    <t>['火神', '山', '眼镜', '大叔', '出院', '了']</t>
  </si>
  <si>
    <t>武汉训斥医护人员患者被停职检查</t>
  </si>
  <si>
    <t>['武汉', '训斥', '医护', '护人', '人员', '医护人员', '患者', '被', '停职', '检查', '停职检查']</t>
  </si>
  <si>
    <t>张韶涵黄雅莉云上的姐妹</t>
  </si>
  <si>
    <t>['张韶涵', '黄雅莉云', '上', '的', '姐妹']</t>
  </si>
  <si>
    <t>宁桓宇结婚</t>
  </si>
  <si>
    <t>['宁桓宇', '结婚']</t>
  </si>
  <si>
    <t>女子醉酒睡在遮雨棚上</t>
  </si>
  <si>
    <t>['女子', '醉酒', '睡', '在', '遮雨', '雨棚', '遮雨棚', '上']</t>
  </si>
  <si>
    <t>王源欧阳娜娜片场手指舞</t>
  </si>
  <si>
    <t>['王源', '欧阳', '娜娜', '片场', '手指', '舞']</t>
  </si>
  <si>
    <t>威少被驱逐离场</t>
  </si>
  <si>
    <t>['威少', '被', '驱逐', '离场']</t>
  </si>
  <si>
    <t>重庆调拨20万毫升血浆增援湖北</t>
  </si>
  <si>
    <t>['重庆', '调拨', '20', '万', '毫升', '血浆', '增援', '湖北']</t>
  </si>
  <si>
    <t>欧文赛季报销</t>
  </si>
  <si>
    <t>['欧文', '赛季', '报销']</t>
  </si>
  <si>
    <t>沈腾cos蓝忘机喊话魏无羡</t>
  </si>
  <si>
    <t>['沈腾', 'cos', '蓝忘机', '喊话', '魏无羡']</t>
  </si>
  <si>
    <t>浙江省司法厅回应监狱新增病例</t>
  </si>
  <si>
    <t>['浙江', '浙江省', '司法', '司法厅', '回应', '监狱', '新增', '病例']</t>
  </si>
  <si>
    <t>核酸阴性不能排除新冠肺炎</t>
  </si>
  <si>
    <t>['核酸', '阴性', '不能', '排除', '新冠', '肺炎']</t>
  </si>
  <si>
    <t>刘亦菲用央视镜头照镜子</t>
  </si>
  <si>
    <t>['刘亦菲', '用', '央视', '镜头', '照镜', '镜子', '照镜子']</t>
  </si>
  <si>
    <t>丽江旅游行业恢复营业</t>
  </si>
  <si>
    <t>['丽江', '旅游', '行业', '恢复', '营业']</t>
  </si>
  <si>
    <t>2020春季限量医护专用款挎包</t>
  </si>
  <si>
    <t>['2020', '春季', '限量', '医护', '专用', '款', '挎包']</t>
  </si>
  <si>
    <t>与未戴口罩感染者交谈不到3分钟被感染</t>
  </si>
  <si>
    <t>['与', '未戴', '口罩', '感染', '感染者', '交谈', '不到', '3', '分钟', '被', '感染']</t>
  </si>
  <si>
    <t>武汉女子监狱监狱长被免职</t>
  </si>
  <si>
    <t>['武汉', '女子', '监狱', '女子监狱', '监狱', '狱长', '监狱长', '被', '免职']</t>
  </si>
  <si>
    <t>山东新增确诊病例202例</t>
  </si>
  <si>
    <t>['山东', '新增', '确诊', '病例', '202', '例']</t>
  </si>
  <si>
    <t>给武汉无偿送菜回乡被骂瘟神</t>
  </si>
  <si>
    <t>['给', '武汉', '无偿', '送菜', '回乡', '被', '骂', '瘟神']</t>
  </si>
  <si>
    <t>钻石公主号将成为新冠病毒制造机</t>
  </si>
  <si>
    <t>['钻石', '公主', '号', '将', '成为', '新冠', '病毒', '制造', '制造机']</t>
  </si>
  <si>
    <t>肖战 开心对我来说很重要</t>
  </si>
  <si>
    <t>['肖战', ' ', '开心', '对', '我', '来说', '很', '重要']</t>
  </si>
  <si>
    <t>武汉21日实现存量核酸检测清零</t>
  </si>
  <si>
    <t>['武汉', '21', '日', '实现', '存量', '核酸', '检测', '清零']</t>
  </si>
  <si>
    <t>湖北新增确诊订正为631例</t>
  </si>
  <si>
    <t>['湖北', '新增', '确诊', '订正', '为', '631', '例']</t>
  </si>
  <si>
    <t>王一博说情话</t>
  </si>
  <si>
    <t>['王一博', '说', '情话']</t>
  </si>
  <si>
    <t>金海没死</t>
  </si>
  <si>
    <t>['金海', '没', '死']</t>
  </si>
  <si>
    <t>服装厂转产隔离服半月捐6600套</t>
  </si>
  <si>
    <t>['服装', '服装厂', '转产', '隔离', '服', '半月', '捐', '6600', '套']</t>
  </si>
  <si>
    <t>武汉核酸检测能力达2万人次每天</t>
  </si>
  <si>
    <t>['武汉', '核酸', '检测', '能力', '达', '2', '人次', '万人次', '每天']</t>
  </si>
  <si>
    <t>手臂风火轮</t>
  </si>
  <si>
    <t>['手臂', '风火', '火轮', '风火轮']</t>
  </si>
  <si>
    <t>湖北已经核减病例必须全部加回</t>
  </si>
  <si>
    <t>['湖北', '已经', '核减', '病例', '必须', '全部', '加', '回']</t>
  </si>
  <si>
    <t>眼镜大叔走出火神山医院</t>
  </si>
  <si>
    <t>['眼镜', '大叔', '走出', '火神', '山', '医院']</t>
  </si>
  <si>
    <t>方舱医院首次单日出院人数破百</t>
  </si>
  <si>
    <t>['方舱', '医院', '首次', '单日', '出院', '人数', '破百']</t>
  </si>
  <si>
    <t>袁姗姗直播教练马甲线</t>
  </si>
  <si>
    <t>['姗姗', '袁姗姗', '直播', '教练', '马甲', '线']</t>
  </si>
  <si>
    <t>浙江新增确诊病例28例</t>
  </si>
  <si>
    <t>['浙江', '新增', '确诊', '病例', '28', '例']</t>
  </si>
  <si>
    <t>王老七KO谢广坤</t>
  </si>
  <si>
    <t>['王老七', 'KO', '谢广坤']</t>
  </si>
  <si>
    <t>2020/02/22</t>
  </si>
  <si>
    <t>周星驰给前线医疗队加油</t>
  </si>
  <si>
    <t>['星驰', '周星驰', '给', '前线', '医疗', '医疗队', '加油']</t>
  </si>
  <si>
    <t>挑战山东king</t>
  </si>
  <si>
    <t>['挑战', '山东', 'king']</t>
  </si>
  <si>
    <t>全国新增确诊病例397例</t>
  </si>
  <si>
    <t>['全国', '新增', '确诊', '病例', '397', '例']</t>
  </si>
  <si>
    <t>湖北新增确诊病例366例</t>
  </si>
  <si>
    <t>['湖北', '新增', '确诊', '病例', '366', '例']</t>
  </si>
  <si>
    <t>白岩松 信息公开就是最好的疫苗</t>
  </si>
  <si>
    <t>['白岩松', ' ', '信息', '公开', '就是', '最好', '的', '疫苗']</t>
  </si>
  <si>
    <t>Angelababy哭了</t>
  </si>
  <si>
    <t>['Angelababy', '哭', '了']</t>
  </si>
  <si>
    <t>彭银华妻子回应会生下孩子</t>
  </si>
  <si>
    <t>['彭银华', '妻子', '回应', '会生', '下', '孩子']</t>
  </si>
  <si>
    <t>寒江孤影江湖故人</t>
  </si>
  <si>
    <t>['寒江', '孤影', '江湖', '故人']</t>
  </si>
  <si>
    <t>武汉明显出现床等人现象</t>
  </si>
  <si>
    <t>['武汉', '明显', '出现', '床', '等', '人', '现象']</t>
  </si>
  <si>
    <t>运动也要带节奏</t>
  </si>
  <si>
    <t>['运动', '也', '要', '带', '节奏']</t>
  </si>
  <si>
    <t>广州撤销市内高速收费站测温点</t>
  </si>
  <si>
    <t>['广州', '撤销', '市内', '高速', '收费', '收费站', '测温', '点']</t>
  </si>
  <si>
    <t>两女子扯掉男子口罩遭挥拳击打</t>
  </si>
  <si>
    <t>['两', '女子', '扯掉', '男子', '口罩', '遭', '挥拳', '击打']</t>
  </si>
  <si>
    <t>新疆伽师5.1级地震</t>
  </si>
  <si>
    <t>['新疆', '伽师', '5.1', '级', '地震']</t>
  </si>
  <si>
    <t>七类返京人群免隔离</t>
  </si>
  <si>
    <t>['七类', '返京', '人群', '免', '隔离']</t>
  </si>
  <si>
    <t>倪妮素颜</t>
  </si>
  <si>
    <t>['倪妮', '素颜']</t>
  </si>
  <si>
    <t>新冠肺炎英文名修订为COVID-19</t>
  </si>
  <si>
    <t>['新冠', '肺炎', '英文', '文名', '英文名', '修订', '为', 'COVID', '-', '19']</t>
  </si>
  <si>
    <t>隔壁老樊奇袭黄霄雲</t>
  </si>
  <si>
    <t>['隔壁', '老樊', '奇袭', '黄霄', '雲']</t>
  </si>
  <si>
    <t>黄晓明霸道总裁式关心湖北员工</t>
  </si>
  <si>
    <t>['黄晓明', '霸道', '总裁', '式', '关心', '湖北', '员工']</t>
  </si>
  <si>
    <t>追授刘智明全市优秀共产党员称号</t>
  </si>
  <si>
    <t>['追授', '刘智明', '全市', '优秀', '共产', '党员', '共产党', '共产党员', '称号']</t>
  </si>
  <si>
    <t>红油火锅色号的腮红</t>
  </si>
  <si>
    <t>['红油', '火锅', '色号', '的', '腮红']</t>
  </si>
  <si>
    <t>中国姑娘印度街头被骚扰霸气回怼</t>
  </si>
  <si>
    <t>['中国', '姑娘', '印度', '街头', '被', '骚扰', '霸气', '回怼']</t>
  </si>
  <si>
    <t>驾车冲撞疫情防控人员被批捕</t>
  </si>
  <si>
    <t>['驾车', '冲撞', '疫情', '防控', '人员', '被', '批捕']</t>
  </si>
  <si>
    <t>韩国新增142例新冠肺炎</t>
  </si>
  <si>
    <t>['韩国', '新增', '142', '例新冠', '肺炎']</t>
  </si>
  <si>
    <t>浙江十里丰监狱新增确诊病例2例</t>
  </si>
  <si>
    <t>['浙江', '十里', '丰', '监狱', '新增', '确诊', '病例', '2', '例']</t>
  </si>
  <si>
    <t>世卫组织专家小组前往武汉</t>
  </si>
  <si>
    <t>['世卫', '组织', '专家', '小组', '前往', '武汉']</t>
  </si>
  <si>
    <t>当马可直播给自己剪头发时</t>
  </si>
  <si>
    <t>['当马', '可', '直播', '给', '自己', '头发', '剪头发', '时']</t>
  </si>
  <si>
    <t>武汉已问责处理620人</t>
  </si>
  <si>
    <t>['武汉', '已', '问责', '处理', '620', '人']</t>
  </si>
  <si>
    <t>李佳琦在家逛超市</t>
  </si>
  <si>
    <t>['李佳琦', '在家', '逛', '超市']</t>
  </si>
  <si>
    <t>主播为涨粉猎捕野生动物</t>
  </si>
  <si>
    <t>['主播', '为', '涨粉', '猎捕', '野生', '生动', '动物', '野生动物']</t>
  </si>
  <si>
    <t>一线医护工作10天休息不少于2天</t>
  </si>
  <si>
    <t>['一线', '医护', '工作', '10', '天', '休息', '不少', '于', '2', '天']</t>
  </si>
  <si>
    <t>何炅过期二十年的泡面</t>
  </si>
  <si>
    <t>['何炅', '过期', '二十', '十年', '二十年', '的', '泡面']</t>
  </si>
  <si>
    <t>吴亦凡落泪</t>
  </si>
  <si>
    <t>['吴亦凡', '落泪']</t>
  </si>
  <si>
    <t>神农架新增一确诊病例潜伏期27天</t>
  </si>
  <si>
    <t>['神农', '神农架', '新增', '一', '确诊', '病例', '潜伏', '潜伏期', '27', '天']</t>
  </si>
  <si>
    <t>贾玲 哭笑交叉</t>
  </si>
  <si>
    <t>['贾玲', ' ', '哭', '笑', '交叉']</t>
  </si>
  <si>
    <t>因停售退烧药后发烧不止确诊</t>
  </si>
  <si>
    <t>['因', '停售', '退烧', '退烧药', '后', '发烧', '不止', '确诊']</t>
  </si>
  <si>
    <t>海清和郝平还在买房子</t>
  </si>
  <si>
    <t>['海清', '和', '郝平', '还', '在', '买房', '房子', '买房子']</t>
  </si>
  <si>
    <t>日本白色恋人暂停生产</t>
  </si>
  <si>
    <t>['日本', '白色', '恋人', '暂停', '生产']</t>
  </si>
  <si>
    <t>武汉市委原秘书长蔡杰被双开</t>
  </si>
  <si>
    <t>['武汉', '市委', '武汉市', '武汉市委', '原', '秘书', '秘书长', '蔡杰', '被', '双开']</t>
  </si>
  <si>
    <t>有你在身边</t>
  </si>
  <si>
    <t>['有', '你', '在', '身边']</t>
  </si>
  <si>
    <t>男子炫耀吃野味后父亲被刑拘</t>
  </si>
  <si>
    <t>['男子', '炫耀', '吃', '野味', '后', '父亲', '被', '刑拘']</t>
  </si>
  <si>
    <t>蓝天救援队队员运送物资途中身亡</t>
  </si>
  <si>
    <t>['蓝天', '救援', '救援队', '队员', '运送', '物资', '途中', '身亡']</t>
  </si>
  <si>
    <t>当当网负责人被约谈整改</t>
  </si>
  <si>
    <t>['当当网', '负责', '责人', '负责人', '被', '约', '谈', '整改']</t>
  </si>
  <si>
    <t>抗疫医生门外为女儿唱生日歌</t>
  </si>
  <si>
    <t>['抗疫', '医生', '门外', '为', '女儿', '唱', '生日', '生日歌']</t>
  </si>
  <si>
    <t>安徽3月2日起开展线上教学</t>
  </si>
  <si>
    <t>['安徽', '3', '月', '2', '日起', '开展', '线上', '教学']</t>
  </si>
  <si>
    <t>美国新冠肺炎病例达34例</t>
  </si>
  <si>
    <t>['美国', '新冠', '肺炎', '病例', '达', '34', '例']</t>
  </si>
  <si>
    <t>钟南山团队从尿液中分离出新冠病毒</t>
  </si>
  <si>
    <t>['南山', '钟南山', '团队', '从', '尿液', '中', '分离', '出新', '冠', '病毒']</t>
  </si>
  <si>
    <t>2020/02/23</t>
  </si>
  <si>
    <t>谢广坤回应惹网友生气</t>
  </si>
  <si>
    <t>['谢广坤', '回应', '惹', '网友', '生气']</t>
  </si>
  <si>
    <t>李诞撞脸giao哥</t>
  </si>
  <si>
    <t>['李诞撞', '脸', 'giao', '哥']</t>
  </si>
  <si>
    <t>全国新增确诊病例648例</t>
  </si>
  <si>
    <t>['全国', '新增', '确诊', '病例', '648', '例']</t>
  </si>
  <si>
    <t>周深不知道自己的名字</t>
  </si>
  <si>
    <t>['周深', '不', '知道', '自己', '的', '名字']</t>
  </si>
  <si>
    <t>中国首款可重复使用口罩</t>
  </si>
  <si>
    <t>['中国', '首款', '可', '重复', '使用', '重复使用', '口罩']</t>
  </si>
  <si>
    <t>小鬼在家唯一的运动量</t>
  </si>
  <si>
    <t>['小鬼', '在家', '唯一', '的', '运动', '动量', '运动量']</t>
  </si>
  <si>
    <t>表演艺术家杜雨露去世</t>
  </si>
  <si>
    <t>['表演', '演艺', '艺术', '术家', '艺术家', '表演艺术家', '雨露', '杜雨露', '去世']</t>
  </si>
  <si>
    <t>全国21个省区市22日实现零新增</t>
  </si>
  <si>
    <t>['全国', '21', '个', '省区', '区市', '省区市', '22', '日', '实现', '零', '新增']</t>
  </si>
  <si>
    <t>吴敏霞直播老公花式抢镜</t>
  </si>
  <si>
    <t>['吴敏霞', '直播', '老公', '花式', '抢镜']</t>
  </si>
  <si>
    <t>任命吴磊为山东省监狱管理局局长</t>
  </si>
  <si>
    <t>['任命', '吴磊', '为', '山东', '山东省', '监狱', '管理', '管理局', '局长']</t>
  </si>
  <si>
    <t>周杰伦为医护粉丝加油</t>
  </si>
  <si>
    <t>['周杰伦', '为', '医护', '粉丝', '加油']</t>
  </si>
  <si>
    <t>天津支援武汉护士喊话张艺兴</t>
  </si>
  <si>
    <t>['天津', '支援', '武汉', '护士', '喊话', '张艺兴']</t>
  </si>
  <si>
    <t>湖北新增确诊病例630例</t>
  </si>
  <si>
    <t>['湖北', '新增', '确诊', '病例', '630', '例']</t>
  </si>
  <si>
    <t>首尔市长劝市民解散集会遭围攻</t>
  </si>
  <si>
    <t>['首尔', '市长', '劝', '市民', '解散', '集会', '遭', '围攻']</t>
  </si>
  <si>
    <t>日邮轮23名下船者未经病毒检测</t>
  </si>
  <si>
    <t>['日', '邮轮', '23', '名', '下船', '者', '未经', '病毒', '检测', '病毒检测']</t>
  </si>
  <si>
    <t>98岁母亲走3小时给70岁女儿送饭</t>
  </si>
  <si>
    <t>['98', '岁', '母亲', '走', '3', '小时', '给', '70', '岁', '女儿', '送饭']</t>
  </si>
  <si>
    <t>四川市民卸口罩扎堆喝茶</t>
  </si>
  <si>
    <t>['四川', '市民', '卸', '口罩', '扎堆', '喝茶']</t>
  </si>
  <si>
    <t>脑瘫外卖小哥表白妈妈</t>
  </si>
  <si>
    <t>['脑瘫', '外卖', '小哥', '表白', '妈妈']</t>
  </si>
  <si>
    <t>韩国新增确诊病例123例</t>
  </si>
  <si>
    <t>['韩国', '新增', '确诊', '病例', '123', '例']</t>
  </si>
  <si>
    <t>房产证该不该加儿媳妇名字</t>
  </si>
  <si>
    <t>['房产', '房产证', '不该', '该不该', '加', '儿媳', '媳妇', '儿媳妇', '名字']</t>
  </si>
  <si>
    <t>白岩松 让生活和社会复苏</t>
  </si>
  <si>
    <t>['白岩松', ' ', '让', '生活', '和', '社会', '复苏']</t>
  </si>
  <si>
    <t>黄山恢复开放只来了1位游客</t>
  </si>
  <si>
    <t>['黄山', '恢复', '开放', '只来', '了', '1', '位', '游客']</t>
  </si>
  <si>
    <t>胡彦斌于文文吵架式对唱</t>
  </si>
  <si>
    <t>['胡彦斌', '于', '文文', '吵架', '式', '对唱']</t>
  </si>
  <si>
    <t>杭州女子戴斗笠顶浴罩买菜</t>
  </si>
  <si>
    <t>['杭州', '女子', '戴', '斗笠', '顶', '浴罩', '买菜']</t>
  </si>
  <si>
    <t>张雨剑吐槽虞书欣</t>
  </si>
  <si>
    <t>['张雨剑', '吐', '槽', '虞书欣']</t>
  </si>
  <si>
    <t>央视专访美国病毒猎手</t>
  </si>
  <si>
    <t>['央视', '专访', '美国', '病毒', '猎手']</t>
  </si>
  <si>
    <t>阶段性降低企业用电用气费用</t>
  </si>
  <si>
    <t>['阶段', '阶段性', '降低', '企业', '用电', '用气', '费用']</t>
  </si>
  <si>
    <t>武汉29岁女医生感染新冠肺炎去世</t>
  </si>
  <si>
    <t>['武汉', '29', '岁', '医生', '女医生', '感染', '新冠', '肺炎', '去世']</t>
  </si>
  <si>
    <t>林依轮 同时哄妈妈老婆教科书</t>
  </si>
  <si>
    <t>['林依轮', ' ', '同时', '哄', '妈妈', '老婆', '教科', '教科书']</t>
  </si>
  <si>
    <t>张艺兴春晚后空翻彩排摔倒</t>
  </si>
  <si>
    <t>['张艺兴', '春晚', '空翻', '后空翻', '彩排', '摔倒']</t>
  </si>
  <si>
    <t>成都实行两点一线上下班模式</t>
  </si>
  <si>
    <t>['成都', '实行', '两点', '一线', '上下', '下班', '上下班', '模式']</t>
  </si>
  <si>
    <t>隔离期老人从医院逃回家吃面</t>
  </si>
  <si>
    <t>['隔离', '期', '老人', '从', '医院', '逃', '回家', '吃面']</t>
  </si>
  <si>
    <t>火神山医院再出院71人</t>
  </si>
  <si>
    <t>['火神', '山', '医院', '再', '出院', '71', '人']</t>
  </si>
  <si>
    <t>武汉女孩的火神山日记</t>
  </si>
  <si>
    <t>['武汉', '女孩', '的', '火神', '山', '日记']</t>
  </si>
  <si>
    <t>电饭煲蛋糕翻车现场</t>
  </si>
  <si>
    <t>['饭煲', '电饭煲', '蛋糕', '翻车', '现场']</t>
  </si>
  <si>
    <t>超5000人昨日涌向西湖断桥</t>
  </si>
  <si>
    <t>['超', '5000', '人', '昨日', '涌向', '西湖', '断桥']</t>
  </si>
  <si>
    <t>张韶涵王晰 黎明前的黑暗</t>
  </si>
  <si>
    <t>['张韶涵', '王晰', ' ', '黎明', '黎明前', '的', '黑暗']</t>
  </si>
  <si>
    <t>苏有朋陈志朋合体</t>
  </si>
  <si>
    <t>['苏有朋', '陈志朋', '合体']</t>
  </si>
  <si>
    <t>疫情拐点还没有出现</t>
  </si>
  <si>
    <t>['疫情', '拐点', '还', '没有', '出现']</t>
  </si>
  <si>
    <t>梅西大四喜</t>
  </si>
  <si>
    <t>['梅西', '大四', '四喜', '大四喜']</t>
  </si>
  <si>
    <t>丁太升点评张韶涵王晰</t>
  </si>
  <si>
    <t>['丁太升', '点评', '张韶涵', '王晰']</t>
  </si>
  <si>
    <t>韦德球衣退役仪式</t>
  </si>
  <si>
    <t>['韦德', '球衣', '退役', '仪式']</t>
  </si>
  <si>
    <t>莫斯科柴院交响乐团奏响我的祖国</t>
  </si>
  <si>
    <t>['莫斯科', '柴院', '交响', '乐团', '交响乐', '交响乐团', '奏响', '我', '的', '祖国']</t>
  </si>
  <si>
    <t>多地出现人流扎堆场面</t>
  </si>
  <si>
    <t>['多地', '出现', '人流', '扎堆', '场面']</t>
  </si>
  <si>
    <t>战疫一线交警晒出口罩脸</t>
  </si>
  <si>
    <t>['战疫', '一线', '交警', '晒出', '口罩', '脸']</t>
  </si>
  <si>
    <t>安徽撤销全省所有公路检疫站点</t>
  </si>
  <si>
    <t>['安徽', '撤销', '全省', '所有', '公路', '检疫', '检疫站', '点']</t>
  </si>
  <si>
    <t>四川扎堆喝茶事件多人被追责</t>
  </si>
  <si>
    <t>['四川', '扎堆', '喝茶', '事件', '多人', '被', '追责']</t>
  </si>
  <si>
    <t>2020/02/24</t>
  </si>
  <si>
    <t>周峻纬英年早婚</t>
  </si>
  <si>
    <t>['周峻纬', '英年', '早婚']</t>
  </si>
  <si>
    <t>全国累计确诊新冠肺炎77150例</t>
  </si>
  <si>
    <t>['全国', '累计', '确诊', '新冠', '肺炎', '77150', '例']</t>
  </si>
  <si>
    <t>斯黛拉发现老公出轨</t>
  </si>
  <si>
    <t>['斯黛拉', '发现', '老公', '出轨']</t>
  </si>
  <si>
    <t>易烊千玺军装造型</t>
  </si>
  <si>
    <t>['易', '烊', '千玺', '军装', '造型']</t>
  </si>
  <si>
    <t>湖北新增确诊病例398例</t>
  </si>
  <si>
    <t>['湖北', '新增', '确诊', '病例', '398', '例']</t>
  </si>
  <si>
    <t>詹姆斯致胜跳投像极了科比</t>
  </si>
  <si>
    <t>['詹姆斯', '致胜', '跳投', '像', '极了', '科比']</t>
  </si>
  <si>
    <t>滞留在汉外地人员可出城</t>
  </si>
  <si>
    <t>['滞留', '在', '汉', '外地', '人员', '可出', '城']</t>
  </si>
  <si>
    <t>笑容助力全民dou战疫</t>
  </si>
  <si>
    <t>['笑容', '助力', '全民', 'dou', '战疫']</t>
  </si>
  <si>
    <t>安心返程暖心返岗</t>
  </si>
  <si>
    <t>['安心', '返程', '暖心', '返岗']</t>
  </si>
  <si>
    <t>北极甲烷</t>
  </si>
  <si>
    <t>['北极', '甲烷']</t>
  </si>
  <si>
    <t>美疯狂发明家乘自制火箭坠亡</t>
  </si>
  <si>
    <t>['美', '疯狂', '发明', '发明家', '乘', '自制', '火箭', '坠亡']</t>
  </si>
  <si>
    <t>谢娜肚子</t>
  </si>
  <si>
    <t>['谢娜', '肚子']</t>
  </si>
  <si>
    <t>28年前南医大女生被杀案告破</t>
  </si>
  <si>
    <t>['28', '年前', '南', '医大', '女生', '被杀案', '告破']</t>
  </si>
  <si>
    <t>李易峰 撩妹段位</t>
  </si>
  <si>
    <t>['李易峰', ' ', '撩妹', '段位']</t>
  </si>
  <si>
    <t>疫情对中国经济冲击是暂时的短期的</t>
  </si>
  <si>
    <t>['疫情', '对', '中国', '经济', '冲击', '是', '暂时', '的', '短期', '的']</t>
  </si>
  <si>
    <t>韩国新增161例新冠肺炎</t>
  </si>
  <si>
    <t>['韩国', '新增', '161', '例新冠', '肺炎']</t>
  </si>
  <si>
    <t>现在到撒欢儿的时候了吗</t>
  </si>
  <si>
    <t>['现在', '到', '撒欢', '撒欢儿', '的', '时候', '了', '吗']</t>
  </si>
  <si>
    <t>苏打绿合体</t>
  </si>
  <si>
    <t>['苏打', '绿', '合体']</t>
  </si>
  <si>
    <t>湖南新增确诊病例首次归零</t>
  </si>
  <si>
    <t>['湖南', '新增', '确诊', '病例', '首次', '归零']</t>
  </si>
  <si>
    <t>意大利北部11个市镇封城隔离</t>
  </si>
  <si>
    <t>['大利', '意大利', '北部', '11', '个', '市镇', '封城', '隔离']</t>
  </si>
  <si>
    <t>从隔离到出现症状达27天</t>
  </si>
  <si>
    <t>['从', '隔离', '到', '出现', '症状', '达', '27', '天']</t>
  </si>
  <si>
    <t>黄文军曾写请战书岂因祸福避趋之</t>
  </si>
  <si>
    <t>['黄文军', '曾', '写', '请战', '书', '祸福', '岂因祸福避趋之']</t>
  </si>
  <si>
    <t>郑合惠子 不洗头神器</t>
  </si>
  <si>
    <t>['郑合', '惠子', ' ', '不', '洗头', '神器']</t>
  </si>
  <si>
    <t>全国3387例医务人员感染新冠肺炎</t>
  </si>
  <si>
    <t>['全国', '3387', '例', '医务', '人员', '医务人员', '感染', '新冠', '肺炎']</t>
  </si>
  <si>
    <t>李佳琦发长文斥网络暴力</t>
  </si>
  <si>
    <t>['李佳琦发', '长文', '斥', '网络', '暴力']</t>
  </si>
  <si>
    <t>大张伟王一博配音大话西游</t>
  </si>
  <si>
    <t>['大张', '大张伟', '王一博', '配音', '大话', '西游', '大话西游']</t>
  </si>
  <si>
    <t>珠穆朗玛峰长草了</t>
  </si>
  <si>
    <t>['珠穆', '珠穆朗玛峰', '长草', '了']</t>
  </si>
  <si>
    <t>涂磊 录抖音也要有仪式感</t>
  </si>
  <si>
    <t>['涂磊', ' ', '录抖音', '也', '要', '有', '仪式', '感']</t>
  </si>
  <si>
    <t>钟南山表示出院重新感染可能性很小</t>
  </si>
  <si>
    <t>['南山', '钟南山', '表示', '出院', '重新', '感染', '可能', '可能性', '很小']</t>
  </si>
  <si>
    <t>任城监狱一刑满释放人员隔离期外逃</t>
  </si>
  <si>
    <t>['任城', '监狱', '一', '刑满', '释放', '刑满释放', '人员', '隔离', '期', '外逃']</t>
  </si>
  <si>
    <t>疫情得到有效控制前高校不开学</t>
  </si>
  <si>
    <t>['疫情', '得到', '有效', '控制', '前', '高校', '不', '开学']</t>
  </si>
  <si>
    <t>山西一级应急响应调整为二级</t>
  </si>
  <si>
    <t>['山西', '一级', '应急', '响应', '调整', '为', '二级']</t>
  </si>
  <si>
    <t>援鄂医生用头发给同事缝伤口</t>
  </si>
  <si>
    <t>['援鄂', '医生', '用', '头发', '给', '同事', '缝', '伤口']</t>
  </si>
  <si>
    <t>军运会五外籍运动员患的都是疟疾</t>
  </si>
  <si>
    <t>['军运会', '五', '外籍', '运动', '动员', '运动员', '患', '的', '都', '是', '疟疾']</t>
  </si>
  <si>
    <t>悬浮术</t>
  </si>
  <si>
    <t>['悬浮', '术']</t>
  </si>
  <si>
    <t>武汉小区村庄24小时封闭管理还将持续</t>
  </si>
  <si>
    <t>['武汉', '小区', '村庄', '24', '小时', '封闭', '管理', '还', '将', '持续']</t>
  </si>
  <si>
    <t>吴磊在线刮胡子</t>
  </si>
  <si>
    <t>['吴磊', '在线', '胡子', '刮胡子']</t>
  </si>
  <si>
    <t>跨越时空的医患致敬礼</t>
  </si>
  <si>
    <t>['跨越', '时空', '的', '医患', '致敬', '礼']</t>
  </si>
  <si>
    <t>新冠病毒未发生明显变异</t>
  </si>
  <si>
    <t>['新冠', '病毒', '未', '发生', '明显', '变异']</t>
  </si>
  <si>
    <t>欧洲科学家重组出新冠病毒</t>
  </si>
  <si>
    <t>['欧洲', '科学', '学家', '科学家', '重组', '出新', '冠', '病毒']</t>
  </si>
  <si>
    <t>二月二理发别扎堆</t>
  </si>
  <si>
    <t>['二月', '二', '理发', '别', '扎堆']</t>
  </si>
  <si>
    <t>小男孩为拾荒者戴口罩</t>
  </si>
  <si>
    <t>['男孩', '小男孩', '为', '拾荒', '拾荒者', '戴', '口罩']</t>
  </si>
  <si>
    <t>易烊千玺军装</t>
  </si>
  <si>
    <t>['易', '烊', '千玺', '军装']</t>
  </si>
  <si>
    <t>大理违法扣押口罩市长被撤职</t>
  </si>
  <si>
    <t>['大理', '违法', '扣押', '口罩', '市长', '被', '撤职']</t>
  </si>
  <si>
    <t>湖北拟提拔重用4名抗疫一线干部</t>
  </si>
  <si>
    <t>['湖北', '拟提', '提拔', '拟提拔', '重用', '4', '名', '抗疫', '一线', '干部']</t>
  </si>
  <si>
    <t>2020/02/25</t>
  </si>
  <si>
    <t>碧昂斯演唱科比最爱歌曲</t>
  </si>
  <si>
    <t>['碧昂斯', '演唱', '科比', '最', '爱', '歌曲']</t>
  </si>
  <si>
    <t>瓦妮莎缅怀科比gigi</t>
  </si>
  <si>
    <t>['瓦妮', '莎', '缅怀', '科比', 'gigi']</t>
  </si>
  <si>
    <t>肖战剪头发</t>
  </si>
  <si>
    <t>['肖战', '头发', '剪头发']</t>
  </si>
  <si>
    <t>奥尼尔 把所有技术教给科比女儿</t>
  </si>
  <si>
    <t>['尼尔', '奥尼尔', ' ', '把', '所有', '技术', '教给', '科比', '女儿']</t>
  </si>
  <si>
    <t>胡明医生袁海涛医生线上相聚</t>
  </si>
  <si>
    <t>['胡明', '医生', '袁', '海涛', '医生', '线上', '相聚']</t>
  </si>
  <si>
    <t>BLACKPINK杂志怼脸拍</t>
  </si>
  <si>
    <t>['BLACKPINK', '杂志', '怼', '脸', '拍']</t>
  </si>
  <si>
    <t>许光汉章若楠 你的婚礼</t>
  </si>
  <si>
    <t>['许光汉章', '若楠', ' ', '你', '的', '婚礼']</t>
  </si>
  <si>
    <t>斯黛拉怼小三</t>
  </si>
  <si>
    <t>['斯黛拉', '怼', '小', '三']</t>
  </si>
  <si>
    <t>在线云看车服务不打烊</t>
  </si>
  <si>
    <t>['在线', '云', '看车', '服务', '不', '打烊']</t>
  </si>
  <si>
    <t>徐姑姑撞见老婆出轨</t>
  </si>
  <si>
    <t>['徐', '姑姑', '撞见', '老婆', '出轨']</t>
  </si>
  <si>
    <t>乔丹哭了</t>
  </si>
  <si>
    <t>['乔丹', '哭', '了']</t>
  </si>
  <si>
    <t>可仙可甜</t>
  </si>
  <si>
    <t>['可仙', '可甜']</t>
  </si>
  <si>
    <t>张雨剑仿佛卡屏</t>
  </si>
  <si>
    <t>['张雨剑', '仿佛', '卡屏']</t>
  </si>
  <si>
    <t>当火神山ICU病房护士下班后</t>
  </si>
  <si>
    <t>['当', '火神', '山', 'ICU', '病房', '护士', '下班', '后']</t>
  </si>
  <si>
    <t>科比追思会</t>
  </si>
  <si>
    <t>['科比', '追思', '追思会']</t>
  </si>
  <si>
    <t>利物浦英超18连胜</t>
  </si>
  <si>
    <t>['利物', '利物浦', '英超', '18', '连胜']</t>
  </si>
  <si>
    <t>河南取消所有高速收费站管制措施</t>
  </si>
  <si>
    <t>['河南', '取消', '所有', '高速', '收费', '收费站', '管制', '措施']</t>
  </si>
  <si>
    <t>荷兰弟已学会如何不剧透</t>
  </si>
  <si>
    <t>['荷兰', '弟已', '学会', '如何', '不剧', '透']</t>
  </si>
  <si>
    <t>可能是最后一次为科比熬夜了</t>
  </si>
  <si>
    <t>['可能', '是', '最后', '一次', '为', '科比', '熬夜', '了']</t>
  </si>
  <si>
    <t>确诊医务人员超9成来自湖北</t>
  </si>
  <si>
    <t>['确诊', '医务', '人员', '医务人员', '超', '9', '成', '来自', '湖北']</t>
  </si>
  <si>
    <t>湖北新增确诊病例499例</t>
  </si>
  <si>
    <t>['湖北', '新增', '确诊', '病例', '499', '例']</t>
  </si>
  <si>
    <t>荆州李现为佛山李现加油</t>
  </si>
  <si>
    <t>['荆州', '李现', '为', '佛山', '李现', '加油']</t>
  </si>
  <si>
    <t>韩国大妈确诊带病参加邪教活动</t>
  </si>
  <si>
    <t>['韩国', '大妈', '确诊', '带病', '参加', '邪教', '活动']</t>
  </si>
  <si>
    <t>全国累计确诊新冠肺炎77658例</t>
  </si>
  <si>
    <t>['全国', '累计', '确诊', '新冠', '肺炎', '77658', '例']</t>
  </si>
  <si>
    <t>科比追思会 詹姆斯</t>
  </si>
  <si>
    <t>['科比', '追思', '追思会', ' ', '詹姆斯']</t>
  </si>
  <si>
    <t>蒋亦元院士逝世</t>
  </si>
  <si>
    <t>['蒋亦元', '院士', '逝世']</t>
  </si>
  <si>
    <t>小耳朵 豪横</t>
  </si>
  <si>
    <t>['耳朵', '小耳朵', ' ', '豪横']</t>
  </si>
  <si>
    <t>爸爸回应6岁哥哥霸气教育弟弟</t>
  </si>
  <si>
    <t>['爸爸', '回应', '6', '岁', '哥哥', '霸气', '教育', '弟弟']</t>
  </si>
  <si>
    <t>预计千万人员分批返粤</t>
  </si>
  <si>
    <t>['预计', '千万', '人员', '分批', '返粤']</t>
  </si>
  <si>
    <t>应勇 继续严格管控离汉离鄂通道</t>
  </si>
  <si>
    <t>['应勇', ' ', '继续', '严格', '管控', '离汉离', '鄂', '通道']</t>
  </si>
  <si>
    <t>衡水中学校长面对空操场演讲</t>
  </si>
  <si>
    <t>['衡水', '中学', '学校', '校长', '中学校长', '面对', '空', '操场', '演讲']</t>
  </si>
  <si>
    <t>2G网的沈腾</t>
  </si>
  <si>
    <t>['2G', '网', '的', '沈腾']</t>
  </si>
  <si>
    <t>湖北省首次辅警集体被记三等功</t>
  </si>
  <si>
    <t>['湖北', '湖北省', '首次', '辅警', '集体', '被', '记', '三等', '三等功']</t>
  </si>
  <si>
    <t>中国方法是事实证明成功的方法</t>
  </si>
  <si>
    <t>['中国', '方法', '是', '事实', '实证', '证明', '事实证明', '成功', '的', '方法']</t>
  </si>
  <si>
    <t>新冠肺炎仍非全球性流行病</t>
  </si>
  <si>
    <t>['新冠', '肺炎', '仍非', '全球', '全球性', '流行', '流行病']</t>
  </si>
  <si>
    <t>官方回应首尔飞青岛航班爆满</t>
  </si>
  <si>
    <t>['官方', '回应', '首尔', '飞', '青岛', '航班', '爆满']</t>
  </si>
  <si>
    <t>中方向日本捐赠核酸检测试剂盒</t>
  </si>
  <si>
    <t>['中', '方向', '日本', '捐赠', '核酸', '检测', '试剂', '试剂盒']</t>
  </si>
  <si>
    <t>0增长地区再观察28天才能放心</t>
  </si>
  <si>
    <t>['0', '增长', '地区', '再', '观察', '28', '天', '才能', '放心']</t>
  </si>
  <si>
    <t>江苏省一级响应调整为二级</t>
  </si>
  <si>
    <t>['江苏', '江苏省', '一级', '响应', '调整', '为', '二级']</t>
  </si>
  <si>
    <t>世卫组织称中国疫情顶峰已过</t>
  </si>
  <si>
    <t>['世卫', '组织', '称', '中国', '疫情', '顶峰', '已过']</t>
  </si>
  <si>
    <t>孙俪潜入中介卧底实习</t>
  </si>
  <si>
    <t>['孙俪', '潜入', '中介', '卧底', '实习']</t>
  </si>
  <si>
    <t>听到世卫专家评价翻译小姐姐哽咽了</t>
  </si>
  <si>
    <t>['听到', '世卫', '专家', '评价', '翻译', '小姐', '姐姐', '小姐姐', '哽咽', '了']</t>
  </si>
  <si>
    <t>杜富国寄语战疫一线妹妹</t>
  </si>
  <si>
    <t>['杜', '富国', '寄语', '战疫', '一线', '妹妹']</t>
  </si>
  <si>
    <t>郭富城母亲去世</t>
  </si>
  <si>
    <t>['郭富城', '母亲', '去世']</t>
  </si>
  <si>
    <t>韩国民众排队数百米抢购口罩</t>
  </si>
  <si>
    <t>['韩国', '民众', '排队', '数百', '百米', '数百米', '抢购', '口罩']</t>
  </si>
  <si>
    <t>易烊千玺脏脏牛仔衣</t>
  </si>
  <si>
    <t>['易', '烊', '千玺', '脏脏', '牛仔', '牛仔衣']</t>
  </si>
  <si>
    <t>上海又有7例确诊病例痊愈出院</t>
  </si>
  <si>
    <t>['上海', '又', '有', '7', '例', '确诊', '病例', '痊愈', '出院']</t>
  </si>
  <si>
    <t>2020/02/26</t>
  </si>
  <si>
    <t>叫小名测试</t>
  </si>
  <si>
    <t>['叫', '小名', '测试']</t>
  </si>
  <si>
    <t>全国累计确诊新冠肺炎78064例</t>
  </si>
  <si>
    <t>['全国', '累计', '确诊', '新冠', '肺炎', '78064', '例']</t>
  </si>
  <si>
    <t>湖北新增确诊病例401例</t>
  </si>
  <si>
    <t>['湖北', '新增', '确诊', '病例', '401', '例']</t>
  </si>
  <si>
    <t>伍佰演唱会不用自己唱</t>
  </si>
  <si>
    <t>['伍佰', '演唱', '演唱会', '不用', '自己', '唱']</t>
  </si>
  <si>
    <t>黄子韬擂台吻</t>
  </si>
  <si>
    <t>['黄子', '韬', '擂台', '吻']</t>
  </si>
  <si>
    <t>李佳琦忘记关直播</t>
  </si>
  <si>
    <t>['李佳琦', '忘记', '关', '直播']</t>
  </si>
  <si>
    <t>赖冠霖回怼网友</t>
  </si>
  <si>
    <t>['赖冠霖', '回', '怼', '网友']</t>
  </si>
  <si>
    <t>陈数 手撕渣男</t>
  </si>
  <si>
    <t>['陈数', ' ', '手', '撕', '渣', '男']</t>
  </si>
  <si>
    <t>王力宏献唱援武汉医护粉丝</t>
  </si>
  <si>
    <t>['王力宏', '献唱援', '武汉', '医护', '粉丝']</t>
  </si>
  <si>
    <t>援鄂医疗队获当地最高规格礼遇</t>
  </si>
  <si>
    <t>['援鄂', '医疗', '医疗队', '获', '当地', '最高', '规格', '礼遇']</t>
  </si>
  <si>
    <t>韩国累计确诊新冠肺炎1146例</t>
  </si>
  <si>
    <t>['韩国', '累计', '确诊', '新冠', '肺炎', '1146', '例']</t>
  </si>
  <si>
    <t>建议开学后教师戴口罩授课</t>
  </si>
  <si>
    <t>['建议', '开学', '后', '教师', '戴', '口罩', '授课']</t>
  </si>
  <si>
    <t>伊朗卫生部副部长确诊新冠肺炎</t>
  </si>
  <si>
    <t>['伊朗', '卫生', '卫生部', '副', '部长', '确诊', '新冠', '肺炎']</t>
  </si>
  <si>
    <t>十堰老人家中死亡留下6岁孙子</t>
  </si>
  <si>
    <t>['十堰', '老人', '人家', '老人家', '中', '死亡', '留下', '6', '岁', '孙子']</t>
  </si>
  <si>
    <t>武大早樱开了</t>
  </si>
  <si>
    <t>['武大', '早樱开', '了']</t>
  </si>
  <si>
    <t>首尔飞南京航班发现3名发热乘客</t>
  </si>
  <si>
    <t>['首尔', '飞', '南京', '航班', '发现', '3', '名', '发热', '乘客']</t>
  </si>
  <si>
    <t>干部未请假私自外出援建雷神山</t>
  </si>
  <si>
    <t>['干部', '未', '请假', '私自', '外出', '援建', '雷', '神山']</t>
  </si>
  <si>
    <t>社区网格员化身弹药哥</t>
  </si>
  <si>
    <t>['社区', '网格', '员', '化身', '弹药', '哥']</t>
  </si>
  <si>
    <t>东京奥运会可能会取消</t>
  </si>
  <si>
    <t>['东京', '奥运', '奥运会', '可能', '会', '取消']</t>
  </si>
  <si>
    <t>联合国秘书长感谢中国人民</t>
  </si>
  <si>
    <t>['联合', '联合国', '秘书', '秘书长', '感谢', '中国', '人民']</t>
  </si>
  <si>
    <t>奥地利首次确认2例新冠肺炎病例</t>
  </si>
  <si>
    <t>['地利', '奥地利', '首次', '确认', '2', '例新冠', '肺炎', '病例']</t>
  </si>
  <si>
    <t>房似锦 房四井</t>
  </si>
  <si>
    <t>['房', '似锦', ' ', '房四井']</t>
  </si>
  <si>
    <t>张嘉倪买超给儿子做手工</t>
  </si>
  <si>
    <t>['张嘉倪', '买超', '给', '儿子', '做', '手工']</t>
  </si>
  <si>
    <t>易烊千玺化身中戏招生办负责人</t>
  </si>
  <si>
    <t>['易', '烊', '千玺', '化身', '中', '戏', '招生', '招生办', '负责', '责人', '负责人']</t>
  </si>
  <si>
    <t>青岛机场进港旅客中韩籍旅客不到20%</t>
  </si>
  <si>
    <t>['青岛', '机场', '进港', '旅客', '中', '韩籍', '旅客', '不到', '20%']</t>
  </si>
  <si>
    <t>瑞士首例新冠肺炎病例</t>
  </si>
  <si>
    <t>['瑞士', '首例', '新冠', '肺炎', '病例']</t>
  </si>
  <si>
    <t>肖战 三十三旁白</t>
  </si>
  <si>
    <t>['肖战', ' ', '三十', '十三', '三十三', '旁白']</t>
  </si>
  <si>
    <t>因曾与确诊患者擦肩而过被传染</t>
  </si>
  <si>
    <t>['因', '曾', '与', '确诊', '患者', '擦肩', '而过', '擦肩而过', '被', '传染']</t>
  </si>
  <si>
    <t>朱一龙在胡萝卜上刻字</t>
  </si>
  <si>
    <t>['朱一龙', '在', '萝卜', '胡萝卜', '上', '刻字']</t>
  </si>
  <si>
    <t>网友治服谢广坤</t>
  </si>
  <si>
    <t>['网友', '治服', '谢广坤']</t>
  </si>
  <si>
    <t>外交部回应美称中方窃取科研成果</t>
  </si>
  <si>
    <t>['外交', '外交部', '回应', '美称', '中方', '窃取', '科研', '研成', '成果', '科研成果']</t>
  </si>
  <si>
    <t>免征湖北境内小规模纳税人增值税3个月</t>
  </si>
  <si>
    <t>['免征', '湖北', '境内', '规模', '小规模', '纳税', '纳税人', '增值', '增值税', '3', '个', '月']</t>
  </si>
  <si>
    <t>湖北一医生家中猝死未认定工伤</t>
  </si>
  <si>
    <t>['湖北', '一', '医生', '家中', '猝死', '未', '认定', '工伤']</t>
  </si>
  <si>
    <t>病毒样本快递员</t>
  </si>
  <si>
    <t>['病毒', '样本', '快递', '员']</t>
  </si>
  <si>
    <t>外交部 面对疫情中日韩应守望相助</t>
  </si>
  <si>
    <t>['外交', '外交部', ' ', '面对', '疫情', '中日', '中日韩', '应', '守望', '相助', '守望相助']</t>
  </si>
  <si>
    <t>张文宏吐槽医学专家脾气臭</t>
  </si>
  <si>
    <t>['张文宏', '吐槽', '医学', '专家', '医学专家', '脾气', '臭']</t>
  </si>
  <si>
    <t>湖北以外新增病例5例</t>
  </si>
  <si>
    <t>['湖北', '以外', '新增', '病例', '5', '例']</t>
  </si>
  <si>
    <t>李易峰为什么这样看张若昀</t>
  </si>
  <si>
    <t>['李易峰', '什么', '为什么', '这样', '看', '张若昀']</t>
  </si>
  <si>
    <t>法医谈首例新冠肺炎病例解剖</t>
  </si>
  <si>
    <t>['法医', '谈', '首例', '新冠', '肺炎', '病例', '解剖']</t>
  </si>
  <si>
    <t>意大利确诊新冠肺炎上升至323例</t>
  </si>
  <si>
    <t>['大利', '意大利', '确诊', '新冠', '肺炎', '上升', '至', '323', '例']</t>
  </si>
  <si>
    <t>李荣浩给张艺兴直播刷礼物</t>
  </si>
  <si>
    <t>['李荣浩给', '张艺兴', '直播', '刷', '礼物']</t>
  </si>
  <si>
    <t>库里下周一将复出</t>
  </si>
  <si>
    <t>['库里', '下周', '周一', '下周一', '将', '复出']</t>
  </si>
  <si>
    <t>崔英俊渣男语录</t>
  </si>
  <si>
    <t>['崔', '英俊', '渣', '男', '语录']</t>
  </si>
  <si>
    <t>退伍军人变身病毒快递员</t>
  </si>
  <si>
    <t>['退伍', '军人', '退伍军人', '变', '身', '病毒', '快递', '员']</t>
  </si>
  <si>
    <t>2020/02/27</t>
  </si>
  <si>
    <t>全国累计确诊新冠肺炎78497例</t>
  </si>
  <si>
    <t>['全国', '累计', '确诊', '新冠', '肺炎', '78497', '例']</t>
  </si>
  <si>
    <t>浙江10万只鸭子出征巴基斯坦灭蝗</t>
  </si>
  <si>
    <t>['浙江', '10', '万', '只', '鸭子', '出征', '巴基', '基斯', '巴基斯', '基斯坦', '巴基斯坦', '灭蝗']</t>
  </si>
  <si>
    <t>易烊千玺 拔枪反差萌</t>
  </si>
  <si>
    <t>['易', '烊', '千玺', ' ', '拔枪', '反差', '萌']</t>
  </si>
  <si>
    <t>钟南山 有信心四月底基本控制疫情</t>
  </si>
  <si>
    <t>['南山', '钟南山', ' ', '有', '信心', '四', '月底', '基本', '控制', '疫情']</t>
  </si>
  <si>
    <t>姐弟恋能有多快乐</t>
  </si>
  <si>
    <t>['姐弟', '姐弟恋', '能', '有', '多', '快乐']</t>
  </si>
  <si>
    <t>崔娃谈特朗普访印当场笑抽</t>
  </si>
  <si>
    <t>['崔娃谈', '特朗普', '访印', '当场', '笑', '抽']</t>
  </si>
  <si>
    <t>韩国新增334例新冠肺炎</t>
  </si>
  <si>
    <t>['韩国', '新增', '334', '例新冠', '肺炎']</t>
  </si>
  <si>
    <t>看车不打烊</t>
  </si>
  <si>
    <t>['看车', '不', '打烊']</t>
  </si>
  <si>
    <t>联合调查组调查确诊女子离汉抵京</t>
  </si>
  <si>
    <t>['联合', '调查', '调查组', '调查', '确诊', '女子', '离汉', '抵京']</t>
  </si>
  <si>
    <t>航空公司回应80名韩国人到成都</t>
  </si>
  <si>
    <t>['航空', '公司', '航空公司', '回应', '80', '名', '韩国', '人到', '成都']</t>
  </si>
  <si>
    <t>王栎鑫 全家共用一张脸</t>
  </si>
  <si>
    <t>['王栎鑫', ' ', '全家', '共用', '一张', '脸']</t>
  </si>
  <si>
    <t>金瀚回复医护粉丝你是骄傲</t>
  </si>
  <si>
    <t>['金瀚', '回复', '医护', '粉丝', '你', '是', '骄傲']</t>
  </si>
  <si>
    <t>60岁厨师被误解委屈落泪</t>
  </si>
  <si>
    <t>['60', '岁', '厨师', '被', '误解', '委屈', '落泪']</t>
  </si>
  <si>
    <t>用儿子袜子自制录网课神器</t>
  </si>
  <si>
    <t>['用', '儿子', '袜子', '自制', '录网', '课', '神器']</t>
  </si>
  <si>
    <t>阳澄湖螃蟹大量滞销</t>
  </si>
  <si>
    <t>['阳澄湖', '螃蟹', '大量', '滞销']</t>
  </si>
  <si>
    <t>疾控中心特殊地位没得到重视</t>
  </si>
  <si>
    <t>['中心', '疾控中心', '特殊', '地位', '没', '得到', '重视']</t>
  </si>
  <si>
    <t>放羊老人的硬核防疫宣传</t>
  </si>
  <si>
    <t>['放羊', '老人', '的', '硬核', '防疫', '宣传']</t>
  </si>
  <si>
    <t>张家口新增5例新冠肺炎</t>
  </si>
  <si>
    <t>['张家', '家口', '张家口', '新增', '5', '例新冠', '肺炎']</t>
  </si>
  <si>
    <t>全国累计治愈出院人数超3万</t>
  </si>
  <si>
    <t>['全国', '累计', '治愈', '出院', '人数', '超', '3', '万']</t>
  </si>
  <si>
    <t>娄艺潇 素颜挑战</t>
  </si>
  <si>
    <t>['娄艺潇', ' ', '素颜', '挑战']</t>
  </si>
  <si>
    <t>宝宝和去世狗狗同样胎记</t>
  </si>
  <si>
    <t>['宝宝', '和', '去世', '狗狗', '同样', '胎记']</t>
  </si>
  <si>
    <t>方舱小品哥团队回应网友鼓励</t>
  </si>
  <si>
    <t>['方舱', '小品', '哥', '团队', '回应', '网友', '鼓励']</t>
  </si>
  <si>
    <t>韩国新天地礼拜时禁戴口罩</t>
  </si>
  <si>
    <t>['韩国', '天地', '新天地', '礼拜', '时禁', '戴', '口罩']</t>
  </si>
  <si>
    <t>郑元畅一周不联系自动分手</t>
  </si>
  <si>
    <t>['郑元畅', '一周', '不', '联系', '自动', '分手']</t>
  </si>
  <si>
    <t>毛不易 请别把我当一个艺人</t>
  </si>
  <si>
    <t>['毛', '不易', ' ', '请别', '把', '我', '当', '一个', '艺人']</t>
  </si>
  <si>
    <t>湖北监狱回应刑满离汉问题</t>
  </si>
  <si>
    <t>['湖北', '监狱', '回应', '刑满', '离汉', '问题']</t>
  </si>
  <si>
    <t>护士差点晕倒却只心疼防护服</t>
  </si>
  <si>
    <t>['护士', '差点', '晕倒', '却', '只', '心疼', '防护', '防护服']</t>
  </si>
  <si>
    <t>方舱医院时装秀</t>
  </si>
  <si>
    <t>['方舱', '医院', '时装', '时装秀']</t>
  </si>
  <si>
    <t>一碗被撂下的方便面</t>
  </si>
  <si>
    <t>['一碗', '被', '撂下', '的', '方便', '方便面']</t>
  </si>
  <si>
    <t>北京新增10例新冠肺炎确诊病例</t>
  </si>
  <si>
    <t>['北京', '新增', '10', '例新冠', '肺炎', '确诊', '病例']</t>
  </si>
  <si>
    <t>钟南山 疫情不一定发源在中国</t>
  </si>
  <si>
    <t>['南山', '钟南山', ' ', '疫情', '不', '一定', '发源', '在', '中国']</t>
  </si>
  <si>
    <t>易烊千玺跳女团舞</t>
  </si>
  <si>
    <t>['易', '烊', '千玺', '跳', '女团', '舞']</t>
  </si>
  <si>
    <t>爱豆隔空合跳手势舞</t>
  </si>
  <si>
    <t>['爱豆', '隔', '空合', '跳', '手势', '舞']</t>
  </si>
  <si>
    <t>确诊病人进急诊科治疗致116人隔离</t>
  </si>
  <si>
    <t>['确诊', '病人', '进', '急诊', '急诊科', '治疗', '致', '116', '人', '隔离']</t>
  </si>
  <si>
    <t>美国枪击案致7人死亡</t>
  </si>
  <si>
    <t>['美国', '枪击', '枪击案', '致', '7', '人', '死亡']</t>
  </si>
  <si>
    <t>武大校长致信学生陈彦然</t>
  </si>
  <si>
    <t>['武大', '校长', '致信', '学生', '陈彦然']</t>
  </si>
  <si>
    <t>执法人员超市索要捐赠后续</t>
  </si>
  <si>
    <t>['执法', '法人', '人员', '执法人员', '超市', '索要', '捐赠', '后续']</t>
  </si>
  <si>
    <t>房似锦樊胜美苏明玉</t>
  </si>
  <si>
    <t>['房', '似锦', '樊胜', '美苏', '明玉']</t>
  </si>
  <si>
    <t>意大利新增147例新冠肺炎</t>
  </si>
  <si>
    <t>['大利', '意大利', '新增', '147', '例新冠', '肺炎']</t>
  </si>
  <si>
    <t>于朦胧陈钰琪cp感</t>
  </si>
  <si>
    <t>['于', '朦胧', '陈钰琪', 'cp', '感']</t>
  </si>
  <si>
    <t>进京公路检查站要严防死守</t>
  </si>
  <si>
    <t>['进京', '公路', '检查', '检查站', '要', '严防', '死守', '严防死守']</t>
  </si>
  <si>
    <t>肖战学长</t>
  </si>
  <si>
    <t>['肖战', '学长']</t>
  </si>
  <si>
    <t>美国现首例无法确定病源新冠患者</t>
  </si>
  <si>
    <t>['美国', '现', '首例', '无法', '确定', '病源', '新冠', '患者']</t>
  </si>
  <si>
    <t>湖北404名民辅警感染新冠肺炎</t>
  </si>
  <si>
    <t>['湖北', '404', '名民辅警', '感染', '新冠', '肺炎']</t>
  </si>
  <si>
    <t>武工大教授杨崇琪感染新冠肺炎逝世</t>
  </si>
  <si>
    <t>['武工', '大', '教授', '杨崇琪', '感染', '新冠', '肺炎', '逝世']</t>
  </si>
  <si>
    <t>蒙古国总统向中国赠送30000只羊</t>
  </si>
  <si>
    <t>['蒙古', '古国', '蒙古国', '总统', '向', '中国', '赠送', '30000', '只羊']</t>
  </si>
  <si>
    <t>2020/02/28</t>
  </si>
  <si>
    <t>孙杨听证会结果今日公布</t>
  </si>
  <si>
    <t>['孙杨', '听证', '听证会', '结果', '今日', '公布']</t>
  </si>
  <si>
    <t>崔英俊回应渣男语录</t>
  </si>
  <si>
    <t>['崔', '英俊', '回应', '渣', '男', '语录']</t>
  </si>
  <si>
    <t>科比姐姐晒新纹身</t>
  </si>
  <si>
    <t>['科比', '姐姐', '晒', '新', '纹身']</t>
  </si>
  <si>
    <t>Bella 成为让你骄傲的女孩</t>
  </si>
  <si>
    <t>['Bella', ' ', '成为', '让', '你', '骄傲', '的', '女孩']</t>
  </si>
  <si>
    <t>王源 太平洋宽肩</t>
  </si>
  <si>
    <t>['王源', ' ', '太平', '太平洋', '宽肩']</t>
  </si>
  <si>
    <t>黄晓明为baby庆生</t>
  </si>
  <si>
    <t>['黄晓明', '为', 'baby', '庆生']</t>
  </si>
  <si>
    <t>亚裔老人在意大利因疫情遭殴打</t>
  </si>
  <si>
    <t>['亚裔', '老人', '在', '大利', '意大利', '因', '疫情', '遭', '殴打']</t>
  </si>
  <si>
    <t>孙杨回应被禁赛</t>
  </si>
  <si>
    <t>['孙杨', '回应', '被', '禁赛']</t>
  </si>
  <si>
    <t>SuperM中国首封</t>
  </si>
  <si>
    <t>['SuperM', '中国', '首封']</t>
  </si>
  <si>
    <t>韩日抗击疫情中国不会缺席</t>
  </si>
  <si>
    <t>['韩日', '抗击', '疫情', '中国', '不会', '缺席']</t>
  </si>
  <si>
    <t>李现曾出演鹿晗MV</t>
  </si>
  <si>
    <t>['李现', '曾', '出演', '鹿晗', 'MV']</t>
  </si>
  <si>
    <t>古天乐签名可绕地球一圈</t>
  </si>
  <si>
    <t>['天乐', '古天乐', '签名', '可绕', '地球', '一圈']</t>
  </si>
  <si>
    <t>张文宏 预计再戴1到2个月口罩</t>
  </si>
  <si>
    <t>['张文宏', ' ', '预计', '再', '戴', '1', '到', '2', '个', '月', '口罩']</t>
  </si>
  <si>
    <t>彭于晏隔空拥抱援鄂护士</t>
  </si>
  <si>
    <t>['彭于', '晏', '隔空', '拥抱', '援鄂', '护士']</t>
  </si>
  <si>
    <t>湖北新增确诊病例318例</t>
  </si>
  <si>
    <t>['湖北', '新增', '确诊', '病例', '318', '例']</t>
  </si>
  <si>
    <t>谭德塞 中国以外地区才是最大担忧</t>
  </si>
  <si>
    <t>['谭', '德塞', ' ', '中国', '以外', '地区', '才', '是', '最大', '担忧']</t>
  </si>
  <si>
    <t>湖北女辅警抗疫一线牺牲</t>
  </si>
  <si>
    <t>['湖北', '女辅警', '抗疫', '一线', '牺牲']</t>
  </si>
  <si>
    <t>24省区市新增病例为0</t>
  </si>
  <si>
    <t>['24', '省区', '区市', '省区市', '新增', '病例', '为', '0']</t>
  </si>
  <si>
    <t>口罩还要带多久</t>
  </si>
  <si>
    <t>['口罩', '还要', '带', '多久']</t>
  </si>
  <si>
    <t>黎智英被捕</t>
  </si>
  <si>
    <t>['黎智英', '被捕']</t>
  </si>
  <si>
    <t>伍佰为什么叫伍佰</t>
  </si>
  <si>
    <t>['伍佰', '什么', '为什么', '叫', '伍佰']</t>
  </si>
  <si>
    <t>斯黛拉 我能亲你吗</t>
  </si>
  <si>
    <t>['斯黛拉', ' ', '我能', '亲', '你', '吗']</t>
  </si>
  <si>
    <t>硕士研究生招生比去年增加18.9万人</t>
  </si>
  <si>
    <t>['硕士', '研究', '研究生', '招生', '比', '去年', '增加', '18.9', '万人']</t>
  </si>
  <si>
    <t>全国累计确诊新冠肺炎78824例</t>
  </si>
  <si>
    <t>['全国', '累计', '确诊', '新冠', '肺炎', '78824', '例']</t>
  </si>
  <si>
    <t>凌晨2点的方舱医院</t>
  </si>
  <si>
    <t>['凌晨', '2', '点', '的', '方舱', '医院']</t>
  </si>
  <si>
    <t>首例新冠肺炎逝者遗体解剖报告公布</t>
  </si>
  <si>
    <t>['首例', '新冠', '肺炎', '逝者', '遗体', '解剖', '报告', '公布']</t>
  </si>
  <si>
    <t>四川村民捕捉33只蝙蝠被居家隔离</t>
  </si>
  <si>
    <t>['四川', '村民', '捕捉', '33', '只', '蝙蝠', '被', '居家', '隔离']</t>
  </si>
  <si>
    <t>孙杨被禁赛8年</t>
  </si>
  <si>
    <t>['孙杨', '被', '禁赛', '8', '年']</t>
  </si>
  <si>
    <t>印度首都骚乱已致32人死亡</t>
  </si>
  <si>
    <t>['印度', '首都', '骚乱', '已致', '32', '人', '死亡']</t>
  </si>
  <si>
    <t>廖国勋任上海市委副书记</t>
  </si>
  <si>
    <t>['廖国', '勋任', '上海', '海市', '市委', '上海市', '上海市委', '副', '书记']</t>
  </si>
  <si>
    <t>湖北以外新增确诊9例</t>
  </si>
  <si>
    <t>['湖北', '以外', '新增', '确诊', '9', '例']</t>
  </si>
  <si>
    <t>王一博水下憋气</t>
  </si>
  <si>
    <t>['王一博', '水下', '憋气']</t>
  </si>
  <si>
    <t>华为欧洲工厂将落户法国</t>
  </si>
  <si>
    <t>['华为', '欧洲', '工厂', '将', '落户', '法国']</t>
  </si>
  <si>
    <t>意大利24小时内新增250例新冠肺炎</t>
  </si>
  <si>
    <t>['大利', '意大利', '24', '小时', '内', '新增', '250', '例新冠', '肺炎']</t>
  </si>
  <si>
    <t>教育部回应高考会不会推迟</t>
  </si>
  <si>
    <t>['教育', '教育部', '回应', '高考', '会', '不会', '推迟']</t>
  </si>
  <si>
    <t>斯黛拉隔空回应崔英俊</t>
  </si>
  <si>
    <t>['斯黛拉', '隔空', '回应', '崔', '英俊']</t>
  </si>
  <si>
    <t>叶一茜澄清森蝶身高</t>
  </si>
  <si>
    <t>['叶一茜', '澄清', '森蝶', '身高']</t>
  </si>
  <si>
    <t>蔡徐坤穿秋裤了</t>
  </si>
  <si>
    <t>['蔡', '徐坤', '穿', '秋裤', '了']</t>
  </si>
  <si>
    <t>辅警防疫加班遇车祸全区人献血</t>
  </si>
  <si>
    <t>['辅警', '防疫', '加班', '遇', '车祸', '全区', '人', '献血']</t>
  </si>
  <si>
    <t>中国大使馆向大邱驰援口罩</t>
  </si>
  <si>
    <t>['中国', '国大', '大使', '使馆', '大使馆', '中国大使馆', '向', '大邱', '驰援', '口罩']</t>
  </si>
  <si>
    <t>马苏在妈妈面前毫无求生欲</t>
  </si>
  <si>
    <t>['马苏', '在', '妈妈', '面前', '毫无', '求生', '求生欲']</t>
  </si>
  <si>
    <t>女子穿火龙充气服逛商场被拦</t>
  </si>
  <si>
    <t>['女子', '穿', '火龙', '充气', '服', '商场', '逛商场', '被', '拦']</t>
  </si>
  <si>
    <t>韩国1299名新天地教徒有症状待查</t>
  </si>
  <si>
    <t>['韩国', '1299', '名', '天地', '新天地', '教徒', '有', '症状', '待查']</t>
  </si>
  <si>
    <t>任嘉伦 旱冰场</t>
  </si>
  <si>
    <t>['任嘉伦', ' ', '旱冰', '冰场', '旱冰场']</t>
  </si>
  <si>
    <t>2020/02/29</t>
  </si>
  <si>
    <t>湖北新增确诊病例423例</t>
  </si>
  <si>
    <t>['湖北', '新增', '确诊', '病例', '423', '例']</t>
  </si>
  <si>
    <t>疫情是否会影响大家工资</t>
  </si>
  <si>
    <t>['疫情', '是否', '会', '影响', '大家', '工资']</t>
  </si>
  <si>
    <t>全国累计确诊新冠肺炎79251例</t>
  </si>
  <si>
    <t>['全国', '累计', '确诊', '新冠', '肺炎', '79251', '例']</t>
  </si>
  <si>
    <t>赵露思 送命题我答的很好</t>
  </si>
  <si>
    <t>['赵露思', ' ', '送', '命题', '我答', '的', '很', '好']</t>
  </si>
  <si>
    <t>湖北以外新增确诊病例4例</t>
  </si>
  <si>
    <t>['湖北', '以外', '新增', '确诊', '病例', '4', '例']</t>
  </si>
  <si>
    <t>杨幂回复前线支援医护人员</t>
  </si>
  <si>
    <t>['杨幂', '回复', '前线', '支援', '医护', '护人', '人员', '医护人员']</t>
  </si>
  <si>
    <t>中国向伊朗派出疾控专家组</t>
  </si>
  <si>
    <t>['中国', '向', '伊朗', '派出', '疾控', '专家', '专家组']</t>
  </si>
  <si>
    <t>蒙古国向中国赠送30000只羊来了</t>
  </si>
  <si>
    <t>['蒙古', '古国', '蒙古国', '向', '中国', '赠送', '30000', '只羊来', '了']</t>
  </si>
  <si>
    <t>出院核酸转阳患者未出现传染现象</t>
  </si>
  <si>
    <t>['出院', '核酸', '转阳', '患者', '未', '出现', '传染', '现象']</t>
  </si>
  <si>
    <t>楚雨荨端木磊再同框</t>
  </si>
  <si>
    <t>['楚雨', '荨', '端木', '磊', '再', '同框']</t>
  </si>
  <si>
    <t>上半年征兵工作延至下半年</t>
  </si>
  <si>
    <t>['上半', '半年', '上半年', '征兵', '工作', '延至', '下半', '半年', '下半年']</t>
  </si>
  <si>
    <t>白客连线李治廷读绕口令</t>
  </si>
  <si>
    <t>['白客', '连线', '李治廷', '读', '口令', '绕口令']</t>
  </si>
  <si>
    <t>宋丹丹不会再演小品了</t>
  </si>
  <si>
    <t>['丹丹', '宋丹丹', '不会', '再演', '小品', '了']</t>
  </si>
  <si>
    <t>情深深雨濛濛剧组重聚</t>
  </si>
  <si>
    <t>['情', '深深', '雨', '濛濛', '剧组', '重聚']</t>
  </si>
  <si>
    <t>青岛新冠高架路与病毒同名</t>
  </si>
  <si>
    <t>['青岛', '新冠', '高架', '高架路', '与', '病毒', '同名']</t>
  </si>
  <si>
    <t>叶东烈喊话崔英俊</t>
  </si>
  <si>
    <t>['叶东烈', '喊话', '崔', '英俊']</t>
  </si>
  <si>
    <t>美国N95口罩暴涨5倍</t>
  </si>
  <si>
    <t>['美国', 'N95', '口罩', '暴涨', '5', '倍']</t>
  </si>
  <si>
    <t>英国出现首例境内感染患者</t>
  </si>
  <si>
    <t>['英国', '出现', '首例', '境内', '感染', '患者']</t>
  </si>
  <si>
    <t>美国加州出现第二例感染途径不明病例</t>
  </si>
  <si>
    <t>['美国', '加州', '出现', '第二', '第二例', '感染', '途径', '不明', '病例']</t>
  </si>
  <si>
    <t>因别车冲突两车主大打出手</t>
  </si>
  <si>
    <t>['因别', '车', '冲突', '两', '车主', '打出', '出手', '打出手', '大打出手']</t>
  </si>
  <si>
    <t>广西援汉护士脱防护服时心脏骤停</t>
  </si>
  <si>
    <t>['广西', '援汉', '护士', '脱', '防护', '防护服', '时', '心脏', '骤停']</t>
  </si>
  <si>
    <t>高考百日誓师</t>
  </si>
  <si>
    <t>['高考', '百日', '誓师']</t>
  </si>
  <si>
    <t>白客 超长绕口令挑战</t>
  </si>
  <si>
    <t>['白客', ' ', '超长', '口令', '绕口令', '挑战']</t>
  </si>
  <si>
    <t>浙江公安一个月内抓获在逃人员678名</t>
  </si>
  <si>
    <t>['浙江', '公安', '一个', '一个月', '内', '抓获', '在', '逃', '人员', '678', '名']</t>
  </si>
  <si>
    <t>一分钟画李诞</t>
  </si>
  <si>
    <t>['一分', '分钟', '一分钟', '画', '李诞']</t>
  </si>
  <si>
    <t>关晓彤第一次演戏</t>
  </si>
  <si>
    <t>['关晓彤', '第一', '一次', '第一次', '演戏']</t>
  </si>
  <si>
    <t>霍顿回应孙杨禁赛8年</t>
  </si>
  <si>
    <t>['霍顿', '回应', '孙杨', '禁赛', '8', '年']</t>
  </si>
  <si>
    <t>疫情结束我自然会silently走开</t>
  </si>
  <si>
    <t>['疫情', '结束', '我', '自然', '会', 'silently', '走开']</t>
  </si>
  <si>
    <t>世卫组织 新冠病毒源头尚不确定</t>
  </si>
  <si>
    <t>['世卫', '组织', ' ', '新冠', '病毒', '源头', '尚', '不', '确定']</t>
  </si>
  <si>
    <t>哈登回应字母哥言论</t>
  </si>
  <si>
    <t>['哈登', '回应', '字母', '哥', '言论']</t>
  </si>
  <si>
    <t>苏有朋还记得杜飞的台词</t>
  </si>
  <si>
    <t>['苏有朋', '还', '记得', '杜飞', '的', '台词']</t>
  </si>
  <si>
    <t>被沙溢沈腾笑死</t>
  </si>
  <si>
    <t>['被', '沙溢', '沈腾', '笑', '死']</t>
  </si>
  <si>
    <t>新冠肺炎全球风险级别调为非常高</t>
  </si>
  <si>
    <t>['新冠', '肺炎', '全球', '风险', '级别', '调', '为', '非常', '高']</t>
  </si>
  <si>
    <t>中国泳协支持孙杨维护合法权益</t>
  </si>
  <si>
    <t>['中国', '泳协', '支持', '孙杨', '维护', '合法', '法权', '权益', '合法权', '合法权益']</t>
  </si>
  <si>
    <t>周口副市长上任2天因公殉职</t>
  </si>
  <si>
    <t>['周口', '副', '市长', '上任', '2', '天', '因公', '殉职', '因公殉职']</t>
  </si>
  <si>
    <t>10岁女孩骑马10公里给姥姥送药</t>
  </si>
  <si>
    <t>['10', '岁', '女孩', '骑马', '10', '公里', '给', '姥姥', '送药']</t>
  </si>
  <si>
    <t>下周将是伊朗疫情爆发高峰期</t>
  </si>
  <si>
    <t>['下周', '将', '是', '伊朗', '疫情', '爆发', '高峰', '高峰期']</t>
  </si>
  <si>
    <t>内蒙古将清查涉煤违规违法问题</t>
  </si>
  <si>
    <t>['内蒙', '蒙古', '内蒙古', '将', '清查', '涉煤', '违规', '违法', '问题']</t>
  </si>
  <si>
    <t>陕西继续推迟开学时间</t>
  </si>
  <si>
    <t>['陕西', '继续', '推迟', '开学', '时间']</t>
  </si>
  <si>
    <t>澳大利亚出现下击暴流</t>
  </si>
  <si>
    <t>['大利', '利亚', '澳大利', '澳大利亚', '出现', '下击', '暴流']</t>
  </si>
  <si>
    <t>JonyJ当爸</t>
  </si>
  <si>
    <t>['JonyJ', '当爸']</t>
  </si>
  <si>
    <t>宋茜给工作人员包饺子</t>
  </si>
  <si>
    <t>['宋茜', '给', '工作', '作人', '人员', '工作人员', '包', '饺子']</t>
  </si>
  <si>
    <t>孙杨妈妈</t>
  </si>
  <si>
    <t>['孙杨', '妈妈']</t>
  </si>
  <si>
    <t>辽宁发布疫情防控分区分级名单</t>
  </si>
  <si>
    <t>['辽宁', '发布', '疫情', '防控', '分区', '分级', '名单']</t>
  </si>
  <si>
    <t>陶勇医生受伤后首次发声</t>
  </si>
  <si>
    <t>['陶勇', '医生', '受伤', '后', '首次', '发声']</t>
  </si>
  <si>
    <t>2020/03/01</t>
  </si>
  <si>
    <t>80名中国公民在俄隔离遭虐待不实</t>
  </si>
  <si>
    <t>['80', '名', '中国', '公民', '在', '俄', '隔离', '遭', '虐待', '不', '实']</t>
  </si>
  <si>
    <t>意大利奶奶对冠状病毒的8个建议</t>
  </si>
  <si>
    <t>['大利', '意大利', '奶奶', '对', '冠状', '病毒', '冠状病毒', '的', '8', '个', '建议']</t>
  </si>
  <si>
    <t>全国首例新冠肺炎病人肺移植成功</t>
  </si>
  <si>
    <t>['全国', '首例', '新冠', '肺炎', '病人', '肺', '移植', '成功']</t>
  </si>
  <si>
    <t>泰森千万美金为女儿征婚</t>
  </si>
  <si>
    <t>['泰森', '千万', '美金', '为', '女儿', '征婚']</t>
  </si>
  <si>
    <t>任嘉伦谭松韵合唱六月的雨</t>
  </si>
  <si>
    <t>['任嘉伦', '谭松韵', '合唱', '六月', '的', '雨']</t>
  </si>
  <si>
    <t>钟南山将向欧洲作视频报告</t>
  </si>
  <si>
    <t>['南山', '钟南山', '将', '向', '欧洲', '作', '视频', '报告']</t>
  </si>
  <si>
    <t>方舱医院护士美少女变身</t>
  </si>
  <si>
    <t>['方舱', '医院', '护士', '少女', '美少女', '变', '身']</t>
  </si>
  <si>
    <t>沈腾沙溢 大碗宽面</t>
  </si>
  <si>
    <t>['沈腾', '沙溢', ' ', '大碗', '宽面']</t>
  </si>
  <si>
    <t>易烊千玺眼中稳定的工作</t>
  </si>
  <si>
    <t>['易', '烊', '千玺', '眼中', '稳定', '的', '工作']</t>
  </si>
  <si>
    <t>全国累计确诊新冠肺炎79824例</t>
  </si>
  <si>
    <t>['全国', '累计', '确诊', '新冠', '肺炎', '79824', '例']</t>
  </si>
  <si>
    <t>路人偶遇民警路边吃饭鞠躬致敬</t>
  </si>
  <si>
    <t>['路', '人', '偶遇', '民警', '路边', '吃饭', '鞠躬', '致敬']</t>
  </si>
  <si>
    <t>湖北新增确诊病例570例</t>
  </si>
  <si>
    <t>['湖北', '新增', '确诊', '病例', '570', '例']</t>
  </si>
  <si>
    <t>罗晋片场秀厨艺</t>
  </si>
  <si>
    <t>['罗晋', '片场', '秀', '厨艺']</t>
  </si>
  <si>
    <t>由韩返蓉旅客因发热在成都隔离</t>
  </si>
  <si>
    <t>['由', '韩', '返蓉', '旅客', '因', '发热', '在', '成都', '隔离']</t>
  </si>
  <si>
    <t>全球股市一周蒸发6万亿美元</t>
  </si>
  <si>
    <t>['全球', '股市', '全球股市', '一周', '蒸发', '6', '万亿', '美元', '亿美元', '万亿美元']</t>
  </si>
  <si>
    <t>方舱医院读书清流哥出舱</t>
  </si>
  <si>
    <t>['方舱', '医院', '读书', '清流', '哥出', '舱']</t>
  </si>
  <si>
    <t>易烊千玺 GQ封面</t>
  </si>
  <si>
    <t>['易', '烊', '千玺', ' ', 'GQ', '封面']</t>
  </si>
  <si>
    <t>武汉首家方舱医院休舱</t>
  </si>
  <si>
    <t>['武汉', '首家', '方舱', '医院', '休舱']</t>
  </si>
  <si>
    <t>美国出现首例新冠肺炎死亡病例</t>
  </si>
  <si>
    <t>['美国', '出现', '首例', '新冠', '肺炎', '死亡', '病例']</t>
  </si>
  <si>
    <t>斯黛拉崔英俊叶东烈直播喊话</t>
  </si>
  <si>
    <t>['斯黛拉', '崔', '英俊', '叶东烈', '直播', '喊话']</t>
  </si>
  <si>
    <t>霍尊回应下巴脱臼</t>
  </si>
  <si>
    <t>['霍尊', '回应', '下巴', '脱臼']</t>
  </si>
  <si>
    <t>特朗普亲吻国旗并送上爱的抱抱</t>
  </si>
  <si>
    <t>['特朗普', '亲吻', '国旗', '并', '送', '上', '爱', '的', '抱抱']</t>
  </si>
  <si>
    <t>确诊患者私自出院散步发视频炫耀</t>
  </si>
  <si>
    <t>['确诊', '患者', '私自', '出院', '散步', '发', '视频', '炫耀']</t>
  </si>
  <si>
    <t>雷神山医院的战地婚礼</t>
  </si>
  <si>
    <t>['雷', '神山', '医院', '的', '战地', '婚礼']</t>
  </si>
  <si>
    <t>赵薇回应与林心如不合传闻</t>
  </si>
  <si>
    <t>['赵薇', '回应', '与', '林心如', '不合', '传闻']</t>
  </si>
  <si>
    <t>三月你好</t>
  </si>
  <si>
    <t>['三月', '你好']</t>
  </si>
  <si>
    <t>日本首家因疫情倒闭企业</t>
  </si>
  <si>
    <t>['日本', '首家', '因', '疫情', '倒闭', '企业']</t>
  </si>
  <si>
    <t>北京出现假冒小区出入证</t>
  </si>
  <si>
    <t>['北京', '出现', '假冒', '小区', '出入', '出入证']</t>
  </si>
  <si>
    <t>李易峰本峰的压尾指挑战</t>
  </si>
  <si>
    <t>['李易峰', '本峰', '的', '压尾指', '挑战']</t>
  </si>
  <si>
    <t>莫里斯为霍华德出头</t>
  </si>
  <si>
    <t>['莫里', '里斯', '莫里斯', '为', '霍华德', '出头']</t>
  </si>
  <si>
    <t>白岩松 防疫到了最较劲的阶段</t>
  </si>
  <si>
    <t>['白岩松', ' ', '防疫', '到', '了', '最', '较劲', '的', '阶段']</t>
  </si>
  <si>
    <t>捅刺疫情卡点工作人员嫌犯获死刑</t>
  </si>
  <si>
    <t>['捅', '刺', '疫情', '卡点', '工作', '作人', '人员', '工作人员', '嫌犯', '获', '死刑']</t>
  </si>
  <si>
    <t>意大利新增240例新冠肺炎</t>
  </si>
  <si>
    <t>['大利', '意大利', '新增', '240', '例新冠', '肺炎']</t>
  </si>
  <si>
    <t>警方通报拾荒老人遭殴打</t>
  </si>
  <si>
    <t>['警方', '通报', '拾荒', '老人', '拾荒老人', '遭', '殴打']</t>
  </si>
  <si>
    <t>拜仁球迷极端行为致比赛中断</t>
  </si>
  <si>
    <t>['拜仁', '球迷', '极端', '行为', '致', '比赛', '中断']</t>
  </si>
  <si>
    <t>4名伊朗回中国乘客抵京后观察14天</t>
  </si>
  <si>
    <t>['4', '名', '伊朗', '回', '中国', '乘客', '抵京', '后', '观察', '14', '天']</t>
  </si>
  <si>
    <t>武汉武昌方舱医院B区封舱</t>
  </si>
  <si>
    <t>['武汉', '武昌', '方舱', '医院', 'B', '区', '封舱']</t>
  </si>
  <si>
    <t>韩国累计确诊新冠肺炎3526例</t>
  </si>
  <si>
    <t>['韩国', '累计', '确诊', '新冠', '肺炎', '3526', '例']</t>
  </si>
  <si>
    <t>张继科好会聊天一男的</t>
  </si>
  <si>
    <t>['张继科', '好会', '聊天', '一男', '的']</t>
  </si>
  <si>
    <t>杨颖为前线医护粉丝送生日祝福</t>
  </si>
  <si>
    <t>['杨颖为', '前线', '医护', '粉丝', '送', '生日', '祝福']</t>
  </si>
  <si>
    <t>浓眉大帽莫兰特</t>
  </si>
  <si>
    <t>['浓眉', '大帽', '莫', '兰特']</t>
  </si>
  <si>
    <t>西藏16人救治团队全部解除医学隔离</t>
  </si>
  <si>
    <t>['西藏', '16', '人', '救治', '团队', '全部', '解除', '医学', '隔离']</t>
  </si>
  <si>
    <t>3月起明令禁止网络暴力人肉搜索</t>
  </si>
  <si>
    <t>['3', '月', '起', '明令', '禁止', '明令禁止', '网络', '暴力', '人', '肉', '搜索']</t>
  </si>
  <si>
    <t>中国将向日本捐赠5000套防护服</t>
  </si>
  <si>
    <t>['中国', '将', '向', '日本', '捐赠', '5000', '套', '防护', '防护服']</t>
  </si>
  <si>
    <t>周震南童颜的忧伤</t>
  </si>
  <si>
    <t>['周震南', '童颜', '的', '忧伤']</t>
  </si>
  <si>
    <t>2020/03/02</t>
  </si>
  <si>
    <t>模仿刘柏辛的哼翻车</t>
  </si>
  <si>
    <t>['模仿', '刘柏辛', '的', '哼', '翻车']</t>
  </si>
  <si>
    <t>甩头发换装</t>
  </si>
  <si>
    <t>['甩', '头发', '换装']</t>
  </si>
  <si>
    <t>外国人永久居留管理条例</t>
  </si>
  <si>
    <t>['外国', '国人', '外国人', '永久', '居留', '管理', '条例', '管理条例']</t>
  </si>
  <si>
    <t>马云回赠日本100万只口罩</t>
  </si>
  <si>
    <t>['马云', '回赠', '日本', '100', '万', '只', '口罩']</t>
  </si>
  <si>
    <t>沙漠蝗有侵入中国的风险</t>
  </si>
  <si>
    <t>['沙漠', '蝗有', '侵入', '中国', '的', '风险']</t>
  </si>
  <si>
    <t>中国口罩日产能产量双双突破1亿只</t>
  </si>
  <si>
    <t>['中国', '口罩', '日', '产能', '产量', '双双', '突破', '1', '亿只']</t>
  </si>
  <si>
    <t>埃塞俄比亚爆发神秘传染病</t>
  </si>
  <si>
    <t>['比亚', '埃塞俄比亚', '爆发', '神秘', '传染', '染病', '传染病']</t>
  </si>
  <si>
    <t>王嘉尔回应被催婚</t>
  </si>
  <si>
    <t>['王嘉尔', '回应', '被', '催婚']</t>
  </si>
  <si>
    <t>日本多地超市厕纸被抢购一空</t>
  </si>
  <si>
    <t>['日本', '多地', '超市', '厕纸', '被', '抢购', '抢购一空']</t>
  </si>
  <si>
    <t>一个人前后反差可以有多大</t>
  </si>
  <si>
    <t>['一个', '人', '前后', '反差', '可以', '有', '多', '大']</t>
  </si>
  <si>
    <t>全国累计确诊新冠肺炎80026例</t>
  </si>
  <si>
    <t>['全国', '累计', '确诊', '新冠', '肺炎', '80026', '例']</t>
  </si>
  <si>
    <t>湖北新增确诊病例196例</t>
  </si>
  <si>
    <t>['湖北', '新增', '确诊', '病例', '196', '例']</t>
  </si>
  <si>
    <t>刑释人员离汉抵京调查结果</t>
  </si>
  <si>
    <t>['刑释', '人员', '离汉', '抵京', '调查', '查结', '结果', '调查结果']</t>
  </si>
  <si>
    <t>湖北司法厅厅长等多人被查</t>
  </si>
  <si>
    <t>['湖北', '司法', '司法厅', '厅长', '等', '多', '人', '被', '查']</t>
  </si>
  <si>
    <t>李现刮胡子前后</t>
  </si>
  <si>
    <t>['李现', '胡子', '刮胡子', '前后']</t>
  </si>
  <si>
    <t>新冠肺炎逝者遗体解剖医生刘良</t>
  </si>
  <si>
    <t>['新冠', '肺炎', '逝者', '遗体', '解剖', '医生', '刘良']</t>
  </si>
  <si>
    <t>陈瑶收行李打脸岳绮罗</t>
  </si>
  <si>
    <t>['陈瑶收', '行李', '打', '脸岳', '绮罗']</t>
  </si>
  <si>
    <t>韩国新增确诊病例476例</t>
  </si>
  <si>
    <t>['韩国', '新增', '确诊', '病例', '476', '例']</t>
  </si>
  <si>
    <t>大连未现大量韩籍日籍人员涌入情况</t>
  </si>
  <si>
    <t>['大连', '未现', '大量', '韩籍', '日籍', '人员', '涌入', '情况']</t>
  </si>
  <si>
    <t>北京通报刑释人员离汉进京细节</t>
  </si>
  <si>
    <t>['北京', '通报', '刑释', '人员', '离汉', '进京', '细节']</t>
  </si>
  <si>
    <t>刘宇宁黑夜一束光MV</t>
  </si>
  <si>
    <t>['刘宇宁', '黑夜', '一束', '光', 'MV']</t>
  </si>
  <si>
    <t>肖战后援会再发文</t>
  </si>
  <si>
    <t>['肖战', '后援', '后援会', '再', '发文']</t>
  </si>
  <si>
    <t>陈数吐槽崔英俊</t>
  </si>
  <si>
    <t>['陈数', '吐', '槽', '崔', '英俊']</t>
  </si>
  <si>
    <t>夏之光说合肥话</t>
  </si>
  <si>
    <t>['夏之光', '说', '合肥', '话']</t>
  </si>
  <si>
    <t>罗云熙素颜</t>
  </si>
  <si>
    <t>['罗云熙', '素颜']</t>
  </si>
  <si>
    <t>张继科谁把我跳绳系上了</t>
  </si>
  <si>
    <t>['张继科', '谁', '把', '我', '跳绳', '系上', '了']</t>
  </si>
  <si>
    <t>钟南山团队谈疫情管控措施</t>
  </si>
  <si>
    <t>['南山', '钟南山', '团队', '谈', '疫情', '管控', '措施']</t>
  </si>
  <si>
    <t>中国境外累计确诊新冠肺炎7169例</t>
  </si>
  <si>
    <t>['中国', '境外', '累计', '确诊', '新冠', '肺炎', '7169', '例']</t>
  </si>
  <si>
    <t>浙江新增1例境外输入性确诊病例</t>
  </si>
  <si>
    <t>['浙江', '新增', '1', '例', '境外', '输入', '性', '确诊', '病例']</t>
  </si>
  <si>
    <t>湖北14个市州新增病例为0</t>
  </si>
  <si>
    <t>['湖北', '14', '个', '市州', '新增', '病例', '为', '0']</t>
  </si>
  <si>
    <t>李佳航 老婆说我跳舞像秧歌</t>
  </si>
  <si>
    <t>['李佳航', ' ', '老婆', '说', '我', '跳舞', '像', '秧歌']</t>
  </si>
  <si>
    <t>深圳新增由英国途经香港输入病例</t>
  </si>
  <si>
    <t>['深圳', '新增', '由', '英国', '途经', '香港', '输入', '病例']</t>
  </si>
  <si>
    <t>法国买口罩需医生开处方</t>
  </si>
  <si>
    <t>['法国', '买', '口罩', '需', '医生', '开', '处方']</t>
  </si>
  <si>
    <t>韩国首次证实新天地教徒到过武汉</t>
  </si>
  <si>
    <t>['韩国', '首次', '证实', '天地', '新天地', '教徒', '到', '过', '武汉']</t>
  </si>
  <si>
    <t>意大利议员戴口罩被嘲怒摔话筒</t>
  </si>
  <si>
    <t>['大利', '意大利', '议员', '戴', '口罩', '被', '嘲怒', '摔', '话筒']</t>
  </si>
  <si>
    <t>意大利居民拒戴口罩要自由</t>
  </si>
  <si>
    <t>['大利', '意大利', '居民', '拒戴', '口罩', '要', '自由']</t>
  </si>
  <si>
    <t>武磊造乌龙</t>
  </si>
  <si>
    <t>['武磊造', '乌龙']</t>
  </si>
  <si>
    <t>王源杂志拍摄花絮</t>
  </si>
  <si>
    <t>['王源', '杂志', '拍摄', '花絮']</t>
  </si>
  <si>
    <t>福州一在建桥梁发生梁体倒塌</t>
  </si>
  <si>
    <t>['福州', '一', '在建', '桥梁', '发生', '梁体', '倒塌']</t>
  </si>
  <si>
    <t>孙杨公布完整血样瓶</t>
  </si>
  <si>
    <t>['孙杨', '公布', '完整', '血样', '瓶']</t>
  </si>
  <si>
    <t>2020/03/03</t>
  </si>
  <si>
    <t>全国累计确诊新冠肺炎80151例</t>
  </si>
  <si>
    <t>['全国', '累计', '确诊', '新冠', '肺炎', '80151', '例']</t>
  </si>
  <si>
    <t>湖北新增确诊病例114例</t>
  </si>
  <si>
    <t>['湖北', '新增', '确诊', '病例', '114', '例']</t>
  </si>
  <si>
    <t>意大利累计确诊2036例新冠肺炎</t>
  </si>
  <si>
    <t>['大利', '意大利', '累计', '确诊', '2036', '例新冠', '肺炎']</t>
  </si>
  <si>
    <t>田芳芳 国家分配的男友来了</t>
  </si>
  <si>
    <t>['田芳芳', ' ', '国家', '分配', '的', '男友', '来', '了']</t>
  </si>
  <si>
    <t>刘柏辛回应哼翻车</t>
  </si>
  <si>
    <t>['刘柏辛', '回应', '哼', '翻车']</t>
  </si>
  <si>
    <t>空姐偶遇边伯贤帮老公要签名</t>
  </si>
  <si>
    <t>['空姐', '偶遇', '边伯贤', '帮', '老公', '要', '签名']</t>
  </si>
  <si>
    <t>国际泳联考虑将孙杨金牌罚给霍顿</t>
  </si>
  <si>
    <t>['国际', '泳联', '国际泳联', '考虑', '将', '孙', '杨', '金牌', '罚给', '霍顿']</t>
  </si>
  <si>
    <t>伊朗共确诊2336例新冠肺炎</t>
  </si>
  <si>
    <t>['伊朗', '共', '确诊', '2336', '例新冠', '肺炎']</t>
  </si>
  <si>
    <t>田芳芳 给你分配的男友来了</t>
  </si>
  <si>
    <t>['田芳芳', ' ', '给', '你', '分配', '的', '男友', '来', '了']</t>
  </si>
  <si>
    <t>朱一旦 朴实无华烤冷面</t>
  </si>
  <si>
    <t>['朱', '一旦', ' ', '朴实', '实无', '无华', '朴实无华', '烤', '冷面']</t>
  </si>
  <si>
    <t>王俊凯一秒变脸</t>
  </si>
  <si>
    <t>['王俊凯', '一秒', '变脸']</t>
  </si>
  <si>
    <t>王源欧阳娜娜都演孩子爹娘了</t>
  </si>
  <si>
    <t>['王源', '欧阳', '娜娜', '都', '演', '孩子', '爹娘', '了']</t>
  </si>
  <si>
    <t>李文亮同科室同事因新冠肺炎去世</t>
  </si>
  <si>
    <t>['李文亮', '同', '科室', '同事', '因新冠', '肺炎', '去世']</t>
  </si>
  <si>
    <t>库里的三小时发展联盟生涯</t>
  </si>
  <si>
    <t>['库里', '的', '三', '小时', '发展', '联盟', '生涯']</t>
  </si>
  <si>
    <t>去哪儿网回应5元特价机票</t>
  </si>
  <si>
    <t>['去', '哪儿', '网', '回应', '5', '元', '特价', '机票', '特价机票']</t>
  </si>
  <si>
    <t>东京奥运允许被推迟至年底举行</t>
  </si>
  <si>
    <t>['东京', '奥运', '允许', '被', '推迟', '至', '年底', '举行']</t>
  </si>
  <si>
    <t>栗子头</t>
  </si>
  <si>
    <t>['栗子', '头']</t>
  </si>
  <si>
    <t>财政部表示群众不会因费用延误救治</t>
  </si>
  <si>
    <t>['财政', '财政部', '表示', '群众', '不会', '因', '费用', '延误', '救治']</t>
  </si>
  <si>
    <t>这样宅家不无聊</t>
  </si>
  <si>
    <t>['这样', '宅家', '不', '无聊']</t>
  </si>
  <si>
    <t>安徽黄山发现两个哺乳类新物种</t>
  </si>
  <si>
    <t>['安徽', '黄山', '发现', '两个', '哺乳', '乳类', '哺乳类', '新', '物种']</t>
  </si>
  <si>
    <t>男朋友做饭像在炼丹</t>
  </si>
  <si>
    <t>['朋友', '男朋友', '做饭', '像', '在', '炼丹']</t>
  </si>
  <si>
    <t>科比遇难照泄露事件调查结果</t>
  </si>
  <si>
    <t>['科比', '遇难', '照', '泄露', '事件', '调查', '事件调查', '结果']</t>
  </si>
  <si>
    <t>克里木去世</t>
  </si>
  <si>
    <t>['克里', '克里木', '去世']</t>
  </si>
  <si>
    <t>韩国累计确诊4812例新冠肺炎</t>
  </si>
  <si>
    <t>['韩国', '累计', '确诊', '4812', '例新冠', '肺炎']</t>
  </si>
  <si>
    <t>伊朗将中国诊疗方案译成波斯语</t>
  </si>
  <si>
    <t>['伊朗', '将', '中国', '诊疗', '方案', '译成', '波斯', '波斯语']</t>
  </si>
  <si>
    <t>房似锦徐姑姑联手对付无赖</t>
  </si>
  <si>
    <t>['房', '似锦', '徐', '姑姑', '联手', '对付', '无赖']</t>
  </si>
  <si>
    <t>中国境外累计确诊新冠肺炎8774例</t>
  </si>
  <si>
    <t>['中国', '境外', '累计', '确诊', '新冠', '肺炎', '8774', '例']</t>
  </si>
  <si>
    <t>具荷拉哥哥发文</t>
  </si>
  <si>
    <t>['具荷', '拉', '哥哥', '发文']</t>
  </si>
  <si>
    <t>上海新增确诊1例新冠肺炎</t>
  </si>
  <si>
    <t>['上海', '新增', '确诊', '1', '例新冠', '肺炎']</t>
  </si>
  <si>
    <t>华南海鲜市场开始消杀工作</t>
  </si>
  <si>
    <t>['华南', '海鲜', '市场', '开始', '消杀', '工作']</t>
  </si>
  <si>
    <t>玄彬被粉丝口误笑到面壁</t>
  </si>
  <si>
    <t>['玄彬', '被', '粉丝', '口误', '笑', '到', '面壁']</t>
  </si>
  <si>
    <t>网曝肖战外公去世</t>
  </si>
  <si>
    <t>['网', '曝肖战', '外公', '去世']</t>
  </si>
  <si>
    <t>韩国新增确诊病例374例</t>
  </si>
  <si>
    <t>['韩国', '新增', '确诊', '病例', '374', '例']</t>
  </si>
  <si>
    <t>伊朗23名议员确诊新冠肺炎</t>
  </si>
  <si>
    <t>['伊朗', '23', '名', '议员', '确诊', '新冠', '肺炎']</t>
  </si>
  <si>
    <t>易烊千玺独唱版朋友请听好</t>
  </si>
  <si>
    <t>['易', '烊', '千玺', '独唱', '版', '朋友', '请', '听', '好']</t>
  </si>
  <si>
    <t>一个动作让别人明白你学的专业</t>
  </si>
  <si>
    <t>['一个', '动作', '让', '别人', '明白', '你学', '的', '专业']</t>
  </si>
  <si>
    <t>王一博 素颜</t>
  </si>
  <si>
    <t>['王一博', ' ', '素颜']</t>
  </si>
  <si>
    <t>斯黛拉踢崔英俊</t>
  </si>
  <si>
    <t>['斯黛拉', '踢', '崔', '英俊']</t>
  </si>
  <si>
    <t>中国派包机接伊朗华人回国</t>
  </si>
  <si>
    <t>['中国', '派', '包机', '接', '伊朗', '华人', '回国']</t>
  </si>
  <si>
    <t>浙江新增7例意大利输入病例</t>
  </si>
  <si>
    <t>['浙江', '新增', '7', '例', '大利', '意大利', '输入', '病例']</t>
  </si>
  <si>
    <t>吴磊王俊凯比睡眠时长</t>
  </si>
  <si>
    <t>['吴磊', '王俊凯', '比', '睡眠', '时', '长']</t>
  </si>
  <si>
    <t>2020/03/04</t>
  </si>
  <si>
    <t>塞班</t>
  </si>
  <si>
    <t>['塞班']</t>
  </si>
  <si>
    <t>中国科研团队发现新冠病毒已突变</t>
  </si>
  <si>
    <t>['中国', '科研', '团队', '发现', '新冠', '病毒', '已', '突变']</t>
  </si>
  <si>
    <t>王俊凯上网课场景</t>
  </si>
  <si>
    <t>['王俊凯', '上网', '课', '场景']</t>
  </si>
  <si>
    <t>抖音滤镜下的蔡少芬</t>
  </si>
  <si>
    <t>['抖音', '滤镜', '下', '的', '蔡少芬']</t>
  </si>
  <si>
    <t>坚决反对称新冠病毒是中国病毒</t>
  </si>
  <si>
    <t>['坚决', '反对', '称新冠', '病毒', '是', '中国', '病毒']</t>
  </si>
  <si>
    <t>杨蓉经纪公司声明</t>
  </si>
  <si>
    <t>['杨蓉', '经纪', '公司', '声明']</t>
  </si>
  <si>
    <t>易烊千玺有过喜欢的女孩子</t>
  </si>
  <si>
    <t>['易', '烊', '千玺', '有', '过', '喜欢', '的', '女孩', '孩子', '女孩子']</t>
  </si>
  <si>
    <t>俄罗斯禁止口罩等医疗物资出口</t>
  </si>
  <si>
    <t>['罗斯', '俄罗斯', '禁止', '口罩', '等', '医疗', '物资', '出口']</t>
  </si>
  <si>
    <t>范丞丞把秋裤剪八个洞</t>
  </si>
  <si>
    <t>['范丞丞', '把', '秋裤', '剪', '八个', '洞']</t>
  </si>
  <si>
    <t>火神山等恶意商标注册申请被驳回</t>
  </si>
  <si>
    <t>['火神', '山', '等', '恶意', '商标', '标注', '注册', '商标注册', '申请', '被', '驳回']</t>
  </si>
  <si>
    <t>意大利成欧洲疫情最严重国家</t>
  </si>
  <si>
    <t>['大利', '意大利', '成', '欧洲', '疫情', '最', '严重', '国家']</t>
  </si>
  <si>
    <t>何炅首谈初恋好气又好笑</t>
  </si>
  <si>
    <t>['何炅首', '谈', '初恋', '好气', '又', '好笑']</t>
  </si>
  <si>
    <t>行为艺术家乌雷去世</t>
  </si>
  <si>
    <t>['行为', '艺术', '术家', '艺术家', '乌雷', '去世']</t>
  </si>
  <si>
    <t>安倍在参议会发言时咳嗽</t>
  </si>
  <si>
    <t>['安倍', '在', '参议', '议会', '参议会', '发言', '时', '咳嗽']</t>
  </si>
  <si>
    <t>李小璐回应网红风</t>
  </si>
  <si>
    <t>['李小璐', '回应', '网红风']</t>
  </si>
  <si>
    <t>韩国累计确诊5328例新冠肺炎</t>
  </si>
  <si>
    <t>['韩国', '累计', '确诊', '5328', '例新冠', '肺炎']</t>
  </si>
  <si>
    <t>德国载1200人游轮检测结果出炉</t>
  </si>
  <si>
    <t>['德国', '载', '1200', '人', '游轮', '检测', '结果', '出炉']</t>
  </si>
  <si>
    <t>张乘乘房似锦妈联手</t>
  </si>
  <si>
    <t>['张乘', '乘房', '似锦', '妈', '联手']</t>
  </si>
  <si>
    <t>湖北新增确诊病例115例</t>
  </si>
  <si>
    <t>['湖北', '新增', '确诊', '病例', '115', '例']</t>
  </si>
  <si>
    <t>全国累计确诊新冠肺炎80270例</t>
  </si>
  <si>
    <t>['全国', '累计', '确诊', '新冠', '肺炎', '80270', '例']</t>
  </si>
  <si>
    <t>奥尼尔亮出发际线</t>
  </si>
  <si>
    <t>['尼尔', '奥尼尔', '亮出', '发际', '线']</t>
  </si>
  <si>
    <t>应注意粪尿造成气溶胶或接触传播</t>
  </si>
  <si>
    <t>['应', '注意', '粪', '尿', '造成', '溶胶', '气溶胶', '或', '接触', '传播']</t>
  </si>
  <si>
    <t>邓肯担任马刺主教练</t>
  </si>
  <si>
    <t>['邓肯', '担任', '马刺', '主教', '教练', '主教练']</t>
  </si>
  <si>
    <t>海口市委原书记被双开</t>
  </si>
  <si>
    <t>['海口', '市委', '原', '书记', '被', '双开']</t>
  </si>
  <si>
    <t>意大利累计确诊新冠肺炎2502例</t>
  </si>
  <si>
    <t>['大利', '意大利', '累计', '确诊', '新冠', '肺炎', '2502', '例']</t>
  </si>
  <si>
    <t>马伊琍素颜拉手风琴</t>
  </si>
  <si>
    <t>['马伊', '琍', '素颜拉', '手风', '风琴', '手风琴']</t>
  </si>
  <si>
    <t>张文宏预测新冠病毒最终发展</t>
  </si>
  <si>
    <t>['张文宏', '预测', '新冠', '病毒', '最终', '发展']</t>
  </si>
  <si>
    <t>李敏镐新剧预告</t>
  </si>
  <si>
    <t>['李敏', '镐', '新剧', '预告']</t>
  </si>
  <si>
    <t>北京新增两例境外输入病例</t>
  </si>
  <si>
    <t>['北京', '新增', '两例', '境外', '输入', '病例']</t>
  </si>
  <si>
    <t>2架航班载30多名意大利华侨连夜抵杭</t>
  </si>
  <si>
    <t>['2', '架', '航班', '载', '30', '多名', '大利', '意大利', '华侨', '连夜', '抵杭']</t>
  </si>
  <si>
    <t>山东任城监狱疫情事件已查清</t>
  </si>
  <si>
    <t>['山东', '任城', '监狱', '疫情', '事件', '已', '查清']</t>
  </si>
  <si>
    <t>武汉拟提拔10名战疫一线干部</t>
  </si>
  <si>
    <t>['武汉', '拟提', '提拔', '拟提拔', '10', '名战疫', '一线', '干部']</t>
  </si>
  <si>
    <t>日本累计确诊新冠肺炎患者超1000例</t>
  </si>
  <si>
    <t>['日本', '累计', '确诊', '新冠', '肺炎', '患者', '超', '1000', '例']</t>
  </si>
  <si>
    <t>韩政府将为弱势群体供1.3亿只口罩</t>
  </si>
  <si>
    <t>['政府', '韩政府', '将', '为', '弱势', '群体', '弱势群体', '供', '1.3', '亿只', '口罩']</t>
  </si>
  <si>
    <t>papi酱顺利产子</t>
  </si>
  <si>
    <t>['papi', '酱', '顺利', '产子']</t>
  </si>
  <si>
    <t>安倍在参议院发言时咳嗽</t>
  </si>
  <si>
    <t>['安倍', '在', '参议', '议院', '参议院', '发言', '时', '咳嗽']</t>
  </si>
  <si>
    <t>山东司法厅原党委书记等11人被立案</t>
  </si>
  <si>
    <t>['山东', '司法', '司法厅', '原', '党委', '书记', '党委书记', '等', '11', '人', '被', '立案']</t>
  </si>
  <si>
    <t>美国主持人</t>
  </si>
  <si>
    <t>['美国', '主持', '主持人']</t>
  </si>
  <si>
    <t>医院领导抗疫补助远超一线医护</t>
  </si>
  <si>
    <t>['医院', '领导', '抗疫', '补助', '远超', '一线', '医护']</t>
  </si>
  <si>
    <t>我以为我绑了一只土拨鼠</t>
  </si>
  <si>
    <t>['我', '以为', '我', '绑', '了', '一只', '土拨鼠']</t>
  </si>
  <si>
    <t>演技大考验</t>
  </si>
  <si>
    <t>['演技', '大', '考验']</t>
  </si>
  <si>
    <t>2020/03/05</t>
  </si>
  <si>
    <t>全国累计确诊新冠肺炎80409例</t>
  </si>
  <si>
    <t>['全国', '累计', '确诊', '新冠', '肺炎', '80409', '例']</t>
  </si>
  <si>
    <t>惊蛰</t>
  </si>
  <si>
    <t>['惊蛰']</t>
  </si>
  <si>
    <t>和爱豆一起上网课是怎样一种体验</t>
  </si>
  <si>
    <t>['和', '爱豆', '一起', '上网', '课是', '怎样', '一种', '体验']</t>
  </si>
  <si>
    <t>湖北新增确诊病例134例</t>
  </si>
  <si>
    <t>['湖北', '新增', '确诊', '病例', '134', '例']</t>
  </si>
  <si>
    <t>三生三世枕上书大结局</t>
  </si>
  <si>
    <t>['三生', '三世', '枕上', '书', '结局', '大结局']</t>
  </si>
  <si>
    <t>中国境外新冠肺炎确诊12668例</t>
  </si>
  <si>
    <t>['中国', '境外', '新冠', '肺炎', '确诊', '12668', '例']</t>
  </si>
  <si>
    <t>王俊凯我们的乐队海报</t>
  </si>
  <si>
    <t>['王俊凯', '我们', '的', '乐队', '海报']</t>
  </si>
  <si>
    <t>郭老师单曲爱情的天真</t>
  </si>
  <si>
    <t>['郭', '老师', '单曲', '爱情', '的', '天真']</t>
  </si>
  <si>
    <t>9岁女孩出院泪别医护人员</t>
  </si>
  <si>
    <t>['9', '岁', '女孩', '出院', '泪别', '医护', '护人', '人员', '医护人员']</t>
  </si>
  <si>
    <t>全国首个口罩自助售卖机</t>
  </si>
  <si>
    <t>['全国', '首个', '口罩', '自助', '售卖', '售卖机']</t>
  </si>
  <si>
    <t>于朦胧演戏眼睛受伤</t>
  </si>
  <si>
    <t>['于', '朦胧', '演戏', '眼睛', '受伤']</t>
  </si>
  <si>
    <t>美疾控中心停止公布各州确诊数</t>
  </si>
  <si>
    <t>['美', '中心', '疾控中心', '停止', '公布', '各州', '确诊', '数']</t>
  </si>
  <si>
    <t>李佳琦版manta来了</t>
  </si>
  <si>
    <t>['李佳琦版', 'manta', '来', '了']</t>
  </si>
  <si>
    <t>意大利确诊病例升至3089例</t>
  </si>
  <si>
    <t>['大利', '意大利', '确诊', '病例', '升至', '3089', '例']</t>
  </si>
  <si>
    <t>新冠病毒攻击中枢神经系统</t>
  </si>
  <si>
    <t>['新冠', '病毒', '攻击', '中枢', '神经', '中枢神经', '系统']</t>
  </si>
  <si>
    <t>四川新增确诊病例1例</t>
  </si>
  <si>
    <t>['四川', '新增', '确诊', '病例', '1', '例']</t>
  </si>
  <si>
    <t>网课多了什么同学都有</t>
  </si>
  <si>
    <t>['网课', '多', '了', '什么', '同学', '都', '有']</t>
  </si>
  <si>
    <t>北京新增1例新冠肺炎</t>
  </si>
  <si>
    <t>['北京', '新增', '1', '例新冠', '肺炎']</t>
  </si>
  <si>
    <t>美国新冠肺炎感染增至153例</t>
  </si>
  <si>
    <t>['美国', '新冠', '肺炎', '感染', '增至', '153', '例']</t>
  </si>
  <si>
    <t>专家谈出院标准是否过宽</t>
  </si>
  <si>
    <t>['专家', '谈', '出院', '标准', '是否', '过', '宽']</t>
  </si>
  <si>
    <t>中国将发射两次北斗卫星</t>
  </si>
  <si>
    <t>['中国', '将', '发射', '两次', '北斗', '卫星']</t>
  </si>
  <si>
    <t>韩国最大华人聚集城市零感染</t>
  </si>
  <si>
    <t>['韩国', '最大', '华人', '聚集', '城市', '零', '感染']</t>
  </si>
  <si>
    <t>外交部驳美主持人要中国就疫情道歉</t>
  </si>
  <si>
    <t>['外交', '外交部', '驳美', '主持', '主持人', '要', '中国', '就', '疫情', '道歉']</t>
  </si>
  <si>
    <t>肖战王一博讨论戏份</t>
  </si>
  <si>
    <t>['肖战王', '一博', '讨论', '戏份']</t>
  </si>
  <si>
    <t>陈乔恩艾伦好甜</t>
  </si>
  <si>
    <t>['陈乔恩', '艾伦', '好', '甜']</t>
  </si>
  <si>
    <t>塞班找到了</t>
  </si>
  <si>
    <t>['塞班', '找到', '了']</t>
  </si>
  <si>
    <t>香港确诊狗感染病毒</t>
  </si>
  <si>
    <t>['香港', '确诊', '狗', '感染', '病毒']</t>
  </si>
  <si>
    <t>中华鳖乌龟等不入禁食名录</t>
  </si>
  <si>
    <t>['中华', '鳖', '乌龟', '等', '不入', '禁食', '名录']</t>
  </si>
  <si>
    <t>掌中之物预告</t>
  </si>
  <si>
    <t>['掌中', '之物', '预告']</t>
  </si>
  <si>
    <t>李文亮等被追授全国防疫先进个人称号</t>
  </si>
  <si>
    <t>['李文亮', '等', '被', '追授', '全国', '防疫', '先进', '个人', '先进个人', '称号']</t>
  </si>
  <si>
    <t>又一艘公主号邮轮发生疫情</t>
  </si>
  <si>
    <t>['又', '一艘', '公主', '号', '邮轮', '发生', '疫情']</t>
  </si>
  <si>
    <t>奥运开幕式鼓励代表团派男女两旗手</t>
  </si>
  <si>
    <t>['奥运', '开幕', '开幕式', '鼓励', '代表', '代表团', '派', '男女', '两', '旗手']</t>
  </si>
  <si>
    <t>联合国前秘书长佩雷斯·德奎利亚尔去世</t>
  </si>
  <si>
    <t>['联合', '联合国', '前', '秘书', '秘书长', '佩雷斯', '·', '利亚', '亚尔', '利亚尔', '德奎利亚尔', '去世']</t>
  </si>
  <si>
    <t>中国接回1300余滞留海外的中国公民</t>
  </si>
  <si>
    <t>['中国', '接回', '1300', '余', '滞留', '海外', '的', '中国', '公民']</t>
  </si>
  <si>
    <t>方舱医院10岁男孩说太无聊</t>
  </si>
  <si>
    <t>['方舱', '医院', '10', '岁', '男孩', '说', '太', '无聊']</t>
  </si>
  <si>
    <t>陈钰琪于斌 对口型挑战</t>
  </si>
  <si>
    <t>['陈钰琪', '于斌', ' ', '对口', '口型', '对口型', '挑战']</t>
  </si>
  <si>
    <t>韩国新冠肺炎升至5766人</t>
  </si>
  <si>
    <t>['韩国', '新冠', '肺炎', '升至', '5766', '人']</t>
  </si>
  <si>
    <t>武汉一新冠肺炎患者出院后死亡</t>
  </si>
  <si>
    <t>['武汉', '一新', '冠', '肺炎', '患者', '出院', '后', '死亡']</t>
  </si>
  <si>
    <t>黄子佼孟耿如结婚</t>
  </si>
  <si>
    <t>['黄子佼', '孟耿如', '结婚']</t>
  </si>
  <si>
    <t>听到爆炸就笑女童一家定居土耳其</t>
  </si>
  <si>
    <t>['听到', '爆炸', '就', '笑', '女童', '一家', '定居', '土耳其']</t>
  </si>
  <si>
    <t>2020/03/06</t>
  </si>
  <si>
    <t>张伟丽UFC首场卫冕战</t>
  </si>
  <si>
    <t>['张伟丽', 'UFC', '首场', '卫冕', '战']</t>
  </si>
  <si>
    <t>鞋带变身</t>
  </si>
  <si>
    <t>['鞋带', '变', '身']</t>
  </si>
  <si>
    <t>13岁少年因被父亲责骂离家出走</t>
  </si>
  <si>
    <t>['13', '岁', '少年', '因', '被', '父亲', '责骂', '离家', '出走', '离家出走']</t>
  </si>
  <si>
    <t>外国小伙脱口秀展示中国抗疫</t>
  </si>
  <si>
    <t>['外国', '小伙', '脱口', '脱口秀', '展示', '中国', '抗疫']</t>
  </si>
  <si>
    <t>迪丽热巴原声哭戏</t>
  </si>
  <si>
    <t>['迪丽', '热巴', '原声', '哭', '戏']</t>
  </si>
  <si>
    <t>南医大奸杀案嫌犯被批捕</t>
  </si>
  <si>
    <t>['南', '医大', '奸杀', '案', '嫌犯', '被', '批捕']</t>
  </si>
  <si>
    <t>首次揭秘灭活新冠病毒真实形貌</t>
  </si>
  <si>
    <t>['首次', '揭秘', '灭活', '新冠', '病毒', '真实', '形貌']</t>
  </si>
  <si>
    <t>维特斯加盟湖人</t>
  </si>
  <si>
    <t>['维特', '加盟', '斯加盟', '湖人']</t>
  </si>
  <si>
    <t>陆一白准备出国</t>
  </si>
  <si>
    <t>['陆一白', '准备', '出国']</t>
  </si>
  <si>
    <t>全国累计确诊新冠肺炎80552例</t>
  </si>
  <si>
    <t>['全国', '累计', '确诊', '新冠', '肺炎', '80552', '例']</t>
  </si>
  <si>
    <t>库里复出</t>
  </si>
  <si>
    <t>['库里', '复出']</t>
  </si>
  <si>
    <t>意大利确诊病例升至3858例</t>
  </si>
  <si>
    <t>['大利', '意大利', '确诊', '病例', '升至', '3858', '例']</t>
  </si>
  <si>
    <t>4月份部分疫苗有望进入临床</t>
  </si>
  <si>
    <t>['4', '月份', '部分', '疫苗', '有望', '进入', '临床']</t>
  </si>
  <si>
    <t>因爱而强大</t>
  </si>
  <si>
    <t>['因爱', '而', '强大']</t>
  </si>
  <si>
    <t>许凯给粉丝取名Alaso</t>
  </si>
  <si>
    <t>['许凯', '给', '粉丝', '取名', 'Alaso']</t>
  </si>
  <si>
    <t>鞠婧祎 冬日</t>
  </si>
  <si>
    <t>['鞠婧', '祎', ' ', '冬日']</t>
  </si>
  <si>
    <t>全球确诊病例已达10万例</t>
  </si>
  <si>
    <t>['全球', '确诊', '病例', '已达', '10', '万例']</t>
  </si>
  <si>
    <t>陈瑶一人分饰两角</t>
  </si>
  <si>
    <t>['陈瑶', '一人', '分饰', '两角', '分饰两角']</t>
  </si>
  <si>
    <t>甘肃新增17例境外输入新冠肺炎</t>
  </si>
  <si>
    <t>['甘肃', '新增', '17', '例', '境外', '输入', '新冠', '肺炎']</t>
  </si>
  <si>
    <t>被梅姨拐卖15年的孩子找到了</t>
  </si>
  <si>
    <t>['被', '梅姨', '拐卖', '15', '年', '的', '孩子', '找到', '了']</t>
  </si>
  <si>
    <t>火神山医院累计治愈患者破千</t>
  </si>
  <si>
    <t>['火神', '山', '医院', '累计', '治愈', '患者', '破千']</t>
  </si>
  <si>
    <t>湖北除武汉外新增清零</t>
  </si>
  <si>
    <t>['湖北', '除', '武汉', '外', '新增', '清零']</t>
  </si>
  <si>
    <t>北京新增4例境外输入病例</t>
  </si>
  <si>
    <t>['北京', '新增', '4', '例', '境外', '输入', '病例']</t>
  </si>
  <si>
    <t>医生为87岁病人停下欣赏日落</t>
  </si>
  <si>
    <t>['医生', '为', '87', '岁', '病人', '停下', '欣赏', '日落']</t>
  </si>
  <si>
    <t>蒋超良辞去湖北省人大常委会主任职务</t>
  </si>
  <si>
    <t>['蒋超良', '辞去', '湖北', '湖北省', '人大', '常委', '委会', '常委会', '人大常委会', '主任', '职务']</t>
  </si>
  <si>
    <t>武汉3月底有望新增病例基本清零</t>
  </si>
  <si>
    <t>['武汉', '3', '月底', '有望', '新增', '病例', '基本', '清零']</t>
  </si>
  <si>
    <t>院领导补助高于一线被免职</t>
  </si>
  <si>
    <t>['院', '领导', '补助', '高于', '一线', '被', '免职']</t>
  </si>
  <si>
    <t>意大利皮亚琴察市长确诊</t>
  </si>
  <si>
    <t>['大利', '意大利', '皮亚琴察', '市长', '确诊']</t>
  </si>
  <si>
    <t>伊朗议长顾问因新冠肺炎去世</t>
  </si>
  <si>
    <t>['伊朗', '议长', '顾问', '因新冠', '肺炎', '去世']</t>
  </si>
  <si>
    <t>英国出现首例死亡病例</t>
  </si>
  <si>
    <t>['英国', '出现', '首例', '死亡', '病例']</t>
  </si>
  <si>
    <t>韩国新冠肺炎增至6284例</t>
  </si>
  <si>
    <t>['韩国', '新冠', '肺炎', '增至', '6284', '例']</t>
  </si>
  <si>
    <t>中国境外78国累计确诊17637例</t>
  </si>
  <si>
    <t>['中国', '境外', '78', '国', '累计', '确诊', '17637', '例']</t>
  </si>
  <si>
    <t>四川重回0新增确诊病例</t>
  </si>
  <si>
    <t>['四川', '重回', '0', '新增', '确诊', '病例']</t>
  </si>
  <si>
    <t>德国新冠肺炎确诊病例增至500例</t>
  </si>
  <si>
    <t>['德国', '新冠', '肺炎', '确诊', '病例', '增至', '500', '例']</t>
  </si>
  <si>
    <t>过半省份允许快递员测温后进小区</t>
  </si>
  <si>
    <t>['过半', '省份', '允许', '快递', '员', '测温', '后进', '小区']</t>
  </si>
  <si>
    <t>北京82.7万返京人员正居家观察</t>
  </si>
  <si>
    <t>['北京', '82.7', '万', '返京', '人员', '正', '居家', '观察']</t>
  </si>
  <si>
    <t>外交部副部长连用七个成语</t>
  </si>
  <si>
    <t>['外交', '外交部', '副', '部长', '连用', '七个', '成语']</t>
  </si>
  <si>
    <t>4条巨蜥大混战罕见现场</t>
  </si>
  <si>
    <t>['4', '条', '巨蜥', '大', '混战', '罕见', '现场']</t>
  </si>
  <si>
    <t>甘肃新增11例境外输入病例</t>
  </si>
  <si>
    <t>['甘肃', '新增', '11', '例', '境外', '输入', '病例']</t>
  </si>
  <si>
    <t>武汉居民向中央指导组隔窗举报</t>
  </si>
  <si>
    <t>['武汉', '居民', '向', '中央', '指导', '指导组', '隔窗', '举报']</t>
  </si>
  <si>
    <t>2020/03/07</t>
  </si>
  <si>
    <t>检察日报评孙杨8年禁赛</t>
  </si>
  <si>
    <t>['检察', '日报', '评孙', '杨', '8', '年', '禁赛']</t>
  </si>
  <si>
    <t>华晨宇曾推掉工作给堂哥当伴郎</t>
  </si>
  <si>
    <t>['华晨', '宇曾', '推掉', '工作', '给', '堂哥', '当', '伴郎']</t>
  </si>
  <si>
    <t>申聪强烈要求和父亲回家</t>
  </si>
  <si>
    <t>['申聪', '强烈', '要求', '强烈要求', '和', '父亲', '回家']</t>
  </si>
  <si>
    <t>超级月亮</t>
  </si>
  <si>
    <t>['超级', '月亮']</t>
  </si>
  <si>
    <t>蒋梦婕爸爸谈女儿与尹正被拍</t>
  </si>
  <si>
    <t>['蒋梦婕', '爸爸', '谈', '女儿', '与', '尹正', '被', '拍']</t>
  </si>
  <si>
    <t>詹姆斯表示如果空场拒绝打球</t>
  </si>
  <si>
    <t>['詹姆斯', '表示', '如果', '空场', '拒绝', '打球']</t>
  </si>
  <si>
    <t>申军良已抵达广州认亲</t>
  </si>
  <si>
    <t>['申军良', '已', '抵达', '广州', '认亲']</t>
  </si>
  <si>
    <t>舞蹈版找塞班</t>
  </si>
  <si>
    <t>['舞蹈', '版', '找', '塞班']</t>
  </si>
  <si>
    <t>舞蹈生是怎么上网课的</t>
  </si>
  <si>
    <t>['舞蹈', '生是', '怎么', '上网', '课', '的']</t>
  </si>
  <si>
    <t>泉州南环路一酒店倒塌</t>
  </si>
  <si>
    <t>['泉州', '环路', '南环路', '一', '酒店', '倒塌']</t>
  </si>
  <si>
    <t>郑爽关晓彤冰雪奇缘</t>
  </si>
  <si>
    <t>['郑爽', '关晓彤', '冰雪', '奇缘']</t>
  </si>
  <si>
    <t>郑爽 女生态度宣言</t>
  </si>
  <si>
    <t>['郑爽', ' ', '女生', '态度', '宣言']</t>
  </si>
  <si>
    <t>杭州辅警小姐姐全网征男朋友</t>
  </si>
  <si>
    <t>['杭州', '辅警', '小姐', '姐姐', '小姐姐', '全网', '征', '朋友', '男朋友']</t>
  </si>
  <si>
    <t>泉州欣佳酒店已抢救出34人</t>
  </si>
  <si>
    <t>['泉州', '欣佳', '酒店', '已', '抢救', '出', '34', '人']</t>
  </si>
  <si>
    <t>罗晋在线指导孙俪做饭</t>
  </si>
  <si>
    <t>['罗晋', '在线', '指导', '孙俪', '做饭']</t>
  </si>
  <si>
    <t>萌娃出门放风开心到转圈圈</t>
  </si>
  <si>
    <t>['萌娃', '出门', '放风', '开心', '到', '转圈', '圈圈', '转圈圈']</t>
  </si>
  <si>
    <t>湖人时隔七年重返季后赛</t>
  </si>
  <si>
    <t>['湖人', '时隔', '七年', '重返', '季后赛']</t>
  </si>
  <si>
    <t>泉州欣佳酒店已抢救出23人</t>
  </si>
  <si>
    <t>['泉州', '欣佳', '酒店', '已', '抢救', '出', '23', '人']</t>
  </si>
  <si>
    <t>泉州倒塌酒店系新冠肺炎隔离点</t>
  </si>
  <si>
    <t>['泉州', '倒塌', '酒店', '系新冠', '肺炎', '隔离', '点']</t>
  </si>
  <si>
    <t>全国新增确诊病例99例</t>
  </si>
  <si>
    <t>['全国', '新增', '确诊', '病例', '99', '例']</t>
  </si>
  <si>
    <t>意大利确诊病例升至4636例</t>
  </si>
  <si>
    <t>['大利', '意大利', '确诊', '病例', '升至', '4636', '例']</t>
  </si>
  <si>
    <t>八旬奶奶治愈出院下跪致谢</t>
  </si>
  <si>
    <t>['八旬', '奶奶', '治愈', '出院', '下跪', '致谢']</t>
  </si>
  <si>
    <t>詹姆斯34000分</t>
  </si>
  <si>
    <t>['詹姆斯', '34000', '分']</t>
  </si>
  <si>
    <t>华晨宇cos哪吒</t>
  </si>
  <si>
    <t>['华晨', '宇', 'cos', '哪吒']</t>
  </si>
  <si>
    <t>武汉新增确诊病例74例</t>
  </si>
  <si>
    <t>['武汉', '新增', '确诊', '病例', '74', '例']</t>
  </si>
  <si>
    <t>司法部回应外国人永久居留管理条例</t>
  </si>
  <si>
    <t>['司法', '法部', '司法部', '回应', '外国', '国人', '外国人', '永久', '居留', '管理', '条例', '管理条例']</t>
  </si>
  <si>
    <t>NBA让球队做好空场比赛的准备</t>
  </si>
  <si>
    <t>['NBA', '让', '球队', '做好', '空场', '比赛', '的', '准备']</t>
  </si>
  <si>
    <t>郑爽关掉耳机被沈腾抓包</t>
  </si>
  <si>
    <t>['郑爽', '关掉', '耳机', '被', '沈腾', '抓包']</t>
  </si>
  <si>
    <t>沈腾无脸男太好笑了</t>
  </si>
  <si>
    <t>['沈腾', '无脸', '男太', '好笑', '了']</t>
  </si>
  <si>
    <t>王大陆问林允本名</t>
  </si>
  <si>
    <t>['王', '大陆', '问林允', '本名']</t>
  </si>
  <si>
    <t>郑爽俞灏明拥抱</t>
  </si>
  <si>
    <t>['郑爽', '俞灏明', '拥抱']</t>
  </si>
  <si>
    <t>援鄂护士5岁儿子过生日不想妈妈</t>
  </si>
  <si>
    <t>['援鄂', '护士', '5', '岁', '儿子', '生日', '过生日', '不想', '妈妈']</t>
  </si>
  <si>
    <t>斯黛拉叶东烈接吻</t>
  </si>
  <si>
    <t>['斯黛拉叶', '东烈', '接吻']</t>
  </si>
  <si>
    <t>魔鬼翻唱郭德纲</t>
  </si>
  <si>
    <t>['魔鬼', '翻唱', '郭德纲']</t>
  </si>
  <si>
    <t>大邱一公寓出现46名确诊患者</t>
  </si>
  <si>
    <t>['大邱', '一', '公寓', '出现', '46', '名', '确诊', '患者']</t>
  </si>
  <si>
    <t>郑爽杨迪配合超默契</t>
  </si>
  <si>
    <t>['郑爽', '杨迪', '配合', '超', '默契']</t>
  </si>
  <si>
    <t>2020/03/08</t>
  </si>
  <si>
    <t>宋祖儿爆料吴磊是养生boy</t>
  </si>
  <si>
    <t>['宋祖儿', '爆料', '吴磊', '是', '养生', 'boy']</t>
  </si>
  <si>
    <t>张伟丽卫冕UFC世界冠军</t>
  </si>
  <si>
    <t>['张伟丽', '卫冕', 'UFC', '世界', '冠军', '世界冠军']</t>
  </si>
  <si>
    <t>张伟丽呼吁全世界一起对抗疫情</t>
  </si>
  <si>
    <t>['张伟丽', '呼吁', '世界', '全世界', '一起', '对抗', '疫情']</t>
  </si>
  <si>
    <t>国家卫健委回应抗疫补助发放标准</t>
  </si>
  <si>
    <t>['国家', '卫健委', '回应', '抗疫', '补助', '发放', '标准']</t>
  </si>
  <si>
    <t>李现 通告后台的N种打开方式</t>
  </si>
  <si>
    <t>['李现', ' ', '通告', '后台', '的', 'N', '种', '打开', '开方', '方式', '打开方式']</t>
  </si>
  <si>
    <t>王俊凯表演系最不怕表演</t>
  </si>
  <si>
    <t>['王俊凯', '表演', '表演系', '最', '不怕', '表演']</t>
  </si>
  <si>
    <t>库里感染甲型流感</t>
  </si>
  <si>
    <t>['库里', '感染', '甲型', '流感']</t>
  </si>
  <si>
    <t>全国累计确诊新冠肺炎80695例</t>
  </si>
  <si>
    <t>['全国', '累计', '确诊', '新冠', '肺炎', '80695', '例']</t>
  </si>
  <si>
    <t>目击者讲述欣佳酒店坍塌瞬间</t>
  </si>
  <si>
    <t>['目击', '目击者', '讲述', '欣佳', '酒店', '坍塌', '瞬间']</t>
  </si>
  <si>
    <t>泉州酒店坍塌事故房主已被警方控制</t>
  </si>
  <si>
    <t>['泉州', '酒店', '坍塌', '事故', '房主', '已', '被', '警方', '控制']</t>
  </si>
  <si>
    <t>意大利新增1247例新冠肺炎</t>
  </si>
  <si>
    <t>['大利', '意大利', '新增', '1247', '例新冠', '肺炎']</t>
  </si>
  <si>
    <t>全国发放112亿元稳岗返还补贴</t>
  </si>
  <si>
    <t>['全国', '发放', '112', '亿元', '稳岗', '返还', '补贴']</t>
  </si>
  <si>
    <t>丁宁遭伊藤美诚横扫</t>
  </si>
  <si>
    <t>['丁宁', '遭伊藤美诚', '横扫']</t>
  </si>
  <si>
    <t>泉州塌楼被救小伙诉说离奇遭遇</t>
  </si>
  <si>
    <t>['泉州', '塌楼', '被', '救', '小伙', '诉说', '离奇', '遭遇']</t>
  </si>
  <si>
    <t>刘亦菲献唱花木兰中文主题曲</t>
  </si>
  <si>
    <t>['刘亦菲', '献唱', '花木', '木兰', '花木兰', '中文', '主题', '主题曲']</t>
  </si>
  <si>
    <t>三八妇女节</t>
  </si>
  <si>
    <t>['三八', '妇女', '妇女节', '三八妇女节']</t>
  </si>
  <si>
    <t>申军良父子已团聚</t>
  </si>
  <si>
    <t>['申军良', '父子', '已', '团聚']</t>
  </si>
  <si>
    <t>坍塌酒店一名儿童被救出</t>
  </si>
  <si>
    <t>['坍塌', '酒店', '一名', '儿童', '被', '救出']</t>
  </si>
  <si>
    <t>韩国新增367例新冠肺炎</t>
  </si>
  <si>
    <t>['韩国', '新增', '367', '例新冠', '肺炎']</t>
  </si>
  <si>
    <t>中国政府向世卫组织捐款2000万美元</t>
  </si>
  <si>
    <t>['中国', '国政', '政府', '中国政府', '世卫', '向世卫', '组织', '捐款', '2000', '美元', '万美元']</t>
  </si>
  <si>
    <t>湖北以外新增3例均为境外输入</t>
  </si>
  <si>
    <t>['湖北', '以外', '新增', '3', '例均', '为', '境外', '输入']</t>
  </si>
  <si>
    <t>抗疫一线的妇女节</t>
  </si>
  <si>
    <t>['抗疫', '一线', '的', '妇女', '妇女节']</t>
  </si>
  <si>
    <t>泉州欣佳酒店坍塌瞬间监控视频</t>
  </si>
  <si>
    <t>['泉州', '欣佳', '酒店', '坍塌', '瞬间', '监控', '视频']</t>
  </si>
  <si>
    <t>刷我身份证</t>
  </si>
  <si>
    <t>['刷', '我', '身份', '身份证']</t>
  </si>
  <si>
    <t>高考将延期至6月26日系谣言</t>
  </si>
  <si>
    <t>['高考', '将', '延期', '至', '6', '月', '26', '日系', '谣言']</t>
  </si>
  <si>
    <t>刘亦菲倩女幽魂造型</t>
  </si>
  <si>
    <t>['刘亦菲', '倩女', '幽魂', '倩女幽魂', '造型']</t>
  </si>
  <si>
    <t>官方回应火神山援建者被收隔离费</t>
  </si>
  <si>
    <t>['官方', '回应', '火神', '山', '援建', '者', '被', '收', '隔离', '费']</t>
  </si>
  <si>
    <t>孙杨外教离开中国游泳队</t>
  </si>
  <si>
    <t>['孙杨', '外教', '离开', '中国', '游泳', '游泳队']</t>
  </si>
  <si>
    <t>申军良夫妇与被拐15年的儿子团聚</t>
  </si>
  <si>
    <t>['申军良', '夫妇', '与', '被', '拐', '15', '年', '的', '儿子', '团聚']</t>
  </si>
  <si>
    <t>朴叙俊和粉丝对喊</t>
  </si>
  <si>
    <t>['朴叙俊', '和', '粉丝', '对', '喊']</t>
  </si>
  <si>
    <t>宇红男团飞轮海</t>
  </si>
  <si>
    <t>['宇红', '男团', '飞轮', '飞轮海']</t>
  </si>
  <si>
    <t>张艺兴帅气练拳</t>
  </si>
  <si>
    <t>['张艺兴', '帅气', '练拳']</t>
  </si>
  <si>
    <t>泉州酒店坍塌事故已致10人死亡</t>
  </si>
  <si>
    <t>['泉州', '酒店', '坍塌', '事故', '已致', '10', '人', '死亡']</t>
  </si>
  <si>
    <t>南京确诊患者全部治愈</t>
  </si>
  <si>
    <t>['南京', '确诊', '患者', '全部', '治愈']</t>
  </si>
  <si>
    <t>李佳航戴朵花</t>
  </si>
  <si>
    <t>['李佳航', '戴', '朵花']</t>
  </si>
  <si>
    <t>2020/03/09</t>
  </si>
  <si>
    <t>2020年第一个超级月亮</t>
  </si>
  <si>
    <t>['2020', '年', '第一', '一个', '第一个', '超级', '月亮']</t>
  </si>
  <si>
    <t>挑战玲爷</t>
  </si>
  <si>
    <t>['挑战', '玲爷']</t>
  </si>
  <si>
    <t>瓦妮莎晒大女儿与科比GiGi壁画合影</t>
  </si>
  <si>
    <t>['瓦妮', '莎', '晒', '大', '女儿', '与', '科比', 'GiGi', '壁画', '合影']</t>
  </si>
  <si>
    <t>易烊千玺太惨了</t>
  </si>
  <si>
    <t>['易', '烊', '千玺', '太惨', '了']</t>
  </si>
  <si>
    <t>孙艺洲跳广场舞</t>
  </si>
  <si>
    <t>['孙艺洲', '跳', '广场', '舞']</t>
  </si>
  <si>
    <t>Angelababy 百变发色</t>
  </si>
  <si>
    <t>['Angelababy', ' ', '百变', '发色']</t>
  </si>
  <si>
    <t>3·15晚会将延迟播出</t>
  </si>
  <si>
    <t>['3', '·', '15', '晚会', '将', '延迟', '播出']</t>
  </si>
  <si>
    <t>全国新增确诊病例40例</t>
  </si>
  <si>
    <t>['全国', '新增', '确诊', '病例', '40', '例']</t>
  </si>
  <si>
    <t>杨紫机场防护造型</t>
  </si>
  <si>
    <t>['杨紫', '机场', '防护', '造型']</t>
  </si>
  <si>
    <t>湖北以外新增4例均为境外输入</t>
  </si>
  <si>
    <t>['湖北', '以外', '新增', '4', '例均', '为', '境外', '输入']</t>
  </si>
  <si>
    <t>泰国演员TAE是欧阳娜娜干爹</t>
  </si>
  <si>
    <t>['泰国', '演员', 'TAE', '是', '欧阳', '娜娜', '干爹']</t>
  </si>
  <si>
    <t>泰妍父亲去世</t>
  </si>
  <si>
    <t>['泰妍', '父亲', '去世']</t>
  </si>
  <si>
    <t>具荷拉哥哥起诉母亲</t>
  </si>
  <si>
    <t>['具荷', '拉', '哥哥', '起诉', '母亲']</t>
  </si>
  <si>
    <t>当虞书欣看到偶像Lisa</t>
  </si>
  <si>
    <t>['当虞书欣', '看到', '偶像', 'Lisa']</t>
  </si>
  <si>
    <t>抗疫护士连麦何炅林俊杰泪崩</t>
  </si>
  <si>
    <t>['抗疫', '护士', '连麦', '何炅', '俊杰', '林俊杰', '泪崩']</t>
  </si>
  <si>
    <t>韩国累计确诊7478例新冠肺炎</t>
  </si>
  <si>
    <t>['韩国', '累计', '确诊', '7478', '例新冠', '肺炎']</t>
  </si>
  <si>
    <t>每一步都值得</t>
  </si>
  <si>
    <t>['每', '一步', '都', '值得']</t>
  </si>
  <si>
    <t>朴宰范回应被打</t>
  </si>
  <si>
    <t>['朴宰范', '回应', '被', '打']</t>
  </si>
  <si>
    <t>全网都在上朝</t>
  </si>
  <si>
    <t>['全网', '都', '在', '上朝']</t>
  </si>
  <si>
    <t>伊朗累计确诊7161例新冠肺炎</t>
  </si>
  <si>
    <t>['伊朗', '累计', '确诊', '7161', '例新冠', '肺炎']</t>
  </si>
  <si>
    <t>宋亚轩刘耀文女团舞</t>
  </si>
  <si>
    <t>['宋亚轩', '刘耀文', '女团', '舞']</t>
  </si>
  <si>
    <t>泉州酒店坍塌事故已致11人死亡</t>
  </si>
  <si>
    <t>['泉州', '酒店', '坍塌', '事故', '已致', '11', '人', '死亡']</t>
  </si>
  <si>
    <t>贝弗利挑衅詹姆斯</t>
  </si>
  <si>
    <t>['弗利', '贝弗利', '挑衅', '詹姆斯']</t>
  </si>
  <si>
    <t>知否小姐回应人设</t>
  </si>
  <si>
    <t>['知否', '小姐', '回应', '人设']</t>
  </si>
  <si>
    <t>意大利累计确诊7375例新冠肺炎</t>
  </si>
  <si>
    <t>['大利', '意大利', '累计', '确诊', '7375', '例新冠', '肺炎']</t>
  </si>
  <si>
    <t>朱一龙 斑马手绘</t>
  </si>
  <si>
    <t>['朱一龙', ' ', '斑马', '手绘']</t>
  </si>
  <si>
    <t>吴尊发文</t>
  </si>
  <si>
    <t>['吴尊', '发文']</t>
  </si>
  <si>
    <t>父子相认后申军良首度发声</t>
  </si>
  <si>
    <t>['父子', '相认', '后', '申军良', '首度', '发声']</t>
  </si>
  <si>
    <t>瑞士不再对轻症患者进行新冠病毒检测</t>
  </si>
  <si>
    <t>['瑞士', '不再', '对轻症', '患者', '进行', '新冠', '病毒', '检测', '病毒检测']</t>
  </si>
  <si>
    <t>王一博请医护粉丝看天天向上</t>
  </si>
  <si>
    <t>['王一博请', '医护', '粉丝', '看', '天天', '向上', '天天向上']</t>
  </si>
  <si>
    <t>武汉中心医院朱和平医生感染去世</t>
  </si>
  <si>
    <t>['武汉', '中心', '医院', '中心医院', '朱', '和平', '医生', '感染', '去世']</t>
  </si>
  <si>
    <t>快递小哥出席国务院发布会</t>
  </si>
  <si>
    <t>['快递', '小哥', '出席', '国务', '国务院', '发布', '发布会']</t>
  </si>
  <si>
    <t>张萌再现张乘乘叫哥哥</t>
  </si>
  <si>
    <t>['张萌', '再现', '张乘', '乘', '叫', '哥哥']</t>
  </si>
  <si>
    <t>国乒4冠收官共捐24万美元奖金</t>
  </si>
  <si>
    <t>['国乒', '4', '冠', '收官', '共捐', '24', '美元', '万美元', '奖金']</t>
  </si>
  <si>
    <t>国乒4冠收官捐出142万奖金</t>
  </si>
  <si>
    <t>['国乒', '4', '冠', '收官', '捐出', '142', '万', '奖金']</t>
  </si>
  <si>
    <t>湖北除武汉外连续4天新增为0</t>
  </si>
  <si>
    <t>['湖北', '除', '武汉', '外', '连续', '4', '天', '新增', '为', '0']</t>
  </si>
  <si>
    <t>葡萄牙总统因新冠疫情将主动接受隔离</t>
  </si>
  <si>
    <t>['葡萄', '葡萄牙', '总统', '因新冠', '疫情', '将', '主动', '接受', '隔离']</t>
  </si>
  <si>
    <t>詹姆斯伦纳德互相单挑</t>
  </si>
  <si>
    <t>['詹姆斯', '伦纳', '伦纳德', '互相', '单挑']</t>
  </si>
  <si>
    <t>武汉中心医院眼科医师感染新冠肺炎去世</t>
  </si>
  <si>
    <t>['武汉', '中心', '医院', '中心医院', '眼科', '医师', '感染', '新冠', '肺炎', '去世']</t>
  </si>
  <si>
    <t>2020/03/10</t>
  </si>
  <si>
    <t>尿尿的正确读音</t>
  </si>
  <si>
    <t>['尿', '尿', '的', '正确', '读音']</t>
  </si>
  <si>
    <t>罗志祥经纪人回应分手传闻</t>
  </si>
  <si>
    <t>['罗志祥', '经纪', '经纪人', '回应', '分手', '传闻']</t>
  </si>
  <si>
    <t>郑恺苗苗</t>
  </si>
  <si>
    <t>['郑恺', '苗苗']</t>
  </si>
  <si>
    <t>薛之谦 解暑饭团</t>
  </si>
  <si>
    <t>['薛之谦', ' ', '解暑', '饭团']</t>
  </si>
  <si>
    <t>巴基斯坦外交部回应大翠云号被扣</t>
  </si>
  <si>
    <t>['巴基', '基斯', '巴基斯', '基斯坦', '巴基斯坦', '外交', '外交部', '回应', '大翠云', '号', '被扣']</t>
  </si>
  <si>
    <t>一个普通男孩的十年</t>
  </si>
  <si>
    <t>['一个', '普通', '男孩', '的', '十年']</t>
  </si>
  <si>
    <t>一个普通女孩的十年</t>
  </si>
  <si>
    <t>['一个', '普通', '女孩', '的', '十年']</t>
  </si>
  <si>
    <t>欧阳娜娜三姐妹练舞花絮</t>
  </si>
  <si>
    <t>['欧阳', '娜娜', '三', '姐妹', '练舞', '花絮']</t>
  </si>
  <si>
    <t>泉州酒店被困及遇难者名单公布</t>
  </si>
  <si>
    <t>['泉州', '酒店', '被困', '及', '遇难', '难者', '遇难者', '名单', '公布']</t>
  </si>
  <si>
    <t>美股史上第二次熔断</t>
  </si>
  <si>
    <t>['美股史', '上', '第二', '二次', '第二次', '熔断']</t>
  </si>
  <si>
    <t>肖战王一博小碎步花絮</t>
  </si>
  <si>
    <t>['肖战王', '一博小', '碎步', '花絮']</t>
  </si>
  <si>
    <t>挑战不用手穿裤子</t>
  </si>
  <si>
    <t>['挑战', '不用', '手穿', '裤子']</t>
  </si>
  <si>
    <t>最后的外卖弹唱挑战</t>
  </si>
  <si>
    <t>['最后', '的', '外卖', '弹唱', '挑战']</t>
  </si>
  <si>
    <t>北京供暖延长至3月22日</t>
  </si>
  <si>
    <t>['北京', '供暖', '延长', '至', '3', '月', '22', '日']</t>
  </si>
  <si>
    <t>泉州酒店一男子68小时后被救出</t>
  </si>
  <si>
    <t>['泉州', '酒店', '一', '男子', '68', '小时', '后', '被', '救出']</t>
  </si>
  <si>
    <t>花木兰世界首映礼</t>
  </si>
  <si>
    <t>['花木', '木兰', '花木兰', '世界', '首映', '首映礼']</t>
  </si>
  <si>
    <t>意大利封闭全国</t>
  </si>
  <si>
    <t>['大利', '意大利', '封闭', '全国']</t>
  </si>
  <si>
    <t>全国新增确诊病例19例</t>
  </si>
  <si>
    <t>['全国', '新增', '确诊', '病例', '19', '例']</t>
  </si>
  <si>
    <t>迪丽热巴射箭</t>
  </si>
  <si>
    <t>['迪丽', '热巴', '射箭']</t>
  </si>
  <si>
    <t>张博洋回应白凯南抄袭</t>
  </si>
  <si>
    <t>['张博洋', '回应', '白', '凯南', '抄袭']</t>
  </si>
  <si>
    <t>武汉方舱医院全部休舱</t>
  </si>
  <si>
    <t>['武汉', '方舱', '医院', '全部', '休舱']</t>
  </si>
  <si>
    <t>上海新增2例输入型新冠肺炎确诊病例</t>
  </si>
  <si>
    <t>['上海', '新增', '2', '例', '输入', '型', '新冠', '肺炎', '确诊', '病例']</t>
  </si>
  <si>
    <t>EXO成员为疫情捐款</t>
  </si>
  <si>
    <t>['EXO', '成员', '为', '疫情', '捐款']</t>
  </si>
  <si>
    <t>泉州酒店坍塌事故已致20人死亡</t>
  </si>
  <si>
    <t>['泉州', '酒店', '坍塌', '事故', '已致', '20', '人', '死亡']</t>
  </si>
  <si>
    <t>新乡一轿车疑恶意撞击执法人员</t>
  </si>
  <si>
    <t>['新乡', '一', '轿车', '疑', '恶意', '撞击', '执法', '法人', '人员', '执法人员']</t>
  </si>
  <si>
    <t>被困52小时母子获救</t>
  </si>
  <si>
    <t>['被困', '52', '小时', '母子', '获救']</t>
  </si>
  <si>
    <t>潜江将全面恢复生产生活秩序</t>
  </si>
  <si>
    <t>['潜江', '将', '全面', '恢复', '生产', '生活', '秩序']</t>
  </si>
  <si>
    <t>金圣柱入伍</t>
  </si>
  <si>
    <t>['金圣柱', '入伍']</t>
  </si>
  <si>
    <t>美股熔断</t>
  </si>
  <si>
    <t>['美股', '熔断']</t>
  </si>
  <si>
    <t>隔离英文怎么讲</t>
  </si>
  <si>
    <t>['隔离', '英文', '怎么', '讲']</t>
  </si>
  <si>
    <t>帽子拍大片</t>
  </si>
  <si>
    <t>['帽子', '拍', '大片']</t>
  </si>
  <si>
    <t>时代少年团 Jopping</t>
  </si>
  <si>
    <t>['时代', '少年', '团', ' ', 'Jopping']</t>
  </si>
  <si>
    <t>全球性流行病威胁已成现实</t>
  </si>
  <si>
    <t>['全球', '全球性', '流行', '流行病', '威胁', '已成', '现实']</t>
  </si>
  <si>
    <t>刘耀文私生 追踪器</t>
  </si>
  <si>
    <t>['刘耀文', '私生', ' ', '追踪', '器']</t>
  </si>
  <si>
    <t>姜潮给老婆做爱心午餐</t>
  </si>
  <si>
    <t>['姜潮', '给', '老婆', '做', '爱心', '午餐']</t>
  </si>
  <si>
    <t>2020/03/11</t>
  </si>
  <si>
    <t>当老师把语音发错群</t>
  </si>
  <si>
    <t>['当', '老师', '把', '语音', '发错', '群']</t>
  </si>
  <si>
    <t>王源这辈子都不可能剪寸头了</t>
  </si>
  <si>
    <t>['王源', '辈子', '这辈子', '都', '不', '可能', '剪', '寸头', '了']</t>
  </si>
  <si>
    <t>面对室友秀恩爱易烊千玺的反应</t>
  </si>
  <si>
    <t>['面对', '室友', '秀', '恩爱', '易', '烊', '千玺', '的', '反应']</t>
  </si>
  <si>
    <t>穆雅斓称推荐产品获诺贝尔化妆学奖</t>
  </si>
  <si>
    <t>['穆雅斓', '称', '推荐', '产品', '获', '诺贝', '贝尔', '诺贝尔', '化妆', '学奖']</t>
  </si>
  <si>
    <t>易烊千玺 要不要参加前任的婚礼</t>
  </si>
  <si>
    <t>['易', '烊', '千玺', ' ', '要', '不要', '参加', '前任', '的', '婚礼']</t>
  </si>
  <si>
    <t>听说照片镜面翻转一下就好看了</t>
  </si>
  <si>
    <t>['听说', '照片', '镜面', '翻转', '一下', '就', '好看', '了']</t>
  </si>
  <si>
    <t>专利守护母爱传承</t>
  </si>
  <si>
    <t>['专利', '守护', '母爱', '传承']</t>
  </si>
  <si>
    <t>泉州酒店坍塌事故初步调查结果</t>
  </si>
  <si>
    <t>['泉州', '酒店', '坍塌', '事故', '初步', '调查', '查结', '结果', '调查结果']</t>
  </si>
  <si>
    <t>张柏芝</t>
  </si>
  <si>
    <t>['张柏芝']</t>
  </si>
  <si>
    <t>浓眉错失绝杀杜兰特表情亮了</t>
  </si>
  <si>
    <t>['浓眉', '错失', '绝杀', '兰特', '杜兰特', '表情', '亮', '了']</t>
  </si>
  <si>
    <t>于朦胧面具手势挑战</t>
  </si>
  <si>
    <t>['于', '朦胧', '面具', '手势', '挑战']</t>
  </si>
  <si>
    <t>王一博偷偷检查美貌</t>
  </si>
  <si>
    <t>['王一博', '偷偷', '检查', '美貌']</t>
  </si>
  <si>
    <t>炎亚纶 飞轮海私下不会联络</t>
  </si>
  <si>
    <t>['炎亚纶', ' ', '飞轮', '飞轮海', '私下', '不会', '联络']</t>
  </si>
  <si>
    <t>央视专访网红志愿者大连</t>
  </si>
  <si>
    <t>['央视', '专访', '网红', '志愿', '愿者', '志愿者', '大连']</t>
  </si>
  <si>
    <t>90后鸡司令花样致敬白衣天使</t>
  </si>
  <si>
    <t>['90', '后', '鸡', '司令', '花样', '致敬', '白衣', '天使', '白衣天使']</t>
  </si>
  <si>
    <t>全国新增确诊病例24例</t>
  </si>
  <si>
    <t>['全国', '新增', '确诊', '病例', '24', '例']</t>
  </si>
  <si>
    <t>消防员让女子踩自己走出坍塌楼体</t>
  </si>
  <si>
    <t>['消防', '消防员', '让', '女子', '踩', '自己', '走出', '坍塌', '楼体']</t>
  </si>
  <si>
    <t>女明星吃饭和我吃饭的区别</t>
  </si>
  <si>
    <t>['明星', '女明星', '吃饭', '和', '我', '吃饭', '的', '区别']</t>
  </si>
  <si>
    <t>意大利累计确诊10149例新冠肺炎</t>
  </si>
  <si>
    <t>['大利', '意大利', '累计', '确诊', '10149', '例新冠', '肺炎']</t>
  </si>
  <si>
    <t>北京新增6例境外输入病例</t>
  </si>
  <si>
    <t>['北京', '新增', '6', '例', '境外', '输入', '病例']</t>
  </si>
  <si>
    <t>浩睿颖</t>
  </si>
  <si>
    <t>['浩睿颖']</t>
  </si>
  <si>
    <t>泉州坍塌酒店发现大量现金</t>
  </si>
  <si>
    <t>['泉州', '坍塌', '酒店', '发现', '大量', '现金']</t>
  </si>
  <si>
    <t>纽约州启用囚犯生产洗手液</t>
  </si>
  <si>
    <t>['纽约', '纽约州', '启用', '囚犯', '生产', '洗手', '洗手液']</t>
  </si>
  <si>
    <t>意大利紧急求助中国</t>
  </si>
  <si>
    <t>['大利', '意大利', '紧急', '求助', '中国']</t>
  </si>
  <si>
    <t>伊朗累计确诊新冠肺炎9000例</t>
  </si>
  <si>
    <t>['伊朗', '累计', '确诊', '新冠', '肺炎', '9000', '例']</t>
  </si>
  <si>
    <t>90岁母亲陪护了4天4夜的儿子离世</t>
  </si>
  <si>
    <t>['90', '岁', '母亲', '陪护', '了', '4', '天', '4', '夜', '的', '儿子', '离世']</t>
  </si>
  <si>
    <t>罗志祥 罗可爱</t>
  </si>
  <si>
    <t>['罗志祥', ' ', '罗', '可爱']</t>
  </si>
  <si>
    <t>印度当街烧新冠病毒怪物塑像</t>
  </si>
  <si>
    <t>['印度', '当街', '烧新冠', '病毒', '怪物', '塑像']</t>
  </si>
  <si>
    <t>美国民众无视政府警告坚持邮轮旅行</t>
  </si>
  <si>
    <t>['美国', '民众', '无视', '政府', '警告', '坚持', '邮轮', '旅行']</t>
  </si>
  <si>
    <t>BIGBANG与YG续约</t>
  </si>
  <si>
    <t>['BIGBANG', '与', 'YG', '续约']</t>
  </si>
  <si>
    <t>詹姆斯回应不愿空场打球</t>
  </si>
  <si>
    <t>['詹姆斯', '回应', '不愿', '空场', '打球']</t>
  </si>
  <si>
    <t>山东出现首例境外输入病例</t>
  </si>
  <si>
    <t>['山东', '出现', '首例', '境外', '输入', '病例']</t>
  </si>
  <si>
    <t>易烊千玺把面包煎糊了</t>
  </si>
  <si>
    <t>['易', '烊', '千玺', '把', '面包', '煎糊', '了']</t>
  </si>
  <si>
    <t>2020/03/12</t>
  </si>
  <si>
    <t>全国新增确诊病例15例</t>
  </si>
  <si>
    <t>['全国', '新增', '确诊', '病例', '15', '例']</t>
  </si>
  <si>
    <t>鞠婧祎吃一口面包嚼30多下</t>
  </si>
  <si>
    <t>['鞠婧', '祎', '吃', '一口', '面包', '嚼', '30', '多下']</t>
  </si>
  <si>
    <t>挑战鞠婧祎吃面包</t>
  </si>
  <si>
    <t>['挑战', '鞠婧', '祎', '吃', '面包']</t>
  </si>
  <si>
    <t>杜海涛妈妈在线夸沈梦辰</t>
  </si>
  <si>
    <t>['杜', '海涛', '妈妈', '在线', '夸沈梦辰']</t>
  </si>
  <si>
    <t>papi酱晒产后全家福</t>
  </si>
  <si>
    <t>['papi', '酱', '晒', '产后', '全家', '全家福']</t>
  </si>
  <si>
    <t>拉尼娜或即将降临地球</t>
  </si>
  <si>
    <t>['拉尼', '娜', '或', '即将', '降临', '地球']</t>
  </si>
  <si>
    <t>湖北新增8例新冠肺炎</t>
  </si>
  <si>
    <t>['湖北', '新增', '8', '例新冠', '肺炎']</t>
  </si>
  <si>
    <t>中国以外累计确诊新冠肺炎37371例</t>
  </si>
  <si>
    <t>['中国', '以外', '累计', '确诊', '新冠', '肺炎', '37371', '例']</t>
  </si>
  <si>
    <t>贝克汉姆二儿子罗密欧公开恋情</t>
  </si>
  <si>
    <t>['贝克', '贝克汉姆', '二', '儿子', '罗密欧', '公开', '恋情']</t>
  </si>
  <si>
    <t>闭眼玩潜水艇游戏</t>
  </si>
  <si>
    <t>['闭眼', '玩', '潜水', '潜水艇', '游戏']</t>
  </si>
  <si>
    <t>卫健委 我国本轮疫情流行高峰已过</t>
  </si>
  <si>
    <t>['卫健委', ' ', '我国', '本轮', '疫情', '流行', '高峰', '已过']</t>
  </si>
  <si>
    <t>意大利新冠肺炎累计确诊12462例</t>
  </si>
  <si>
    <t>['大利', '意大利', '新冠', '肺炎', '累计', '确诊', '12462', '例']</t>
  </si>
  <si>
    <t>中国专家组带31吨物资驰援意大利</t>
  </si>
  <si>
    <t>['中国', '专家', '专家组', '带', '31', '吨', '物资', '驰援', '大利', '意大利']</t>
  </si>
  <si>
    <t>钟南山 6月份结束疫情是可以期待的</t>
  </si>
  <si>
    <t>['南山', '钟南山', ' ', '6', '月份', '结束', '疫情', '是', '可以', '期待', '的']</t>
  </si>
  <si>
    <t>C罗队友确诊新冠肺炎</t>
  </si>
  <si>
    <t>['C', '罗', '队友', '确诊', '新冠', '肺炎']</t>
  </si>
  <si>
    <t>烧烤店留守员工花式烧烤</t>
  </si>
  <si>
    <t>['烧烤', '烧烤店', '留守', '员工', '花式', '烧烤']</t>
  </si>
  <si>
    <t>汤姆汉克斯夫妇确诊新冠肺炎</t>
  </si>
  <si>
    <t>['汤姆', '克斯', '汉克斯', '夫妇', '确诊', '新冠', '肺炎']</t>
  </si>
  <si>
    <t>武汉市青山区副区长被党纪立案审查</t>
  </si>
  <si>
    <t>['武汉', '武汉市', '青山', '山区', '青山区', '区长', '副区长', '被', '党纪', '立案', '审查']</t>
  </si>
  <si>
    <t>意大利驻欧盟大使称只有中国回应我们</t>
  </si>
  <si>
    <t>['大利', '意大利', '驻', '欧盟', '大使', '称', '只有', '中国', '回应', '我们']</t>
  </si>
  <si>
    <t>NBA宣布停赛</t>
  </si>
  <si>
    <t>['NBA', '宣布', '停赛']</t>
  </si>
  <si>
    <t>张伟丽被强制医疗停赛2个月</t>
  </si>
  <si>
    <t>['张伟丽', '被', '强制', '医疗', '停赛', '2', '个', '月']</t>
  </si>
  <si>
    <t>邦尼妈妈太气人了</t>
  </si>
  <si>
    <t>['邦尼', '妈妈', '太气', '人', '了']</t>
  </si>
  <si>
    <t>泉州酒店坍塌致29死</t>
  </si>
  <si>
    <t>['泉州', '酒店', '坍塌', '致', '29', '死']</t>
  </si>
  <si>
    <t>蔡徐坤 过年别找我吃瓜</t>
  </si>
  <si>
    <t>['蔡', '徐坤', ' ', '过年', '别找我', '吃瓜']</t>
  </si>
  <si>
    <t>于正曝女演员换衣服被偷拍勒索</t>
  </si>
  <si>
    <t>['于', '正', '曝', '演员', '女演员', '换衣', '衣服', '换衣服', '被', '偷拍', '勒索']</t>
  </si>
  <si>
    <t>钟南山团队连线美国ICU团队</t>
  </si>
  <si>
    <t>['南山', '钟南山', '团队', '连线', '美国', 'ICU', '团队']</t>
  </si>
  <si>
    <t>当你上网课不小心打开了摄像头</t>
  </si>
  <si>
    <t>['当', '你', '上网', '课', '不', '小心', '打开', '了', '摄像', '像头', '摄像头']</t>
  </si>
  <si>
    <t>声控主播楠故露脸</t>
  </si>
  <si>
    <t>['声控', '主播', '楠故', '露脸']</t>
  </si>
  <si>
    <t>彭冠英张含韵</t>
  </si>
  <si>
    <t>['彭', '冠英', '张含韵']</t>
  </si>
  <si>
    <t>哈登怒喊我回来了</t>
  </si>
  <si>
    <t>['哈登', '怒', '喊', '我', '回来', '了']</t>
  </si>
  <si>
    <t>范丞丞科目一考两次都没考过</t>
  </si>
  <si>
    <t>['范丞丞', '科目', '一考', '两次', '都', '没', '考过']</t>
  </si>
  <si>
    <t>王源 终究是逃不过网课</t>
  </si>
  <si>
    <t>['王源', ' ', '终究', '是', '不过', '逃不过', '网课']</t>
  </si>
  <si>
    <t>C罗将接受新冠病毒检测</t>
  </si>
  <si>
    <t>['C', '罗将', '接受', '新冠', '病毒', '检测', '病毒检测']</t>
  </si>
  <si>
    <t>伊朗新冠肺炎累计确诊病例破万</t>
  </si>
  <si>
    <t>['伊朗', '新冠', '肺炎', '累计', '确诊', '病例', '破万']</t>
  </si>
  <si>
    <t>刘能赵四把谢广坤逼成啥样了</t>
  </si>
  <si>
    <t>['刘能', '赵四', '把', '谢广坤', '逼成', '啥样', '了']</t>
  </si>
  <si>
    <t>菲律宾马尼拉紧急封城</t>
  </si>
  <si>
    <t>['菲律宾', '尼拉', '马尼拉', '紧急', '封城']</t>
  </si>
  <si>
    <t>张含韵否认与彭冠英恋情</t>
  </si>
  <si>
    <t>['张含韵', '否认', '与', '彭', '冠英', '恋情']</t>
  </si>
  <si>
    <t>爵士中锋戈贝尔确诊新冠肺炎</t>
  </si>
  <si>
    <t>['爵士', '中锋', '贝尔', '戈贝尔', '确诊', '新冠', '肺炎']</t>
  </si>
  <si>
    <t>2020/03/13</t>
  </si>
  <si>
    <t>检察日报评肖战事件</t>
  </si>
  <si>
    <t>['检察', '日报', '评肖战', '事件']</t>
  </si>
  <si>
    <t>刘亦菲蹲地上和小朋友聊天</t>
  </si>
  <si>
    <t>['刘亦菲', '蹲', '地上', '和', '朋友', '小朋友', '聊天']</t>
  </si>
  <si>
    <t>2020年清明节放假安排</t>
  </si>
  <si>
    <t>['2020', '年', '清明', '清明节', '放假', '安排']</t>
  </si>
  <si>
    <t>被回南天支配的恐惧</t>
  </si>
  <si>
    <t>['被', '南天', '回南天', '支配', '的', '恐惧']</t>
  </si>
  <si>
    <t>郑州输入病例否认故意隐瞒出境史</t>
  </si>
  <si>
    <t>['郑州', '输入', '病例', '否认', '故意', '隐瞒', '出境', '史']</t>
  </si>
  <si>
    <t>浪胃仙红雨 万物皆可冰淇淋</t>
  </si>
  <si>
    <t>['浪胃', '仙红雨', ' ', '万物', '皆', '可', '冰淇淋']</t>
  </si>
  <si>
    <t>全国新增确诊病例8例</t>
  </si>
  <si>
    <t>['全国', '新增', '确诊', '病例', '8', '例']</t>
  </si>
  <si>
    <t>戈贝尔道歉</t>
  </si>
  <si>
    <t>['贝尔', '戈贝尔', '道歉']</t>
  </si>
  <si>
    <t>挑战全网最难拇指跳远</t>
  </si>
  <si>
    <t>['挑战', '全网', '最', '难', '拇指', '跳远']</t>
  </si>
  <si>
    <t>秀出新花样</t>
  </si>
  <si>
    <t>['秀出', '新花', '花样', '新花样']</t>
  </si>
  <si>
    <t>泉州一家五口遇难时的姿势</t>
  </si>
  <si>
    <t>['泉州', '一家', '五口', '遇难', '时', '的', '姿势']</t>
  </si>
  <si>
    <t>安家哭死我了</t>
  </si>
  <si>
    <t>['安家', '哭', '死', '我', '了']</t>
  </si>
  <si>
    <t>网友全程记录中国包机从伊朗回国</t>
  </si>
  <si>
    <t>['网友', '全程', '记录', '中国', '包机', '从', '伊朗', '回国']</t>
  </si>
  <si>
    <t>动作猜偶像</t>
  </si>
  <si>
    <t>['动作', '猜', '偶像']</t>
  </si>
  <si>
    <t>意大利报纸登中国医护人员照片</t>
  </si>
  <si>
    <t>['大利', '意大利', '报纸', '登', '中国', '医护', '护人', '人员', '医护人员', '照片']</t>
  </si>
  <si>
    <t>宋仲基推倒与宋慧乔原婚房盖新楼</t>
  </si>
  <si>
    <t>['宋仲基', '推倒', '与', '宋慧乔', '原婚', '房盖', '新楼']</t>
  </si>
  <si>
    <t>范丞丞被夸好紧张</t>
  </si>
  <si>
    <t>['范丞丞', '被', '夸好', '紧张']</t>
  </si>
  <si>
    <t>伊朗新增1289例新冠肺炎</t>
  </si>
  <si>
    <t>['伊朗', '新增', '1289', '例新冠', '肺炎']</t>
  </si>
  <si>
    <t>詹姆斯在家观看詹韦连线</t>
  </si>
  <si>
    <t>['詹姆斯', '在家', '观看', '詹韦', '连线']</t>
  </si>
  <si>
    <t>张乘乘生孩子</t>
  </si>
  <si>
    <t>['张乘', '乘生', '孩子']</t>
  </si>
  <si>
    <t>意大利新增确诊2651例</t>
  </si>
  <si>
    <t>['大利', '意大利', '新增', '确诊', '2651', '例']</t>
  </si>
  <si>
    <t>谢广坤全网首次道歉</t>
  </si>
  <si>
    <t>['谢广坤', '全网', '首次', '道歉']</t>
  </si>
  <si>
    <t>宝石老舅直播收徒</t>
  </si>
  <si>
    <t>['宝石', '老舅', '直播', '收徒']</t>
  </si>
  <si>
    <t>还有比谢广坤更气人的吗</t>
  </si>
  <si>
    <t>['还有', '比谢', '广坤', '更气', '人', '的', '吗']</t>
  </si>
  <si>
    <t>老妈催睡觉想起谢广坤发飙</t>
  </si>
  <si>
    <t>['老妈', '催', '睡觉', '想起', '谢广坤', '发飙']</t>
  </si>
  <si>
    <t>美股周内再度触发熔断</t>
  </si>
  <si>
    <t>['美股', '周内', '再度', '触发', '熔断']</t>
  </si>
  <si>
    <t>意大利大使吐槽欧盟</t>
  </si>
  <si>
    <t>['大利', '意大利', '大使', '吐槽', '欧盟']</t>
  </si>
  <si>
    <t>中国以外累计确诊新冠肺炎44067例</t>
  </si>
  <si>
    <t>['中国', '以外', '累计', '确诊', '新冠', '肺炎', '44067', '例']</t>
  </si>
  <si>
    <t>加拿大总理妻子确诊新冠肺炎</t>
  </si>
  <si>
    <t>['加拿', '加拿大', '总理', '妻子', '确诊', '新冠', '肺炎']</t>
  </si>
  <si>
    <t>欧足联或宣布欧洲杯推迟至2021</t>
  </si>
  <si>
    <t>['足联', '欧足联', '或', '宣布', '欧洲', '欧洲杯', '推迟', '至', '2021']</t>
  </si>
  <si>
    <t>邓紫棋教何超莲唱歌</t>
  </si>
  <si>
    <t>['邓紫棋', '教何', '超莲', '唱歌']</t>
  </si>
  <si>
    <t>特朗普将宣布国家进入紧急状态</t>
  </si>
  <si>
    <t>['特朗普', '将', '宣布', '国家', '进入', '紧急', '状态', '紧急状态']</t>
  </si>
  <si>
    <t>易烊千玺想拥有所有超能力</t>
  </si>
  <si>
    <t>['易', '烊', '千玺', '想', '拥有', '所有', '超能', '能力', '超能力']</t>
  </si>
  <si>
    <t>韩国新冠肺炎增至7979例</t>
  </si>
  <si>
    <t>['韩国', '新冠', '肺炎', '增至', '7979', '例']</t>
  </si>
  <si>
    <t>2020/03/14</t>
  </si>
  <si>
    <t>浪胃仙模仿鞠婧祎吃面包</t>
  </si>
  <si>
    <t>['浪胃', '仙', '模仿', '鞠婧', '祎', '吃', '面包']</t>
  </si>
  <si>
    <t>周扬青否认黑罗志祥</t>
  </si>
  <si>
    <t>['周扬青', '否认', '黑罗志祥']</t>
  </si>
  <si>
    <t>布朗尼兄妹三人一起营业</t>
  </si>
  <si>
    <t>['布朗', '尼', '兄妹', '三人', '一起', '营业']</t>
  </si>
  <si>
    <t>英国 群体免疫</t>
  </si>
  <si>
    <t>['英国', ' ', '群体', '免疫']</t>
  </si>
  <si>
    <t>全国新增确诊病例11例</t>
  </si>
  <si>
    <t>['全国', '新增', '确诊', '病例', '11', '例']</t>
  </si>
  <si>
    <t>意大利首席医务官因新冠肺炎去世</t>
  </si>
  <si>
    <t>['大利', '意大利', '首席', '医务', '官因', '新冠', '肺炎', '去世']</t>
  </si>
  <si>
    <t>陈赫 没朋友牌泡面秘方</t>
  </si>
  <si>
    <t>['陈赫', ' ', '没', '朋友', '牌', '泡面', '秘方']</t>
  </si>
  <si>
    <t>钟南山院士笑了</t>
  </si>
  <si>
    <t>['南山', '钟南山', '院士', '笑', '了']</t>
  </si>
  <si>
    <t>特朗普宣布国家紧急状态应对疫情</t>
  </si>
  <si>
    <t>['特朗普', '宣布', '国家', '紧急', '状态', '紧急状态', '应对', '疫情']</t>
  </si>
  <si>
    <t>宝石老舅再回应版权风波</t>
  </si>
  <si>
    <t>['宝石', '老舅', '再', '回应', '版权', '风波']</t>
  </si>
  <si>
    <t>北京新增1例境外输入确诊病例</t>
  </si>
  <si>
    <t>['北京', '新增', '1', '例', '境外', '输入', '确诊', '病例']</t>
  </si>
  <si>
    <t>火锅店第一批客人报复性吃喝</t>
  </si>
  <si>
    <t>['火锅', '火锅店', '第一', '一批', '第一批', '客人', '报复', '复性', '报复性', '吃喝']</t>
  </si>
  <si>
    <t>孝感一幼儿家中死亡其母被带走</t>
  </si>
  <si>
    <t>['孝感', '一', '幼儿', '家中', '死亡', '其母', '被', '带走']</t>
  </si>
  <si>
    <t>李易峰同款拖地舞</t>
  </si>
  <si>
    <t>['李易峰', '同款', '拖地', '舞']</t>
  </si>
  <si>
    <t>巴西总统称新冠病毒检测呈阴性</t>
  </si>
  <si>
    <t>['巴西', '总统', '称新冠', '病毒', '检测', '病毒检测', '呈', '阴性']</t>
  </si>
  <si>
    <t>伊朗新增新冠肺炎病例1365例</t>
  </si>
  <si>
    <t>['伊朗', '新增', '新冠', '肺炎', '病例', '1365', '例']</t>
  </si>
  <si>
    <t>巴西总统曾与特朗普共进晚餐</t>
  </si>
  <si>
    <t>['巴西', '总统', '曾', '与', '特朗普', '共', '晚餐', '进晚餐']</t>
  </si>
  <si>
    <t>甘肃新增3例境外输入确诊病例</t>
  </si>
  <si>
    <t>['甘肃', '新增', '3', '例', '境外', '输入', '确诊', '病例']</t>
  </si>
  <si>
    <t>薛之谦教你蛋包饭</t>
  </si>
  <si>
    <t>['薛之谦教', '你', '蛋包', '包饭', '蛋包饭']</t>
  </si>
  <si>
    <t>意大利卫生部副部长确诊新冠肺炎</t>
  </si>
  <si>
    <t>['大利', '意大利', '卫生', '卫生部', '副', '部长', '确诊', '新冠', '肺炎']</t>
  </si>
  <si>
    <t>返京确诊女子在美3次被拒绝检测</t>
  </si>
  <si>
    <t>['返京', '确诊', '女子', '在', '美', '3', '次', '被', '拒绝', '检测']</t>
  </si>
  <si>
    <t>宝宝见到街上有人影激动到结巴</t>
  </si>
  <si>
    <t>['宝宝', '见到', '街上', '有', '人影', '激动', '到', '结巴']</t>
  </si>
  <si>
    <t>陈钰琪火锅涮榴莲</t>
  </si>
  <si>
    <t>['陈钰琪', '火锅', '涮', '榴莲']</t>
  </si>
  <si>
    <t>西班牙政府将宣布封锁全国</t>
  </si>
  <si>
    <t>['政府', '西班牙', '西班牙政府', '将', '宣布', '封锁', '全国']</t>
  </si>
  <si>
    <t>湖南岳阳筛查发现5名无症状感染者</t>
  </si>
  <si>
    <t>['湖', '南岳', '阳', '筛查', '发现', '5', '名', '症状', '无症状', '感染', '感染者']</t>
  </si>
  <si>
    <t>意大利新增确诊2547例</t>
  </si>
  <si>
    <t>['大利', '意大利', '新增', '确诊', '2547', '例']</t>
  </si>
  <si>
    <t>日本导演把南京抗疫拍成防疫教材</t>
  </si>
  <si>
    <t>['日本', '导演', '把', '南京', '抗疫', '拍成', '防疫', '教材']</t>
  </si>
  <si>
    <t>希腊取消奥运圣火传递</t>
  </si>
  <si>
    <t>['希腊', '取消', '奥运', '圣火', '传递']</t>
  </si>
  <si>
    <t>民警用火锅和恋爱劝下轻生女</t>
  </si>
  <si>
    <t>['民警', '用', '火锅', '和', '恋爱', '劝下', '轻生', '轻生女']</t>
  </si>
  <si>
    <t>巴西总统确诊新冠肺炎</t>
  </si>
  <si>
    <t>['巴西', '总统', '确诊', '新冠', '肺炎']</t>
  </si>
  <si>
    <t>陈立农华晨宇颜值合体变王俊凯</t>
  </si>
  <si>
    <t>['陈立农', '华晨', '宇颜值', '合体', '变王俊凯']</t>
  </si>
  <si>
    <t>库里不敢咳嗽</t>
  </si>
  <si>
    <t>['库里', '不敢', '咳嗽']</t>
  </si>
  <si>
    <t>穆雅斓说的富勒烯是什么</t>
  </si>
  <si>
    <t>['穆雅斓', '说', '的', '富勒烯', '是', '什么']</t>
  </si>
  <si>
    <t>李现和BGM的适配度测试</t>
  </si>
  <si>
    <t>['李现', '和', 'BGM', '的', '适配', '度', '测试']</t>
  </si>
  <si>
    <t>2020/03/15</t>
  </si>
  <si>
    <t>张文宏称疫情今夏结束基本已不可能</t>
  </si>
  <si>
    <t>['张文宏', '称', '疫情', '今夏', '结束', '基本', '已', '不', '可能']</t>
  </si>
  <si>
    <t>改无线网密码后被邻居质问</t>
  </si>
  <si>
    <t>['改', '无线', '线网', '无线网', '密码', '后', '被', '邻居', '质问']</t>
  </si>
  <si>
    <t>张伟丽谈家暴</t>
  </si>
  <si>
    <t>['张伟丽谈', '家暴']</t>
  </si>
  <si>
    <t>罗志祥看直播刷飞机</t>
  </si>
  <si>
    <t>['罗志祥', '看', '直播', '刷', '飞机']</t>
  </si>
  <si>
    <t>全国新增新冠肺炎20例</t>
  </si>
  <si>
    <t>['全国', '新增', '新冠', '肺炎', '20', '例']</t>
  </si>
  <si>
    <t>特朗普新冠病毒测试结果呈阴性</t>
  </si>
  <si>
    <t>['特朗普', '新冠', '病毒', '测试', '结果', '呈', '阴性']</t>
  </si>
  <si>
    <t>江西农大教授种出38色油菜花</t>
  </si>
  <si>
    <t>['江西', '农大', '教授', '种出', '38', '色', '油菜', '菜花', '油菜花']</t>
  </si>
  <si>
    <t>被潘贵雨气死</t>
  </si>
  <si>
    <t>['被', '潘贵雨', '气死']</t>
  </si>
  <si>
    <t>武大樱花直播</t>
  </si>
  <si>
    <t>['武大', '樱花', '直播']</t>
  </si>
  <si>
    <t>5名大学生手拉手救人两人溺亡</t>
  </si>
  <si>
    <t>['5', '名', '大学', '学生', '大学生', '手拉', '拉手', '手拉手', '救人', '两人', '溺亡']</t>
  </si>
  <si>
    <t>北京小汤山医院所有医疗设备就位</t>
  </si>
  <si>
    <t>['北京', '小汤', '小汤山', '医院', '所有', '医疗', '设备', '就位']</t>
  </si>
  <si>
    <t>麦迪娜被姜潮抢风头</t>
  </si>
  <si>
    <t>['麦迪娜', '被', '姜潮', '抢', '风头']</t>
  </si>
  <si>
    <t>315</t>
  </si>
  <si>
    <t>['315']</t>
  </si>
  <si>
    <t>意大利新增确诊3497例</t>
  </si>
  <si>
    <t>['大利', '意大利', '新增', '确诊', '3497', '例']</t>
  </si>
  <si>
    <t>张伟丽回应嘴炮质疑</t>
  </si>
  <si>
    <t>['张伟丽', '回应', '嘴炮', '质疑']</t>
  </si>
  <si>
    <t>英国将自我隔离70岁以上老人</t>
  </si>
  <si>
    <t>['英国', '将', '自我', '隔离', '70', '岁', '以上', '老人']</t>
  </si>
  <si>
    <t>到底是EGM还是EDM</t>
  </si>
  <si>
    <t>['到底', '是', 'EGM', '还是', 'EDM']</t>
  </si>
  <si>
    <t>dou嗨小蚂蚁</t>
  </si>
  <si>
    <t>['dou', '嗨', '蚂蚁', '小蚂蚁']</t>
  </si>
  <si>
    <t>隐瞒境外回国事实河南焦作4人被拘</t>
  </si>
  <si>
    <t>['隐瞒', '境外', '回国', '事实', '河南', '焦作', '4', '人', '被', '拘']</t>
  </si>
  <si>
    <t>王子文长发</t>
  </si>
  <si>
    <t>['王子', '文', '长发']</t>
  </si>
  <si>
    <t>西班牙首相妻子已确诊新冠肺炎</t>
  </si>
  <si>
    <t>['西班牙', '首相', '妻子', '已', '确诊', '新冠', '肺炎']</t>
  </si>
  <si>
    <t>北京新增5例境外输入病例</t>
  </si>
  <si>
    <t>['北京', '新增', '5', '例', '境外', '输入', '病例']</t>
  </si>
  <si>
    <t>上海新增1例意大利输入病例</t>
  </si>
  <si>
    <t>['上海', '新增', '1', '例', '大利', '意大利', '输入', '病例']</t>
  </si>
  <si>
    <t>中国以外新冠肺炎确诊61518例</t>
  </si>
  <si>
    <t>['中国', '以外', '新冠', '肺炎', '确诊', '61518', '例']</t>
  </si>
  <si>
    <t>伊朗女副总统康复</t>
  </si>
  <si>
    <t>['伊朗', '女', '副', '总统', '康复']</t>
  </si>
  <si>
    <t>娜扎表演做作</t>
  </si>
  <si>
    <t>['娜', '扎', '表演', '做作']</t>
  </si>
  <si>
    <t>王栎鑫和女儿暖心合唱</t>
  </si>
  <si>
    <t>['王栎鑫', '和', '女儿', '暖心', '合唱']</t>
  </si>
  <si>
    <t>筛查新冠肺炎查出早期肺癌</t>
  </si>
  <si>
    <t>['筛查', '新冠', '肺炎', '查出', '早期', '肺癌']</t>
  </si>
  <si>
    <t>罗马上空响起义勇军进行曲</t>
  </si>
  <si>
    <t>['罗马', '上空', '响起', '义勇', '义勇军', '进行', '进行曲']</t>
  </si>
  <si>
    <t>AC教小霸王跳舞</t>
  </si>
  <si>
    <t>['AC', '教', '霸王', '小霸王', '跳舞']</t>
  </si>
  <si>
    <t>张伟丽谈乔安娜整形</t>
  </si>
  <si>
    <t>['张伟丽', '谈乔', '安娜', '整形']</t>
  </si>
  <si>
    <t>广东一搅拌车侧翻压扁小车</t>
  </si>
  <si>
    <t>['广东', '一', '搅拌', '搅拌车', '侧翻', '压扁', '小车']</t>
  </si>
  <si>
    <t>王栎鑫唱墙头之歌吐槽老婆</t>
  </si>
  <si>
    <t>['王栎鑫', '唱', '墙头', '之歌', '吐', '槽', '老婆']</t>
  </si>
  <si>
    <t>小朋友你是否有很多问号</t>
  </si>
  <si>
    <t>['朋友', '小朋友', '你', '是否', '有', '很多', '问号']</t>
  </si>
  <si>
    <t>伊朗新增新冠肺炎病例1209例</t>
  </si>
  <si>
    <t>['伊朗', '新增', '新冠', '肺炎', '病例', '1209', '例']</t>
  </si>
  <si>
    <t>张伟丽卫冕前曾水中毒</t>
  </si>
  <si>
    <t>['张伟丽', '卫冕', '前', '曾', '水中', '中毒', '水中毒']</t>
  </si>
  <si>
    <t>全国11省区现有确诊病例清零</t>
  </si>
  <si>
    <t>['全国', '11', '省区', '现有', '确诊', '病例', '清零']</t>
  </si>
  <si>
    <t>郭聪明直播拯救音痴</t>
  </si>
  <si>
    <t>['郭', '聪明', '直播', '拯救', '音痴']</t>
  </si>
  <si>
    <t>孝感警方通报社区幼女死亡</t>
  </si>
  <si>
    <t>['孝感', '警方', '通报', '社区', '幼女', '死亡']</t>
  </si>
  <si>
    <t>NBA球星米切尔发视频报平安</t>
  </si>
  <si>
    <t>['NBA', '球星', '切尔', '米切尔', '发', '视频', '平安', '报平安']</t>
  </si>
  <si>
    <t>2020/03/16</t>
  </si>
  <si>
    <t>全国新增新冠肺炎16例</t>
  </si>
  <si>
    <t>['全国', '新增', '新冠', '肺炎', '16', '例']</t>
  </si>
  <si>
    <t>82岁犯罪嫌疑人涉重大刑事案在逃</t>
  </si>
  <si>
    <t>['82', '岁', '犯罪', '嫌疑', '嫌疑人', '涉', '重大', '刑事', '刑事案', '在', '逃']</t>
  </si>
  <si>
    <t>古巨基当爸</t>
  </si>
  <si>
    <t>['古巨基', '当爸']</t>
  </si>
  <si>
    <t>秦霄贤 家里困难还迟到</t>
  </si>
  <si>
    <t>['秦霄贤', ' ', '家里', '困难', '还', '迟到']</t>
  </si>
  <si>
    <t>武汉仍有社区散发病例</t>
  </si>
  <si>
    <t>['武汉', '仍', '有', '社区', '散发', '病例']</t>
  </si>
  <si>
    <t>小范闲再遇林婉儿</t>
  </si>
  <si>
    <t>['小范', '闲再', '遇林婉儿']</t>
  </si>
  <si>
    <t>被隔离女子坚持要喝矿泉水</t>
  </si>
  <si>
    <t>['被', '隔离', '女子', '坚持', '要', '喝', '矿泉', '泉水', '矿泉水']</t>
  </si>
  <si>
    <t>宁静晒户口本回应国籍</t>
  </si>
  <si>
    <t>['宁静', '晒', '户口', '户口本', '回应', '国籍']</t>
  </si>
  <si>
    <t>唐艺昕承认怀孕</t>
  </si>
  <si>
    <t>['唐艺昕', '承认', '怀孕']</t>
  </si>
  <si>
    <t>王一博夸赞女生戴头盔</t>
  </si>
  <si>
    <t>['王一博', '夸赞', '女生', '戴', '头盔']</t>
  </si>
  <si>
    <t>赵志伟 没恋爱没出轨</t>
  </si>
  <si>
    <t>['赵志伟', ' ', '没', '恋爱', '没', '出轨']</t>
  </si>
  <si>
    <t>房似锦断绝家庭关系</t>
  </si>
  <si>
    <t>['房', '似锦', '断绝', '家庭', '关系']</t>
  </si>
  <si>
    <t>时光与你都很甜大结局</t>
  </si>
  <si>
    <t>['时光', '与', '你', '都', '很甜', '结局', '大结局']</t>
  </si>
  <si>
    <t>郭聪明高火火的嘴有多快</t>
  </si>
  <si>
    <t>['郭', '聪明', '高火火', '的', '嘴', '有', '多', '快']</t>
  </si>
  <si>
    <t>意大利市长辱华道歉</t>
  </si>
  <si>
    <t>['大利', '意大利', '市长', '辱华', '道歉']</t>
  </si>
  <si>
    <t>美国新冠肺炎确诊病例超3200例</t>
  </si>
  <si>
    <t>['美国', '新冠', '肺炎', '确诊', '病例', '超', '3200', '例']</t>
  </si>
  <si>
    <t>GET健康战疫新姿势</t>
  </si>
  <si>
    <t>['GET', '健康', '战疫', '新', '姿势']</t>
  </si>
  <si>
    <t>王牌家族回应浙江援鄂医护人员</t>
  </si>
  <si>
    <t>['王牌', '家族', '回应', '浙江', '援鄂', '医护', '护人', '人员', '医护人员']</t>
  </si>
  <si>
    <t>宋亚轩与四年前的自己合唱</t>
  </si>
  <si>
    <t>['宋亚轩', '与', '四年', '前', '的', '自己', '合唱']</t>
  </si>
  <si>
    <t>创造营2020官宣宋茜</t>
  </si>
  <si>
    <t>['创造', '营', '2020', '官宣', '宋茜']</t>
  </si>
  <si>
    <t>金靖锻炼vs金卡戴珊锻炼</t>
  </si>
  <si>
    <t>['金靖', '锻炼', 'vs', '金卡', '戴', '珊', '锻炼']</t>
  </si>
  <si>
    <t>意大利新增3590例新冠肺炎</t>
  </si>
  <si>
    <t>['大利', '意大利', '新增', '3590', '例新冠', '肺炎']</t>
  </si>
  <si>
    <t>塞尔维亚总统 能提供帮助的只有中国</t>
  </si>
  <si>
    <t>['塞尔', '维亚', '塞尔维', '塞尔维亚', '总统', ' ', '能', '提供', '帮助', '的', '只有', '中国']</t>
  </si>
  <si>
    <t>张雨剑说虞书欣疯疯癫癫</t>
  </si>
  <si>
    <t>['张雨剑', '说', '虞书欣', '疯疯', '疯癫', '疯疯癫癫']</t>
  </si>
  <si>
    <t>国外确诊病例超过中国</t>
  </si>
  <si>
    <t>['国外', '确诊', '病例', '超过', '中国']</t>
  </si>
  <si>
    <t>美媒称或有100万美国人将感染新冠</t>
  </si>
  <si>
    <t>['美媒称', '或', '有', '100', '万', '美国', '人', '将', '感染', '新冠']</t>
  </si>
  <si>
    <t>韩国新增74例新冠肺炎确诊病例</t>
  </si>
  <si>
    <t>['韩国', '新增', '74', '例新冠', '肺炎', '确诊', '病例']</t>
  </si>
  <si>
    <t>华晨宇 世界上有五种辣</t>
  </si>
  <si>
    <t>['华晨', '宇', ' ', '世界', '上', '有', '五种', '辣']</t>
  </si>
  <si>
    <t>改无线网密码被邻居质问</t>
  </si>
  <si>
    <t>['改', '无线', '线网', '无线网', '密码', '被', '邻居', '质问']</t>
  </si>
  <si>
    <t>学生交水泥地上写的作业</t>
  </si>
  <si>
    <t>['学生', '交', '水泥', '地上', '写', '的', '作业']</t>
  </si>
  <si>
    <t>周震南 迷之口音</t>
  </si>
  <si>
    <t>['周震南', ' ', '迷', '之', '口音']</t>
  </si>
  <si>
    <t>老师回应学生交水泥地上写的作业</t>
  </si>
  <si>
    <t>['老师', '回应', '学生', '交', '水泥', '地上', '写', '的', '作业']</t>
  </si>
  <si>
    <t>2020/03/17</t>
  </si>
  <si>
    <t>四种声音唱惊雷</t>
  </si>
  <si>
    <t>['四种', '声音', '唱', '惊雷']</t>
  </si>
  <si>
    <t>苹果被罚款11亿欧元</t>
  </si>
  <si>
    <t>['苹果', '被', '罚款', '11', '亿', '欧元']</t>
  </si>
  <si>
    <t>人民日报评邱晨</t>
  </si>
  <si>
    <t>['人民', '日报', '人民日报', '评邱晨']</t>
  </si>
  <si>
    <t>赵丽颖名誉权案一审胜诉</t>
  </si>
  <si>
    <t>['赵丽颖', '名誉', '名誉权', '一审', '案一审', '胜诉']</t>
  </si>
  <si>
    <t>惊雷</t>
  </si>
  <si>
    <t>['惊雷']</t>
  </si>
  <si>
    <t>陈赫首晒一家四口</t>
  </si>
  <si>
    <t>['陈赫首', '晒', '一家', '四口']</t>
  </si>
  <si>
    <t>张伟丽 隔离非要喝矿泉水太气人</t>
  </si>
  <si>
    <t>['张伟丽', ' ', '隔离', '非要', '喝', '矿泉', '泉水', '矿泉水', '太气', '人']</t>
  </si>
  <si>
    <t>张伟丽回应滞留美国</t>
  </si>
  <si>
    <t>['张伟丽', '回应', '滞留', '美国']</t>
  </si>
  <si>
    <t>澳籍华人女子返京拒绝隔离被辞退</t>
  </si>
  <si>
    <t>['澳籍', '华人', '女子', '返京', '拒绝', '隔离', '被', '辞退']</t>
  </si>
  <si>
    <t>在美华人喊话张伟丽来我家</t>
  </si>
  <si>
    <t>['在', '华人', '美华人', '喊话', '张伟丽来', '我家']</t>
  </si>
  <si>
    <t>重组新冠疫苗获批启动临床试验</t>
  </si>
  <si>
    <t>['重组', '新冠', '疫苗', '获批', '启动', '临床', '试验', '临床试验']</t>
  </si>
  <si>
    <t>全国新增新冠肺炎21例</t>
  </si>
  <si>
    <t>['全国', '新增', '新冠', '肺炎', '21', '例']</t>
  </si>
  <si>
    <t>张伟丽许美达唠家常</t>
  </si>
  <si>
    <t>['张伟丽许', '美达', '唠', '家常']</t>
  </si>
  <si>
    <t>张伟丽怼隔离坚持喝矿泉水女子</t>
  </si>
  <si>
    <t>['张伟丽', '怼', '隔离', '坚持', '喝', '矿泉', '泉水', '矿泉水', '女子']</t>
  </si>
  <si>
    <t>黄书豪出家</t>
  </si>
  <si>
    <t>['黄', '书豪', '出家']</t>
  </si>
  <si>
    <t>张伟丽无奈滞留美国</t>
  </si>
  <si>
    <t>['张伟丽', '无奈', '滞留', '美国']</t>
  </si>
  <si>
    <t>王一博松紧带裤子</t>
  </si>
  <si>
    <t>['王一博', '松紧', '松紧带', '裤子']</t>
  </si>
  <si>
    <t>教育部回应高考延期</t>
  </si>
  <si>
    <t>['教育', '教育部', '回应', '高考', '延期']</t>
  </si>
  <si>
    <t>张伟丽 目标是用宝石填满金腰带</t>
  </si>
  <si>
    <t>['张伟丽', ' ', '目标', '是', '用', '宝石', '填满', '腰带', '金腰带']</t>
  </si>
  <si>
    <t>中国不养巨婴</t>
  </si>
  <si>
    <t>['中国', '不养', '巨婴']</t>
  </si>
  <si>
    <t>山东新增1例美国输入病例</t>
  </si>
  <si>
    <t>['山东', '新增', '1', '例', '美国', '输入', '病例']</t>
  </si>
  <si>
    <t>张伟丽直播聊滞留美国</t>
  </si>
  <si>
    <t>['张伟丽', '直播', '聊', '滞留', '美国']</t>
  </si>
  <si>
    <t>研究称O型血相对不易感染新冠肺炎</t>
  </si>
  <si>
    <t>['研究', '称', 'O型', '血', '相对', '不易', '感染', '新冠', '肺炎']</t>
  </si>
  <si>
    <t>意大利官员称疫情拐点可能正在到来</t>
  </si>
  <si>
    <t>['大利', '意大利', '官员', '称', '疫情', '拐点', '可能', '正在', '到来']</t>
  </si>
  <si>
    <t>澳籍华人女子返京后拒绝隔离官方后续</t>
  </si>
  <si>
    <t>['澳籍', '华人', '女子', '返京', '后', '拒绝', '隔离', '官方', '后续']</t>
  </si>
  <si>
    <t>消防员凌晨破门救人被邻居嫌吵</t>
  </si>
  <si>
    <t>['消防', '消防员', '凌晨', '破门', '救人', '被', '邻居', '嫌', '吵']</t>
  </si>
  <si>
    <t>意大利留学生辗转28小时回国</t>
  </si>
  <si>
    <t>['大利', '意大利', '留学', '学生', '留学生', '辗转', '28', '小时', '回国']</t>
  </si>
  <si>
    <t>首都机场入境人员挤爆航站楼</t>
  </si>
  <si>
    <t>['首都', '机场', '首都机场', '入境', '人员', '挤爆', '航站', '航站楼']</t>
  </si>
  <si>
    <t>吴尊给辰亦儒介绍女朋友</t>
  </si>
  <si>
    <t>['吴尊', '给', '辰', '亦', '儒', '介绍', '朋友', '女朋友']</t>
  </si>
  <si>
    <t>陕西国家医学紧急救援队从武汉返回</t>
  </si>
  <si>
    <t>['陕西', '国家', '医学', '紧急', '救援', '救援队', '从', '武汉', '返回']</t>
  </si>
  <si>
    <t>成都允许临时占道经营</t>
  </si>
  <si>
    <t>['成都', '允许', '临时', '占', '道', '经营']</t>
  </si>
  <si>
    <t>贵阳发现一名境外输入无症状感染者</t>
  </si>
  <si>
    <t>['贵阳', '发现', '一名', '境外', '输入', '症状', '无症状', '感染', '感染者']</t>
  </si>
  <si>
    <t>张文宏 留学生需不需要回国</t>
  </si>
  <si>
    <t>['张文宏', ' ', '留学', '学生', '留学生', '需要', '需不需要', '回国']</t>
  </si>
  <si>
    <t>马克龙宣布法国处于战争状态</t>
  </si>
  <si>
    <t>['马克', '龙', '宣布', '法国', '处于', '战争', '状态', '战争状态']</t>
  </si>
  <si>
    <t>2020/03/18</t>
  </si>
  <si>
    <t>娄艺潇 锁骨放口红</t>
  </si>
  <si>
    <t>['娄艺潇', ' ', '锁骨', '放', '口红']</t>
  </si>
  <si>
    <t>深圳天气</t>
  </si>
  <si>
    <t>['深圳', '天气']</t>
  </si>
  <si>
    <t>张檬回应张萌</t>
  </si>
  <si>
    <t>['张檬', '回应', '张萌']</t>
  </si>
  <si>
    <t>张萌道歉</t>
  </si>
  <si>
    <t>['张萌', '道歉']</t>
  </si>
  <si>
    <t>钟南山说不能靠所谓集体免疫解决问题</t>
  </si>
  <si>
    <t>['南山', '钟南山', '说', '不能', '靠', '所谓', '集体', '免疫', '解决', '问题', '解决问题']</t>
  </si>
  <si>
    <t>曾志伟挑战玲爷模仿塞班</t>
  </si>
  <si>
    <t>['曾志伟', '挑战', '玲爷', '模仿', '塞班']</t>
  </si>
  <si>
    <t>我国内地首次无新增本土疑似病例</t>
  </si>
  <si>
    <t>['我国', '内地', '首次', '无', '新增', '本土', '疑似', '病例', '疑似病例']</t>
  </si>
  <si>
    <t>老司机良心说豪车</t>
  </si>
  <si>
    <t>['老', '司机', '良心', '说', '豪车']</t>
  </si>
  <si>
    <t>张伟丽回应在美华人邀请</t>
  </si>
  <si>
    <t>['张伟丽', '回应', '在', '华人', '美华人', '邀请']</t>
  </si>
  <si>
    <t>李佳琦 不要买它</t>
  </si>
  <si>
    <t>['李佳琦', ' ', '不要', '买', '它']</t>
  </si>
  <si>
    <t>杜兰特确诊前最后一战对阵湖人</t>
  </si>
  <si>
    <t>['兰特', '杜兰特', '确诊', '前', '最后', '一战', '对阵', '湖人']</t>
  </si>
  <si>
    <t>意大利教堂堆满棺材</t>
  </si>
  <si>
    <t>['大利', '意大利', '教堂', '堆满', '棺材']</t>
  </si>
  <si>
    <t>北京延庆突发山火</t>
  </si>
  <si>
    <t>['北京', '延庆', '突发', '山火']</t>
  </si>
  <si>
    <t>陕西开学时间</t>
  </si>
  <si>
    <t>['陕西', '开学', '时间']</t>
  </si>
  <si>
    <t>武汉32张感恩海报</t>
  </si>
  <si>
    <t>['武汉', '32', '张', '感恩', '海报']</t>
  </si>
  <si>
    <t>陈瑶哭戏</t>
  </si>
  <si>
    <t>['陈瑶', '哭', '戏']</t>
  </si>
  <si>
    <t>意大利新增3526例新冠肺炎</t>
  </si>
  <si>
    <t>['大利', '意大利', '新增', '3526', '例新冠', '肺炎']</t>
  </si>
  <si>
    <t>全球至少30国宣布进入紧急状态</t>
  </si>
  <si>
    <t>['全球', '至少', '30', '国', '宣布', '进入', '紧急', '状态', '紧急状态']</t>
  </si>
  <si>
    <t>朱正廷吃面嚼几下</t>
  </si>
  <si>
    <t>['朱正廷', '吃面', '嚼', '几下']</t>
  </si>
  <si>
    <t>建议留学生无十分必须应暂停回国</t>
  </si>
  <si>
    <t>['建议', '留学', '学生', '留学生', '无', '十分', '必须', '应', '暂停', '回国']</t>
  </si>
  <si>
    <t>李佳航再谈爱情公寓口碑</t>
  </si>
  <si>
    <t>['李佳航', '再', '谈', '爱情', '公寓', '口碑']</t>
  </si>
  <si>
    <t>河北白沟发生火灾</t>
  </si>
  <si>
    <t>['河北', '白沟', '发生', '火灾']</t>
  </si>
  <si>
    <t>美国总统特朗普称将关闭美加边境</t>
  </si>
  <si>
    <t>['美国', '总统', '特朗普', '称', '将', '关闭', '美', '加', '边境']</t>
  </si>
  <si>
    <t>北京新增2例境外输入确诊病例</t>
  </si>
  <si>
    <t>['北京', '新增', '2', '例', '境外', '输入', '确诊', '病例']</t>
  </si>
  <si>
    <t>张雨剑无情三问</t>
  </si>
  <si>
    <t>['张雨剑', '无情', '三问']</t>
  </si>
  <si>
    <t>全国新增新冠肺炎13例</t>
  </si>
  <si>
    <t>['全国', '新增', '新冠', '肺炎', '13', '例']</t>
  </si>
  <si>
    <t>美国犹他州发生5.7级地震</t>
  </si>
  <si>
    <t>['美国', '犹他', '犹他州', '发生', '5.7', '级', '地震']</t>
  </si>
  <si>
    <t>三千鸦杀主题曲</t>
  </si>
  <si>
    <t>['三千', '鸦杀', '主题', '主题曲']</t>
  </si>
  <si>
    <t>当薇娅遇上张雨剑</t>
  </si>
  <si>
    <t>['当薇娅', '遇上', '张雨剑']</t>
  </si>
  <si>
    <t>吃瓜吃到自己的犯罪嫌疑人</t>
  </si>
  <si>
    <t>['吃瓜', '吃', '到', '自己', '的', '犯罪', '嫌疑', '嫌疑人']</t>
  </si>
  <si>
    <t>湖北现有疑似病例清零</t>
  </si>
  <si>
    <t>['湖北', '现有', '疑似', '病例', '疑似病例', '清零']</t>
  </si>
  <si>
    <t>美国50个州累计确诊6331例</t>
  </si>
  <si>
    <t>['美国', '50', '个州', '累计', '确诊', '6331', '例']</t>
  </si>
  <si>
    <t>英国政府改口称像战时一样行动</t>
  </si>
  <si>
    <t>['英国', '国政', '政府', '英国政府', '改口', '称像', '战时', '一样', '行动']</t>
  </si>
  <si>
    <t>易烊千玺黄子韬对手戏</t>
  </si>
  <si>
    <t>['易', '烊', '千玺', '黄子', '韬', '对手', '对手戏']</t>
  </si>
  <si>
    <t>一元一次方程太贵了</t>
  </si>
  <si>
    <t>['一元', '一次', '次方', '方程', '一次方程', '太贵', '了']</t>
  </si>
  <si>
    <t>武汉某小区阻止一线护士回家</t>
  </si>
  <si>
    <t>['武汉', '某', '小区', '阻止', '一线', '护士', '回家']</t>
  </si>
  <si>
    <t>云南昭通一停建煤矿发生爆炸</t>
  </si>
  <si>
    <t>['云南', '昭通', '一', '停建', '煤矿', '发生', '爆炸', '发生爆炸']</t>
  </si>
  <si>
    <t>2020/03/19</t>
  </si>
  <si>
    <t>张檬金恩圣公布恋情</t>
  </si>
  <si>
    <t>['张檬金恩圣', '公布', '恋情']</t>
  </si>
  <si>
    <t>易烊千玺输给了铅笔裤</t>
  </si>
  <si>
    <t>['易', '烊', '千玺', '输给', '了', '铅笔', '裤']</t>
  </si>
  <si>
    <t>当小鬼遇上never</t>
  </si>
  <si>
    <t>['当', '小鬼', '遇上', 'never']</t>
  </si>
  <si>
    <t>全国新增确诊病例34例</t>
  </si>
  <si>
    <t>['全国', '新增', '确诊', '病例', '34', '例']</t>
  </si>
  <si>
    <t>南极没有雪</t>
  </si>
  <si>
    <t>['南极', '没有', '雪']</t>
  </si>
  <si>
    <t>世卫回应特朗普称新冠病毒为中国病毒</t>
  </si>
  <si>
    <t>['世卫', '回应', '特朗普', '称新冠', '病毒', '为', '中国', '病毒']</t>
  </si>
  <si>
    <t>我国渤海发现大型油田</t>
  </si>
  <si>
    <t>['我国', '渤海', '发现', '大型', '油田']</t>
  </si>
  <si>
    <t>李文亮事件调查结果公布</t>
  </si>
  <si>
    <t>['李文亮', '事件', '调查', '事件调查', '结果', '公布']</t>
  </si>
  <si>
    <t>中巴边境巴方对中国不设防</t>
  </si>
  <si>
    <t>['中巴', '边境', '巴方', '对', '中国', '设防', '不设防']</t>
  </si>
  <si>
    <t>湖北无新增确诊病例</t>
  </si>
  <si>
    <t>['湖北', '无', '新增', '确诊', '病例']</t>
  </si>
  <si>
    <t>当军犬见到隔离回来的训导员</t>
  </si>
  <si>
    <t>['当', '军犬', '见到', '隔离', '回来', '的', '训导', '员']</t>
  </si>
  <si>
    <t>开工正能量传递爱心</t>
  </si>
  <si>
    <t>['开工', '正', '能量', '传递', '爱心']</t>
  </si>
  <si>
    <t>白岩松说分享战疫经验别膨胀</t>
  </si>
  <si>
    <t>['白岩松', '说', '分享', '战疫', '经验', '别', '膨胀']</t>
  </si>
  <si>
    <t>浪胃仙找毛毛姐批发假发</t>
  </si>
  <si>
    <t>['浪胃', '仙', '找', '毛毛', '姐', '批发', '假发']</t>
  </si>
  <si>
    <t>洛杉矶华人邀请张伟丽吃包子</t>
  </si>
  <si>
    <t>['洛杉矶', '华人', '邀请', '张伟丽', '吃', '包子']</t>
  </si>
  <si>
    <t>三千鸦杀 身份证变装</t>
  </si>
  <si>
    <t>['三千', '鸦杀', ' ', '身份', '身份证', '变装']</t>
  </si>
  <si>
    <t>冰糖炖雪梨太甜了</t>
  </si>
  <si>
    <t>['冰糖', '炖', '雪梨', '太甜', '了']</t>
  </si>
  <si>
    <t>高云翔涉嫌性侵案宣判</t>
  </si>
  <si>
    <t>['高云', '翔', '涉嫌', '性', '侵案', '宣判']</t>
  </si>
  <si>
    <t>意大利又一名市长因新冠肺炎去世</t>
  </si>
  <si>
    <t>['大利', '意大利', '又', '一名', '市长', '因新冠', '肺炎', '去世']</t>
  </si>
  <si>
    <t>湖北始发开出首趟务工人员高铁专列</t>
  </si>
  <si>
    <t>['湖北', '始发', '开出', '首趟', '务工', '工人', '人员', '工人员', '务工人员', '高铁', '专列']</t>
  </si>
  <si>
    <t>美股第五次熔断</t>
  </si>
  <si>
    <t>['美股', '第五', '五次', '第五次', '熔断']</t>
  </si>
  <si>
    <t>京津冀多地发生火灾</t>
  </si>
  <si>
    <t>['京津', '京津冀', '多地', '发生', '火灾']</t>
  </si>
  <si>
    <t>北京不再受理入境人员居家隔离申请</t>
  </si>
  <si>
    <t>['北京', '不再', '受理', '入境', '人员', '居家', '隔离', '申请']</t>
  </si>
  <si>
    <t>南极科考直播</t>
  </si>
  <si>
    <t>['南极', '科考', '直播']</t>
  </si>
  <si>
    <t>北京发布严格境外进京管控3条措施</t>
  </si>
  <si>
    <t>['北京', '发布', '严格', '境外', '进京', '管控', '3', '条', '措施']</t>
  </si>
  <si>
    <t>意大利新增4207例新冠肺炎</t>
  </si>
  <si>
    <t>['大利', '意大利', '新增', '4207', '例新冠', '肺炎']</t>
  </si>
  <si>
    <t>德国新冠肺炎累计确诊破万例</t>
  </si>
  <si>
    <t>['德国', '新冠', '肺炎', '累计', '确诊', '破', '万例']</t>
  </si>
  <si>
    <t>老油条卖儿子婚房给小宝治病</t>
  </si>
  <si>
    <t>['油条', '老油条', '卖', '儿子', '婚房', '给', '小宝', '治病']</t>
  </si>
  <si>
    <t>外交部提醒中国公民暂勿前往这15国</t>
  </si>
  <si>
    <t>['外交', '外交部', '提醒', '中国', '公民', '暂勿', '前往', '这', '15', '国']</t>
  </si>
  <si>
    <t>女子回国后抗拒隔离大闹医院</t>
  </si>
  <si>
    <t>['女子', '回国', '后', '抗拒', '隔离', '大闹', '医院']</t>
  </si>
  <si>
    <t>北京新增10例境外输入病例</t>
  </si>
  <si>
    <t>['北京', '新增', '10', '例', '境外', '输入', '病例']</t>
  </si>
  <si>
    <t>武汉大学生代码敲出樱花开放</t>
  </si>
  <si>
    <t>['武汉', '大学', '学生', '大学生', '代码', '敲出', '樱花', '开放']</t>
  </si>
  <si>
    <t>英国首相父亲不顾防疫禁令去酒吧</t>
  </si>
  <si>
    <t>['英国', '首相', '英国首相', '父亲', '不顾', '防疫', '禁令', '去', '酒吧']</t>
  </si>
  <si>
    <t>木村拓哉大女儿将出道</t>
  </si>
  <si>
    <t>['木村', '木村拓哉', '大', '女儿', '将', '出道']</t>
  </si>
  <si>
    <t>2020/03/20</t>
  </si>
  <si>
    <t>跳撑腰舞召唤罗志祥</t>
  </si>
  <si>
    <t>['跳', '撑腰', '舞', '召唤', '罗志祥']</t>
  </si>
  <si>
    <t>重庆巨响</t>
  </si>
  <si>
    <t>['重庆', '巨响']</t>
  </si>
  <si>
    <t>东北酱直播意外露脸</t>
  </si>
  <si>
    <t>['东北', '酱', '直播', '意外', '露脸']</t>
  </si>
  <si>
    <t>抖音请你免费看电影大赢家</t>
  </si>
  <si>
    <t>['抖音', '请', '你', '免费', '看', '电影', '赢家', '大赢家']</t>
  </si>
  <si>
    <t>藤间斋</t>
  </si>
  <si>
    <t>['藤间', '斋']</t>
  </si>
  <si>
    <t>任嘉伦暖心回复医护粉丝</t>
  </si>
  <si>
    <t>['任嘉伦暖心', '回复', '医护', '粉丝']</t>
  </si>
  <si>
    <t>张智霖袁咏仪儿子</t>
  </si>
  <si>
    <t>['张智霖', '袁咏仪', '儿子']</t>
  </si>
  <si>
    <t>一出道即巅峰</t>
  </si>
  <si>
    <t>['一出', '道', '即', '巅峰']</t>
  </si>
  <si>
    <t>詹姆斯在家开直播</t>
  </si>
  <si>
    <t>['詹姆斯', '在家', '开', '直播']</t>
  </si>
  <si>
    <t>特朗普称早知道新冠肺炎是大流行病</t>
  </si>
  <si>
    <t>['特朗普', '称早', '知道', '新冠', '肺炎', '是', '大', '流行', '流行病']</t>
  </si>
  <si>
    <t>湖北市民路边送别医疗队</t>
  </si>
  <si>
    <t>['湖北', '市民', '路边', '送别', '医疗', '医疗队']</t>
  </si>
  <si>
    <t>美国出现首位确诊感染国会议员</t>
  </si>
  <si>
    <t>['美国', '出现', '首位', '确诊', '感染', '国会', '会议', '议员', '会议员', '国会议员']</t>
  </si>
  <si>
    <t>大鹏回应孟鹤堂叫自己叔叔原因</t>
  </si>
  <si>
    <t>['大鹏', '回应', '孟鹤堂', '叫', '自己', '叔叔', '原因']</t>
  </si>
  <si>
    <t>常山赵子龙</t>
  </si>
  <si>
    <t>['常山', '赵子龙']</t>
  </si>
  <si>
    <t>世卫 中国0新增是了不起的成就</t>
  </si>
  <si>
    <t>['世卫', ' ', '中国', '0', '新增', '是', '了不起', '的', '成就']</t>
  </si>
  <si>
    <t>中国击剑队3名队员确诊新冠肺炎</t>
  </si>
  <si>
    <t>['中国', '击剑', '击剑队', '3', '名', '队员', '确诊', '新冠', '肺炎']</t>
  </si>
  <si>
    <t>空姐流泪播报接医疗队回家</t>
  </si>
  <si>
    <t>['空姐', '流泪', '播报', '接', '医疗', '医疗队', '回家']</t>
  </si>
  <si>
    <t>有匪新剧照</t>
  </si>
  <si>
    <t>['有匪', '新', '剧照']</t>
  </si>
  <si>
    <t>东北酱遭许美达逼问恋情</t>
  </si>
  <si>
    <t>['东北', '酱', '遭许', '美达', '逼问', '恋情']</t>
  </si>
  <si>
    <t>斯坦科维奇去世</t>
  </si>
  <si>
    <t>['斯坦科', '维奇', '去世']</t>
  </si>
  <si>
    <t>北京新增5例境外输入确诊病例</t>
  </si>
  <si>
    <t>['北京', '新增', '5', '例', '境外', '输入', '确诊', '病例']</t>
  </si>
  <si>
    <t>西藏日喀则市发生5.9级地震</t>
  </si>
  <si>
    <t>['西藏', '日喀则', '日喀则市', '发生', '5.9', '级', '地震']</t>
  </si>
  <si>
    <t>青岛崂山突发山火</t>
  </si>
  <si>
    <t>['青岛', '崂山', '突发', '山火']</t>
  </si>
  <si>
    <t>小楼被开除</t>
  </si>
  <si>
    <t>['小楼', '被', '开除']</t>
  </si>
  <si>
    <t>钟南山的无座票</t>
  </si>
  <si>
    <t>['南山', '钟南山', '的', '无', '座票']</t>
  </si>
  <si>
    <t>美国累计确诊新冠肺炎升至13350例</t>
  </si>
  <si>
    <t>['美国', '累计', '确诊', '新冠', '肺炎', '升至', '13350', '例']</t>
  </si>
  <si>
    <t>詹姆斯晒与妻子在家锻炼自拍</t>
  </si>
  <si>
    <t>['詹姆斯', '晒', '与', '妻子', '在家', '锻炼', '自拍']</t>
  </si>
  <si>
    <t>意大利市长在线怼市民</t>
  </si>
  <si>
    <t>['大利', '意大利', '市长', '在线', '怼', '市民']</t>
  </si>
  <si>
    <t>佘诗曼的第一条抖音</t>
  </si>
  <si>
    <t>['佘诗曼', '的', '第一', '一条', '第一条', '抖音']</t>
  </si>
  <si>
    <t>带全家来京确诊女子被美国公司解雇</t>
  </si>
  <si>
    <t>['带', '全家', '来京', '确诊', '女子', '被', '美国', '国公', '公司', '美国公司', '解雇']</t>
  </si>
  <si>
    <t>广州一大厦现连续高空砸物事件</t>
  </si>
  <si>
    <t>['广州', '一', '大厦', '现', '连续', '高空', '砸物', '事件']</t>
  </si>
  <si>
    <t>湖人两位球员感染新冠病毒</t>
  </si>
  <si>
    <t>['湖人', '两位', '球员', '感染', '新冠', '病毒']</t>
  </si>
  <si>
    <t>全国新增确诊病例39例</t>
  </si>
  <si>
    <t>['全国', '新增', '确诊', '病例', '39', '例']</t>
  </si>
  <si>
    <t>2020/03/21</t>
  </si>
  <si>
    <t>关晓彤青蛇造型</t>
  </si>
  <si>
    <t>['关晓彤', '青蛇', '造型']</t>
  </si>
  <si>
    <t>孟鹤堂大鹏比心翻车</t>
  </si>
  <si>
    <t>['孟鹤堂', '大鹏', '比心', '翻车']</t>
  </si>
  <si>
    <t>在国外确诊可向中国使领馆报告</t>
  </si>
  <si>
    <t>['在', '国外', '确诊', '可', '向', '中国', '领馆', '使领馆', '报告']</t>
  </si>
  <si>
    <t>特朗普宣布纽约州为疫情重大灾区</t>
  </si>
  <si>
    <t>['特朗普', '宣布', '纽约', '纽约州', '为', '疫情', '重大', '灾区']</t>
  </si>
  <si>
    <t>中国新冠疫苗已经注射进人体</t>
  </si>
  <si>
    <t>['中国', '新冠', '疫苗', '已经', '注射', '进', '人体']</t>
  </si>
  <si>
    <t>易烊千玺曾要求去武汉当搬运工</t>
  </si>
  <si>
    <t>['易', '烊', '千玺', '曾', '要求', '去', '武汉', '当', '搬运', '搬运工']</t>
  </si>
  <si>
    <t>逆天化妆术</t>
  </si>
  <si>
    <t>['逆天', '化妆', '术']</t>
  </si>
  <si>
    <t>特朗普承认有关系的人能优先检测</t>
  </si>
  <si>
    <t>['特朗普', '承认', '有', '关系', '的', '人能', '优先', '检测']</t>
  </si>
  <si>
    <t>柳岩点火锅遭田雨训斥</t>
  </si>
  <si>
    <t>['柳岩点', '火锅', '遭田雨', '训斥']</t>
  </si>
  <si>
    <t>全国新增确诊病例41例</t>
  </si>
  <si>
    <t>['全国', '新增', '确诊', '病例', '41', '例']</t>
  </si>
  <si>
    <t>半面小丑妆</t>
  </si>
  <si>
    <t>['半面', '小丑', '妆']</t>
  </si>
  <si>
    <t>特朗普在疫情简报会上打瞌睡</t>
  </si>
  <si>
    <t>['特朗普', '在', '疫情', '简报', '会上', '瞌睡', '打瞌睡']</t>
  </si>
  <si>
    <t>董璇直播回应</t>
  </si>
  <si>
    <t>['董璇', '直播', '回应']</t>
  </si>
  <si>
    <t>尹正京剧扮相</t>
  </si>
  <si>
    <t>['尹正', '京剧', '扮相']</t>
  </si>
  <si>
    <t>李佳琦直播时狗狗乱入</t>
  </si>
  <si>
    <t>['李佳琦', '直播', '时', '狗狗', '乱入']</t>
  </si>
  <si>
    <t>华晨宇 降临</t>
  </si>
  <si>
    <t>['华晨', '宇', ' ', '降临']</t>
  </si>
  <si>
    <t>林允张新成喝奶茶</t>
  </si>
  <si>
    <t>['林允', '张新成', '喝', '奶茶']</t>
  </si>
  <si>
    <t>意大利医院内部画面</t>
  </si>
  <si>
    <t>['大利', '意大利', '医院', '内部', '画面']</t>
  </si>
  <si>
    <t>学大鹏妈妈征婚</t>
  </si>
  <si>
    <t>['学', '大鹏', '妈妈', '征婚']</t>
  </si>
  <si>
    <t>鄂州市委书记市长鞠躬感谢医疗队</t>
  </si>
  <si>
    <t>['鄂州', '市委', '书记', '市委书记', '市长', '鞠躬', '感谢', '医疗', '医疗队']</t>
  </si>
  <si>
    <t>娄艺潇自制冰淇淋翻车</t>
  </si>
  <si>
    <t>['娄艺潇', '自制', '冰淇淋', '翻车']</t>
  </si>
  <si>
    <t>五大科技巨头蒸发1.3万亿美元</t>
  </si>
  <si>
    <t>['五大', '科技', '巨头', '蒸发', '1.3', '万亿', '美元', '亿美元', '万亿美元']</t>
  </si>
  <si>
    <t>Kanye</t>
  </si>
  <si>
    <t>['Kanye']</t>
  </si>
  <si>
    <t>中国已宣布向82个国家提供援助</t>
  </si>
  <si>
    <t>['中国', '已', '宣布', '向', '82', '个', '国家', '提供', '援助', '提供援助']</t>
  </si>
  <si>
    <t>官方回应武汉一护士遭邻居驱赶</t>
  </si>
  <si>
    <t>['官方', '回应', '武汉', '一', '护士', '遭', '邻居', '驱赶']</t>
  </si>
  <si>
    <t>福建平潭蓝眼泪奇观</t>
  </si>
  <si>
    <t>['福建', '平潭', '蓝', '眼泪', '奇观']</t>
  </si>
  <si>
    <t>武磊确诊新冠肺炎</t>
  </si>
  <si>
    <t>['武磊', '确诊', '新冠', '肺炎']</t>
  </si>
  <si>
    <t>隔玻璃亲吻的女护士与男友领证</t>
  </si>
  <si>
    <t>['隔', '玻璃', '亲吻', '的', '护士', '女护士', '与', '男友', '领证']</t>
  </si>
  <si>
    <t>有湖北绿码也要自费隔离吗</t>
  </si>
  <si>
    <t>['有', '湖北', '绿码', '也', '要', '自费', '隔离', '吗']</t>
  </si>
  <si>
    <t>不倒翁女孩戴口罩复工</t>
  </si>
  <si>
    <t>['倒翁', '不倒翁', '女孩', '戴', '口罩', '复工']</t>
  </si>
  <si>
    <t>韩东君乱用脸</t>
  </si>
  <si>
    <t>['韩', '东君', '乱用', '脸']</t>
  </si>
  <si>
    <t>请说出你常丢的三样东西</t>
  </si>
  <si>
    <t>['说出', '请说出', '你常', '丢', '的', '三样', '东西']</t>
  </si>
  <si>
    <t>苹果中国官网每人限购两部iPhone</t>
  </si>
  <si>
    <t>['苹果', '中国', '官网', '每人', '限购', '两部', 'iPhone']</t>
  </si>
  <si>
    <t>这样拍视频身份证信息易暴露</t>
  </si>
  <si>
    <t>['这样', '拍', '视频', '身份', '身份证', '信息', '易', '暴露']</t>
  </si>
  <si>
    <t>印度第六次申遗中国象棋</t>
  </si>
  <si>
    <t>['印度', '第六', '六次', '第六次', '申遗', '中国', '象棋', '中国象棋']</t>
  </si>
  <si>
    <t>厄瓜多尔市长派车队上跑道拦飞机</t>
  </si>
  <si>
    <t>['多尔', '厄瓜多尔', '市长', '派', '车队', '上', '跑道', '拦', '飞机']</t>
  </si>
  <si>
    <t>印度黑公交轮奸案主犯被执行死刑</t>
  </si>
  <si>
    <t>['印度', '黑', '公交', '轮奸', '轮奸案', '主犯', '被', '执行', '死刑']</t>
  </si>
  <si>
    <t>张乘乘直播手机掉火锅里了</t>
  </si>
  <si>
    <t>['张乘', '乘', '直播', '手机', '掉', '火锅', '里', '了']</t>
  </si>
  <si>
    <t>韩雪唱rap</t>
  </si>
  <si>
    <t>['韩雪唱', 'rap']</t>
  </si>
  <si>
    <t>2020/03/22</t>
  </si>
  <si>
    <t>钟南山院士送出01号手印</t>
  </si>
  <si>
    <t>['南山', '钟南山', '院士', '送出', '01', '号', '手印']</t>
  </si>
  <si>
    <t>快乐家族邀请湖南医疗队参与录制</t>
  </si>
  <si>
    <t>['快乐', '家族', '邀请', '湖南', '医疗', '医疗队', '参与', '录制']</t>
  </si>
  <si>
    <t>朴宝剑客串梨泰院Class</t>
  </si>
  <si>
    <t>['朴', '宝剑', '客串', '梨泰院', 'Class']</t>
  </si>
  <si>
    <t>84岁钟南山院士晒餐单</t>
  </si>
  <si>
    <t>['84', '岁', '南山', '钟南山', '院士', '晒', '餐单']</t>
  </si>
  <si>
    <t>熊猫绩笑直播</t>
  </si>
  <si>
    <t>['熊猫', '绩笑', '直播']</t>
  </si>
  <si>
    <t>李雪琴直播相亲8男翻车</t>
  </si>
  <si>
    <t>['李雪琴', '直播', '相亲', '8', '男', '翻车']</t>
  </si>
  <si>
    <t>浙江多地一秒变天</t>
  </si>
  <si>
    <t>['浙江', '多地', '一秒', '变天']</t>
  </si>
  <si>
    <t>柳岩直播蹦迪</t>
  </si>
  <si>
    <t>['柳岩', '直播', '蹦迪']</t>
  </si>
  <si>
    <t>易烊千玺宇航服</t>
  </si>
  <si>
    <t>['易', '烊', '千玺', '宇航', '宇航服']</t>
  </si>
  <si>
    <t>吕小雨 变装</t>
  </si>
  <si>
    <t>['吕', '小雨', ' ', '变装']</t>
  </si>
  <si>
    <t>柳岩征婚</t>
  </si>
  <si>
    <t>['柳岩', '征婚']</t>
  </si>
  <si>
    <t>塞尔维亚总统亲吻五星红旗</t>
  </si>
  <si>
    <t>['塞尔', '维亚', '塞尔维', '塞尔维亚', '总统', '亲吻', '五星', '红旗', '五星红旗']</t>
  </si>
  <si>
    <t>全国绝大多数地区可实现一码通行</t>
  </si>
  <si>
    <t>['全国', '绝大', '大多', '多数', '大多数', '绝大多数', '地区', '可', '实现', '一', '码', '通行']</t>
  </si>
  <si>
    <t>当事孩子看到带回的黄冈密卷后</t>
  </si>
  <si>
    <t>['当事', '孩子', '看到', '带回', '的', '黄冈', '密卷', '后']</t>
  </si>
  <si>
    <t>微信正式支持深色模式</t>
  </si>
  <si>
    <t>['微信', '正式', '支持', '深色', '模式']</t>
  </si>
  <si>
    <t>意大利单日新增确诊6557例</t>
  </si>
  <si>
    <t>['大利', '意大利', '单日', '新增', '确诊', '6557', '例']</t>
  </si>
  <si>
    <t>不换气合唱挑战</t>
  </si>
  <si>
    <t>['不', '换气', '合唱', '挑战']</t>
  </si>
  <si>
    <t>C位出道无可替代</t>
  </si>
  <si>
    <t>['C', '位出', '道', '无可', '替代', '无可替代']</t>
  </si>
  <si>
    <t>一路出发加速度</t>
  </si>
  <si>
    <t>['一路', '出发', '加速', '速度', '加速度']</t>
  </si>
  <si>
    <t>全国新增确诊病例46例</t>
  </si>
  <si>
    <t>['全国', '新增', '确诊', '病例', '46', '例']</t>
  </si>
  <si>
    <t>N号房间</t>
  </si>
  <si>
    <t>['N', '号', '房间']</t>
  </si>
  <si>
    <t>一家6口从英国抵京确诊4人</t>
  </si>
  <si>
    <t>['一家', '6', '口', '从', '英国', '抵京', '确诊', '4', '人']</t>
  </si>
  <si>
    <t>高火火挑战潜水艇游戏</t>
  </si>
  <si>
    <t>['高火火', '挑战', '潜水', '潜水艇', '游戏']</t>
  </si>
  <si>
    <t>广东出现首例境外输入关联病例</t>
  </si>
  <si>
    <t>['广东', '出现', '首例', '境外', '输入', '关联', '病例']</t>
  </si>
  <si>
    <t>地铁扶手上抹口水外籍男子道歉</t>
  </si>
  <si>
    <t>['地铁', '扶手', '上', '抹', '口水', '外籍', '男子', '道歉']</t>
  </si>
  <si>
    <t>北京新增8例境外输入确诊病例</t>
  </si>
  <si>
    <t>['北京', '新增', '8', '例', '境外', '输入', '确诊', '病例']</t>
  </si>
  <si>
    <t>武汉刑满进京女子不被追究法律责任</t>
  </si>
  <si>
    <t>['武汉', '刑满', '进京', '女子', '不', '被', '追究', '法律', '责任', '法律责任']</t>
  </si>
  <si>
    <t>迪巴拉确诊感染新冠病毒</t>
  </si>
  <si>
    <t>['迪', '巴拉', '确诊', '感染', '新冠', '病毒']</t>
  </si>
  <si>
    <t>北京新增2例境外输入病例</t>
  </si>
  <si>
    <t>['北京', '新增', '2', '例', '境外', '输入', '病例']</t>
  </si>
  <si>
    <t>雷神山豆子哥出院</t>
  </si>
  <si>
    <t>['雷', '神山', '豆子', '哥', '出院']</t>
  </si>
  <si>
    <t>美副总统夫妇新冠病毒检测呈阴性</t>
  </si>
  <si>
    <t>['美副', '总统', '夫妇', '新冠', '病毒', '检测', '病毒检测', '呈', '阴性']</t>
  </si>
  <si>
    <t>上海新增14例境外输入病例</t>
  </si>
  <si>
    <t>['上海', '新增', '14', '例', '境外', '输入', '病例']</t>
  </si>
  <si>
    <t>意大利市长称死亡人数与实际有很大差距</t>
  </si>
  <si>
    <t>['大利', '意大利', '市长', '称', '死亡', '人数', '与', '实际', '有', '很大', '差距']</t>
  </si>
  <si>
    <t>美国副总统彭斯将进行新冠病毒检测</t>
  </si>
  <si>
    <t>['美国', '副', '总统', '彭斯', '将', '进行', '新冠', '病毒', '检测', '病毒检测']</t>
  </si>
  <si>
    <t>中国援塞尔维亚医疗队受最高礼遇迎接</t>
  </si>
  <si>
    <t>['中国', '援', '塞尔', '维亚', '塞尔维', '塞尔维亚', '医疗', '医疗队', '受', '最高', '礼遇', '迎接']</t>
  </si>
  <si>
    <t>2020/03/23</t>
  </si>
  <si>
    <t>当bigbang和blackpink合体</t>
  </si>
  <si>
    <t>['当', 'bigbang', '和', 'blackpink', '合体']</t>
  </si>
  <si>
    <t>虞书欣 王思聪</t>
  </si>
  <si>
    <t>['虞书欣', ' ', '王思聪']</t>
  </si>
  <si>
    <t>我还是从前那个少年</t>
  </si>
  <si>
    <t>['我', '还是', '从前', '那个', '少年']</t>
  </si>
  <si>
    <t>边伯贤为N号房事件发声</t>
  </si>
  <si>
    <t>['边伯贤为', 'N', '号房', '事件', '发声']</t>
  </si>
  <si>
    <t>郑爽黑色卷发</t>
  </si>
  <si>
    <t>['郑爽', '黑色', '卷发']</t>
  </si>
  <si>
    <t>李佳琦眼眶红了</t>
  </si>
  <si>
    <t>['李佳琦', '眼眶', '红', '了']</t>
  </si>
  <si>
    <t>刘真去世</t>
  </si>
  <si>
    <t>['刘真', '去世']</t>
  </si>
  <si>
    <t>官方通报防疫人员与老人冲突</t>
  </si>
  <si>
    <t>['官方', '通报', '防疫', '人员', '与', '老人', '冲突']</t>
  </si>
  <si>
    <t>全国新增39例新冠肺炎</t>
  </si>
  <si>
    <t>['全国', '新增', '39', '例新冠', '肺炎']</t>
  </si>
  <si>
    <t>意大利单日新增确诊5560例</t>
  </si>
  <si>
    <t>['大利', '意大利', '单日', '新增', '确诊', '5560', '例']</t>
  </si>
  <si>
    <t>塞尔维亚总统3年前赞中国是好朋友</t>
  </si>
  <si>
    <t>['塞尔', '维亚', '塞尔维', '塞尔维亚', '总统', '3', '年前', '赞', '中国', '是', '好', '朋友']</t>
  </si>
  <si>
    <t>王一博姥姥 支持他做喜欢的事情</t>
  </si>
  <si>
    <t>['王一博', '姥姥', ' ', '支持', '他', '做', '喜欢', '的', '事情']</t>
  </si>
  <si>
    <t>韩美娟直播卸妆全程</t>
  </si>
  <si>
    <t>['韩美', '娟', '直播', '卸妆', '全程']</t>
  </si>
  <si>
    <t>N号房赵博士身份公开</t>
  </si>
  <si>
    <t>['N', '号房', '赵', '博士', '身份', '公开']</t>
  </si>
  <si>
    <t>尹正咬手绢</t>
  </si>
  <si>
    <t>['尹正', '咬', '手绢']</t>
  </si>
  <si>
    <t>安倍 若不能完整举办奥运将考虑延期</t>
  </si>
  <si>
    <t>['安倍', ' ', '若', '不能', '完整', '举办', '奥运', '将', '考虑', '延期']</t>
  </si>
  <si>
    <t>CNN主播批评特朗普</t>
  </si>
  <si>
    <t>['CNN', '主播', '批评', '特朗普']</t>
  </si>
  <si>
    <t>柳岩妈妈聊选女婿标准</t>
  </si>
  <si>
    <t>['柳岩', '妈妈', '聊选', '女婿', '标准']</t>
  </si>
  <si>
    <t>孟鹤堂周九良连麦变同框</t>
  </si>
  <si>
    <t>['孟鹤堂', '周九良', '连麦变', '同框']</t>
  </si>
  <si>
    <t>意大利又一市长狂怼市民</t>
  </si>
  <si>
    <t>['大利', '意大利', '又', '一', '市长', '狂', '怼', '市民']</t>
  </si>
  <si>
    <t>中国机组请意大利照顾好我们的医生</t>
  </si>
  <si>
    <t>['中国', '机组', '请', '大利', '意大利', '照顾', '好', '我们', '的', '医生']</t>
  </si>
  <si>
    <t>美国确诊人数突破3万</t>
  </si>
  <si>
    <t>['美国', '确诊', '人数', '突破', '3', '万']</t>
  </si>
  <si>
    <t>特朗普宣布华盛顿州为重大灾区</t>
  </si>
  <si>
    <t>['特朗普', '宣布', '华盛', '华盛顿', '华盛顿州', '为', '重大', '灾区']</t>
  </si>
  <si>
    <t>纽约市长称再不行动更多人将丧命</t>
  </si>
  <si>
    <t>['纽约', '市长', '称', '再', '不', '行动', '更多', '更多人', '将', '丧命']</t>
  </si>
  <si>
    <t>塞尔维亚多地亮起中国红</t>
  </si>
  <si>
    <t>['塞尔', '维亚', '塞尔维', '塞尔维亚', '多', '地亮', '起', '中国', '红']</t>
  </si>
  <si>
    <t>王一博终于变魔术了</t>
  </si>
  <si>
    <t>['王一博', '终于', '魔术', '变魔术', '了']</t>
  </si>
  <si>
    <t>多明戈确诊新冠肺炎</t>
  </si>
  <si>
    <t>['多明戈', '确诊', '新冠', '肺炎']</t>
  </si>
  <si>
    <t>荷兰弟买不到鸡蛋买母鸡</t>
  </si>
  <si>
    <t>['荷兰', '弟', '不到', '买不到', '鸡蛋', '买', '母鸡']</t>
  </si>
  <si>
    <t>王一博给眼保健操配音</t>
  </si>
  <si>
    <t>['王一博', '给', '保健', '保健操', '眼保健操', '配音']</t>
  </si>
  <si>
    <t>俄罗斯全国投放800只狮虎是假的</t>
  </si>
  <si>
    <t>['罗斯', '俄罗斯', '全国', '投放', '800', '只狮', '虎', '是', '假', '的']</t>
  </si>
  <si>
    <t>湖南16岁少女被囚禁地洞案宣判</t>
  </si>
  <si>
    <t>['湖南', '16', '岁', '少女', '被', '囚禁', '地洞', '案', '宣判']</t>
  </si>
  <si>
    <t>东京奥运会将在4周内决定是否延期</t>
  </si>
  <si>
    <t>['东京', '奥运', '奥运会', '将', '在', '4', '周内', '决定', '是否', '延期']</t>
  </si>
  <si>
    <t>波兰扣押意大利2.3万只口罩</t>
  </si>
  <si>
    <t>['波兰', '扣押', '大利', '意大利', '2.3', '万', '只', '口罩']</t>
  </si>
  <si>
    <t>孟鹤堂在线找眉毛</t>
  </si>
  <si>
    <t>['孟鹤堂', '在线', '找', '眉毛']</t>
  </si>
  <si>
    <t>女子从泰国回国拒绝隔离大闹机场</t>
  </si>
  <si>
    <t>['女子', '从', '泰国', '回国', '拒绝', '隔离', '大闹', '机场']</t>
  </si>
  <si>
    <t>女子泰国入境拒绝隔离大闹机场</t>
  </si>
  <si>
    <t>['女子', '泰国', '入境', '拒绝', '隔离', '大闹', '机场']</t>
  </si>
  <si>
    <t>上海洋女婿拒绝集中隔离</t>
  </si>
  <si>
    <t>['上海', '女婿', '洋女婿', '拒绝', '集中', '隔离']</t>
  </si>
  <si>
    <t>2020/03/24</t>
  </si>
  <si>
    <t>澳籍跑步女所住房屋已退租</t>
  </si>
  <si>
    <t>['澳籍', '跑步', '女所住', '房屋', '已', '退租']</t>
  </si>
  <si>
    <t>山楂树之恋抖音版</t>
  </si>
  <si>
    <t>['山楂', '山楂树', '之恋', '抖音版']</t>
  </si>
  <si>
    <t>霉霉回应与侃爷通话录音曝光</t>
  </si>
  <si>
    <t>['霉霉', '回应', '与', '侃爷', '通话', '录音', '通话录音', '曝光']</t>
  </si>
  <si>
    <t>奥运会推迟将致日本损失超3.2万亿</t>
  </si>
  <si>
    <t>['奥运', '奥运会', '推迟', '将致', '日本', '损失', '超', '3.2', '万亿']</t>
  </si>
  <si>
    <t>全国新增确诊病例78例</t>
  </si>
  <si>
    <t>['全国', '新增', '确诊', '病例', '78', '例']</t>
  </si>
  <si>
    <t>武汉4月8日起解除离汉离鄂管控</t>
  </si>
  <si>
    <t>['武汉', '4', '月', '8', '日起', '解除', '离汉离', '鄂', '管控']</t>
  </si>
  <si>
    <t>张嘉倪买超成都买别墅</t>
  </si>
  <si>
    <t>['张嘉倪', '买超', '成都', '买', '别墅']</t>
  </si>
  <si>
    <t>金恩圣工作室声明</t>
  </si>
  <si>
    <t>['金恩圣', '工作', '工作室', '声明']</t>
  </si>
  <si>
    <t>小狐狸闯进幼儿园被以为是标本</t>
  </si>
  <si>
    <t>['小', '狐狸', '闯进', '幼儿', '幼儿园', '被', '以为', '是', '标本']</t>
  </si>
  <si>
    <t>陕西复工包车1名务工人员病亡</t>
  </si>
  <si>
    <t>['陕西', '复工', '包车', '1', '名', '务工', '工人', '人员', '工人员', '务工人员', '病亡']</t>
  </si>
  <si>
    <t>内蒙人家里的水龙头</t>
  </si>
  <si>
    <t>['内蒙', '人', '家里', '的', '水龙', '龙头', '水龙头']</t>
  </si>
  <si>
    <t>抱抱我的城</t>
  </si>
  <si>
    <t>['抱抱', '我', '的', '城']</t>
  </si>
  <si>
    <t>陈立农云上樱花趴</t>
  </si>
  <si>
    <t>['陈立', '农云上', '樱花', '趴']</t>
  </si>
  <si>
    <t>韩东君直男式追妻</t>
  </si>
  <si>
    <t>['韩', '东君', '直', '男式', '追妻']</t>
  </si>
  <si>
    <t>三大运营商将整改套餐复杂数量多</t>
  </si>
  <si>
    <t>['三大', '运营', '营商', '运营商', '将', '整改', '套餐', '复杂', '数量', '多']</t>
  </si>
  <si>
    <t>安倍提议东京奥运会延期一年</t>
  </si>
  <si>
    <t>['安倍', '提议', '东京', '奥运', '奥运会', '延期', '一年']</t>
  </si>
  <si>
    <t>早上醒来被100个人么么哒是什么体验</t>
  </si>
  <si>
    <t>['早上', '醒来', '被', '100', '个人', '么', '么', '哒', '是', '什么', '体验']</t>
  </si>
  <si>
    <t>张艺兴助力2022北京冬奥会</t>
  </si>
  <si>
    <t>['张艺兴', '助力', '2022', '北京', '冬奥', '冬奥会']</t>
  </si>
  <si>
    <t>警方通报15岁男子殴打防疫人员致死</t>
  </si>
  <si>
    <t>['警方', '通报', '15', '岁', '男子', '殴打', '防疫', '人员', '致死']</t>
  </si>
  <si>
    <t>吴宗宪帮辛龙打点刘真后事</t>
  </si>
  <si>
    <t>['吴宗宪', '帮辛龙', '打点', '刘真', '后事']</t>
  </si>
  <si>
    <t>国际奥委会宣布推迟东京奥运会</t>
  </si>
  <si>
    <t>['国际', '委会', '奥委会', '国际奥委会', '宣布', '推迟', '东京', '奥运', '奥运会']</t>
  </si>
  <si>
    <t>朱芳雨直播回应朱八拳</t>
  </si>
  <si>
    <t>['朱芳雨', '直播', '回应', '朱', '八拳']</t>
  </si>
  <si>
    <t>特朗普记者会听到旁人低烧秒躲</t>
  </si>
  <si>
    <t>['特朗普', '记者', '记者会', '听到', '旁人', '低烧', '秒', '躲']</t>
  </si>
  <si>
    <t>官方回应回国女子大闹重庆机场</t>
  </si>
  <si>
    <t>['官方', '回应', '回国', '女子', '大闹', '重庆', '机场']</t>
  </si>
  <si>
    <t>大鹏偷拍女明星吃酱板鸭</t>
  </si>
  <si>
    <t>['大鹏', '偷拍', '明星', '女明星', '吃', '酱', '板鸭']</t>
  </si>
  <si>
    <t>首架国际航班经停太原入境赴京</t>
  </si>
  <si>
    <t>['首架', '国际', '航班', '国际航班', '经停', '太原', '入境', '赴京']</t>
  </si>
  <si>
    <t>钟梓杰唱惊雷</t>
  </si>
  <si>
    <t>['钟梓杰', '唱', '惊雷']</t>
  </si>
  <si>
    <t>东京奥运会最晚2021年夏天举行</t>
  </si>
  <si>
    <t>['东京', '奥运', '奥运会', '最晚', '2021', '年', '夏天', '举行']</t>
  </si>
  <si>
    <t>新冠病毒排毒时间比SARS和流感更长</t>
  </si>
  <si>
    <t>['新冠', '病毒', '排毒', '时间', '比', 'SARS', '和', '流感', '更长']</t>
  </si>
  <si>
    <t>湖北新增1例确诊病例</t>
  </si>
  <si>
    <t>['湖北', '新增', '1', '例', '确诊', '病例']</t>
  </si>
  <si>
    <t>意大利1号病人治愈</t>
  </si>
  <si>
    <t>['大利', '意大利', '1', '号', '病人', '治愈']</t>
  </si>
  <si>
    <t>东京奥运会将推迟至2021年</t>
  </si>
  <si>
    <t>['东京', '奥运', '奥运会', '将', '推迟', '至', '2021', '年']</t>
  </si>
  <si>
    <t>阿里巴巴包机运送540万只口罩</t>
  </si>
  <si>
    <t>['阿里', '巴巴', '阿里巴巴', '包机', '运送', '540', '万', '只', '口罩']</t>
  </si>
  <si>
    <t>北京对入境人员全部核酸检测</t>
  </si>
  <si>
    <t>['北京', '对', '入境', '人员', '全部', '核酸', '检测']</t>
  </si>
  <si>
    <t>上海虹桥机场暂停所有境外航班</t>
  </si>
  <si>
    <t>['上海', '海虹', '虹桥', '机场', '上海虹桥机场', '暂停', '所有', '境外', '航班']</t>
  </si>
  <si>
    <t>2020/03/25</t>
  </si>
  <si>
    <t>虞书欣变身严厉店长</t>
  </si>
  <si>
    <t>['虞书欣', '变身', '严厉', '店长']</t>
  </si>
  <si>
    <t>陈赫花式打嗝挑战玲爷</t>
  </si>
  <si>
    <t>['陈赫', '花式', '打嗝', '挑战', '玲爷']</t>
  </si>
  <si>
    <t>尹正一口春饼嚼121下</t>
  </si>
  <si>
    <t>['尹正', '一口', '春饼', '嚼', '121', '下']</t>
  </si>
  <si>
    <t>汉口火车站消毒指挥C位小哥找到了</t>
  </si>
  <si>
    <t>['汉口', '火车', '车站', '火车站', '消毒', '指挥', 'C', '位', '小哥', '找到', '了']</t>
  </si>
  <si>
    <t>西班牙男子扮狗遛自己</t>
  </si>
  <si>
    <t>['西班牙', '男子', '扮狗', '遛', '自己']</t>
  </si>
  <si>
    <t>厦门肖医生长太帅被围攻</t>
  </si>
  <si>
    <t>['厦门', '肖', '医生', '长', '太帅', '被', '围攻']</t>
  </si>
  <si>
    <t>诺一大喊我是中国人</t>
  </si>
  <si>
    <t>['诺一', '大喊', '我', '是', '中国', '人']</t>
  </si>
  <si>
    <t>少年的你确定重映</t>
  </si>
  <si>
    <t>['少年', '的', '你', '确定', '重映']</t>
  </si>
  <si>
    <t>重庆冰雹</t>
  </si>
  <si>
    <t>['重庆', '冰雹']</t>
  </si>
  <si>
    <t>挑战升级版海草舞</t>
  </si>
  <si>
    <t>['挑战', '升级', '升级版', '海草', '舞']</t>
  </si>
  <si>
    <t>王嘉尔 新歌舞蹈</t>
  </si>
  <si>
    <t>['王嘉尔', ' ', '新', '歌', '舞蹈']</t>
  </si>
  <si>
    <t>因飞机邻座是湖北籍落地被隔离</t>
  </si>
  <si>
    <t>['因', '飞机', '邻座', '是', '湖北', '籍', '落地', '被', '隔离']</t>
  </si>
  <si>
    <t>特朗普决定不再使用中国病毒说法</t>
  </si>
  <si>
    <t>['特朗普', '决定', '不再', '使用', '中国', '病毒', '说法']</t>
  </si>
  <si>
    <t>时尚潮人鉴定局</t>
  </si>
  <si>
    <t>['时尚', '潮人', '鉴定', '局']</t>
  </si>
  <si>
    <t>意大利挂起中国和俄罗斯国旗</t>
  </si>
  <si>
    <t>['大利', '意大利', '挂', '起', '中国', '和', '罗斯', '俄罗斯', '国旗']</t>
  </si>
  <si>
    <t>英国查尔斯王子核酸检测呈阳性</t>
  </si>
  <si>
    <t>['英国', '尔斯', '查尔斯', '王子', '核酸', '检测', '呈', '阳性']</t>
  </si>
  <si>
    <t>陈瑶 这个妹妹好像在哪见过</t>
  </si>
  <si>
    <t>['陈瑶', ' ', '这个', '妹妹', '好像', '在', '哪见', '过']</t>
  </si>
  <si>
    <t>哈佛大学校长夫妇确诊新冠肺炎</t>
  </si>
  <si>
    <t>['哈佛', '大学', '哈佛大学', '校长', '夫妇', '确诊', '新冠', '肺炎']</t>
  </si>
  <si>
    <t>医护粉丝提醒周震南背数学公式</t>
  </si>
  <si>
    <t>['医护', '粉丝', '提醒', '周震南', '背', '数学', '公式', '数学公式']</t>
  </si>
  <si>
    <t>坐轮椅老爷爷站起身向医疗队敬礼</t>
  </si>
  <si>
    <t>['轮椅', '坐轮椅', '老爷', '爷爷', '老爷爷', '站', '起身', '向', '医疗', '医疗队', '敬礼']</t>
  </si>
  <si>
    <t>詹姆斯发视频庆祝Taco Tuesday</t>
  </si>
  <si>
    <t>['詹姆斯', '发', '视频', '庆祝', 'Taco', ' ', 'Tuesday']</t>
  </si>
  <si>
    <t>美国病毒猎手确诊新冠肺炎</t>
  </si>
  <si>
    <t>['美国', '病毒', '猎手', '确诊', '新冠', '肺炎']</t>
  </si>
  <si>
    <t>伊朗新增确诊病例2206例</t>
  </si>
  <si>
    <t>['伊朗', '新增', '确诊', '病例', '2206', '例']</t>
  </si>
  <si>
    <t>武汉市城区疫情评估等级降为中风险</t>
  </si>
  <si>
    <t>['武汉', '武汉市', '城区', '疫情', '评估', '等级', '降为', '中', '风险']</t>
  </si>
  <si>
    <t>商老板吃戏花絮</t>
  </si>
  <si>
    <t>['商', '老板', '吃戏', '花絮']</t>
  </si>
  <si>
    <t>世卫组织称美国可能成全球疫情震中</t>
  </si>
  <si>
    <t>['世卫', '组织', '称', '美国', '可能', '成', '全球', '疫情', '震中']</t>
  </si>
  <si>
    <t>全国新增确诊病例47例</t>
  </si>
  <si>
    <t>['全国', '新增', '确诊', '病例', '47', '例']</t>
  </si>
  <si>
    <t>冰糖炖雪梨海外剧名</t>
  </si>
  <si>
    <t>['冰糖', '炖', '雪梨', '海外', '剧名']</t>
  </si>
  <si>
    <t>易烊千玺 周冬雨</t>
  </si>
  <si>
    <t>['易', '烊', '千玺', ' ', '周', '冬雨']</t>
  </si>
  <si>
    <t>p社起诉周洁琼</t>
  </si>
  <si>
    <t>['p', '社', '起诉', '周洁琼']</t>
  </si>
  <si>
    <t>赵奕欢公布恋情</t>
  </si>
  <si>
    <t>['赵奕欢', '公布', '恋情']</t>
  </si>
  <si>
    <t>曲云去世</t>
  </si>
  <si>
    <t>['曲云', '去世']</t>
  </si>
  <si>
    <t>武汉战疫全景纪录片英雄之城</t>
  </si>
  <si>
    <t>['武汉', '战疫', '全景', '纪录', '纪录片', '英雄', '之', '城']</t>
  </si>
  <si>
    <t>特雷杨心中的NBA历史前五</t>
  </si>
  <si>
    <t>['特雷', '杨', '心中', '的', 'NBA', '历史', '前五']</t>
  </si>
  <si>
    <t>任嘉伦文案</t>
  </si>
  <si>
    <t>['任嘉伦', '文案']</t>
  </si>
  <si>
    <t>湖北除武汉外恢复铁路客运</t>
  </si>
  <si>
    <t>['湖北', '除', '武汉', '外', '恢复', '铁路', '客运']</t>
  </si>
  <si>
    <t>2020/03/26</t>
  </si>
  <si>
    <t>蔡徐坤3D大片</t>
  </si>
  <si>
    <t>['蔡', '徐坤', '3D', '大片']</t>
  </si>
  <si>
    <t>王嘉尔 100ways瞬间移动</t>
  </si>
  <si>
    <t>['王嘉尔', ' ', '100ways', '瞬间', '移动']</t>
  </si>
  <si>
    <t>外交部热线已接近7万通电话</t>
  </si>
  <si>
    <t>['外交', '外交部', '热线', '已', '接近', '7', '万', '通电', '电话', '通电话']</t>
  </si>
  <si>
    <t>疑似广东某工地地下挖出一辆轿车</t>
  </si>
  <si>
    <t>['疑似', '广东', '某', '工地', '地下', '挖出', '一辆', '轿车']</t>
  </si>
  <si>
    <t>五菱汽车开始生产螺蛳粉</t>
  </si>
  <si>
    <t>['五菱', '汽车', '开始', '生产', '螺蛳', '粉']</t>
  </si>
  <si>
    <t>猫猫出轨现场</t>
  </si>
  <si>
    <t>['猫猫', '出轨', '现场']</t>
  </si>
  <si>
    <t>罗永浩官宣抖音直播</t>
  </si>
  <si>
    <t>['罗永浩', '官宣抖音', '直播']</t>
  </si>
  <si>
    <t>健康好物新招数</t>
  </si>
  <si>
    <t>['健康', '好物', '招数', '新招数']</t>
  </si>
  <si>
    <t>英雄之城</t>
  </si>
  <si>
    <t>['英雄', '之', '城']</t>
  </si>
  <si>
    <t>张伟丽滞留美国哭诉想家</t>
  </si>
  <si>
    <t>['张伟丽', '滞留', '美国', '哭诉', '想家']</t>
  </si>
  <si>
    <t>延迟开学的当代大学生</t>
  </si>
  <si>
    <t>['延迟', '开学', '的', '当代', '大学', '学生', '大学生']</t>
  </si>
  <si>
    <t>当你的抖音被刘亦菲翻牌后</t>
  </si>
  <si>
    <t>['当', '你', '的', '抖音', '被', '刘亦菲', '翻牌', '后']</t>
  </si>
  <si>
    <t>工地施工挖出轿车后续</t>
  </si>
  <si>
    <t>['工地', '施工', '挖出', '轿车', '后续']</t>
  </si>
  <si>
    <t>江苏一高校本学期无需返校</t>
  </si>
  <si>
    <t>['江苏', '一', '高校', '学期', '本学期', '无需', '返校']</t>
  </si>
  <si>
    <t>周冬雨</t>
  </si>
  <si>
    <t>['周', '冬雨']</t>
  </si>
  <si>
    <t>全国新增确诊病例67例</t>
  </si>
  <si>
    <t>['全国', '新增', '确诊', '病例', '67', '例']</t>
  </si>
  <si>
    <t>张萌一家三口戴口罩现身餐厅</t>
  </si>
  <si>
    <t>['张萌', '一家', '三口', '戴', '口罩', '现身', '餐厅']</t>
  </si>
  <si>
    <t>中国暂停持有效签证的外国人入境</t>
  </si>
  <si>
    <t>['中国', '暂停', '持', '有效', '签证', '的', '外国', '国人', '外国人', '入境']</t>
  </si>
  <si>
    <t>新冠损伤男性生殖功能现临床证据</t>
  </si>
  <si>
    <t>['新冠', '损伤', '男性', '生殖', '功能', '现', '临床', '证据']</t>
  </si>
  <si>
    <t>大熊猫星晴</t>
  </si>
  <si>
    <t>['大熊', '熊猫', '大熊猫', '星晴']</t>
  </si>
  <si>
    <t>陈瑶 黑化三部曲</t>
  </si>
  <si>
    <t>['陈瑶', ' ', '黑化', '三部', '三部曲']</t>
  </si>
  <si>
    <t>张艺兴为北京2022年冬奥会报幕</t>
  </si>
  <si>
    <t>['张艺兴', '为', '北京', '2022', '年', '冬奥', '冬奥会', '报幕']</t>
  </si>
  <si>
    <t>西班牙副首相新冠病毒检测呈阳性</t>
  </si>
  <si>
    <t>['西班牙', '副', '首相', '新冠', '病毒', '检测', '病毒检测', '呈', '阳性']</t>
  </si>
  <si>
    <t>三月三</t>
  </si>
  <si>
    <t>['三月', '三']</t>
  </si>
  <si>
    <t>唱跳练习生奥尼尔</t>
  </si>
  <si>
    <t>['唱', '跳', '练习', '练习生', '尼尔', '奥尼尔']</t>
  </si>
  <si>
    <t>外国航空公司至中国航线只能保留1条</t>
  </si>
  <si>
    <t>['外国', '航空', '公司', '航空公司', '至', '中国', '航线', '只能', '保留', '1', '条']</t>
  </si>
  <si>
    <t>美国新冠肺炎确诊病例已达62086例</t>
  </si>
  <si>
    <t>['美国', '新冠', '肺炎', '确诊', '病例', '已达', '62086', '例']</t>
  </si>
  <si>
    <t>罗永浩签约抖音直播</t>
  </si>
  <si>
    <t>['罗永浩', '签约', '抖音', '直播']</t>
  </si>
  <si>
    <t>邓超孙俪邀医护粉丝撕名牌</t>
  </si>
  <si>
    <t>['邓超', '孙俪', '邀', '医护', '粉丝', '撕', '名牌']</t>
  </si>
  <si>
    <t>川航回应因邻座红码被隔离索赔</t>
  </si>
  <si>
    <t>['川航', '回应', '因', '邻座', '红码', '被', '隔离', '索赔']</t>
  </si>
  <si>
    <t>土味视频作者被刘亦菲翻牌后的样子</t>
  </si>
  <si>
    <t>['土味', '视频', '作者', '被', '刘亦菲', '翻牌', '后', '的', '样子']</t>
  </si>
  <si>
    <t>西班牙新增8578例确诊病例</t>
  </si>
  <si>
    <t>['西班牙', '新增', '8578', '例', '确诊', '病例']</t>
  </si>
  <si>
    <t>当狗狗学会赚钱</t>
  </si>
  <si>
    <t>['当', '狗狗', '学会', '赚钱']</t>
  </si>
  <si>
    <t>伊朗新增2389例确诊病例</t>
  </si>
  <si>
    <t>['伊朗', '新增', '2389', '例', '确诊', '病例']</t>
  </si>
  <si>
    <t>金星伴月</t>
  </si>
  <si>
    <t>['金星', '伴月']</t>
  </si>
  <si>
    <t>2020/03/27</t>
  </si>
  <si>
    <t>全国新增确诊病例55例</t>
  </si>
  <si>
    <t>['全国', '新增', '确诊', '病例', '55', '例']</t>
  </si>
  <si>
    <t>惊鸿舞本鸿来了</t>
  </si>
  <si>
    <t>['惊鸿', '舞本鸿来', '了']</t>
  </si>
  <si>
    <t>特朗普称车祸比新冠肺炎死亡更多</t>
  </si>
  <si>
    <t>['特朗普', '称', '车祸', '比新冠', '肺炎', '死亡', '更', '多']</t>
  </si>
  <si>
    <t>易烊千玺想做躺播</t>
  </si>
  <si>
    <t>['易', '烊', '千玺', '想', '做', '躺', '播']</t>
  </si>
  <si>
    <t>特朗普强调美国人必须尽快复工</t>
  </si>
  <si>
    <t>['特朗普', '强调', '美国', '人', '必须', '尽快', '复工']</t>
  </si>
  <si>
    <t>翻唱秦牛正威的rap</t>
  </si>
  <si>
    <t>['翻唱', '秦牛', '正威', '的', 'rap']</t>
  </si>
  <si>
    <t>以家人之名神仙阵容</t>
  </si>
  <si>
    <t>['以', '家人', '之名', '神仙', '阵容']</t>
  </si>
  <si>
    <t>鹿晗黄子韬biubiu合拍</t>
  </si>
  <si>
    <t>['鹿晗', '黄子', '韬', 'biubiu', '合拍']</t>
  </si>
  <si>
    <t>买450平复式房却花4500元装修</t>
  </si>
  <si>
    <t>['买', '450', '平', '复式', '复式房', '却花', '4500', '元', '装修']</t>
  </si>
  <si>
    <t>英国首相新冠病毒检测呈阳性</t>
  </si>
  <si>
    <t>['英国', '首相', '英国首相', '新冠', '病毒', '检测', '病毒检测', '呈', '阳性']</t>
  </si>
  <si>
    <t>华为P40发布会</t>
  </si>
  <si>
    <t>['华为', 'P40', '发布', '发布会']</t>
  </si>
  <si>
    <t>三千鸦杀澡堂吻</t>
  </si>
  <si>
    <t>['三千', '鸦杀', '澡堂', '吻']</t>
  </si>
  <si>
    <t>俄罗斯将停止所有国际定期与包机航班</t>
  </si>
  <si>
    <t>['罗斯', '俄罗斯', '将', '停止', '所有', '国际', '定期', '与', '包机', '航班']</t>
  </si>
  <si>
    <t>100ways虐狗舞蹈</t>
  </si>
  <si>
    <t>['100ways', '虐狗', '舞蹈']</t>
  </si>
  <si>
    <t>隔离点撩小哥哥翻车现场</t>
  </si>
  <si>
    <t>['隔离', '点', '撩', '小', '哥哥', '翻车', '现场']</t>
  </si>
  <si>
    <t>钟南山回应国内是否会二次暴发疫情</t>
  </si>
  <si>
    <t>['南山', '钟南山', '回应', '国内', '是否', '会', '二次', '暴发', '疫情']</t>
  </si>
  <si>
    <t>许美达连线许君聪</t>
  </si>
  <si>
    <t>['许', '美达', '连线', '许君聪']</t>
  </si>
  <si>
    <t>英国麦当劳闭店前车辆排长龙</t>
  </si>
  <si>
    <t>['英国', '麦当劳', '闭店', '前', '车辆', '排长', '长龙', '排长龙']</t>
  </si>
  <si>
    <t>钟南山称疫情震中可能转移至美国</t>
  </si>
  <si>
    <t>['南山', '钟南山', '称', '疫情', '震中', '可能', '转移', '至', '美国']</t>
  </si>
  <si>
    <t>西班牙新增确诊7871例</t>
  </si>
  <si>
    <t>['西班牙', '新增', '确诊', '7871', '例']</t>
  </si>
  <si>
    <t>棠雪黎语冰合唱</t>
  </si>
  <si>
    <t>['棠', '雪', '黎语', '冰', '合唱']</t>
  </si>
  <si>
    <t>美股暴涨</t>
  </si>
  <si>
    <t>['美股', '暴涨']</t>
  </si>
  <si>
    <t>林宥嘉二胎得女</t>
  </si>
  <si>
    <t>['林宥', '嘉', '二胎', '得', '女']</t>
  </si>
  <si>
    <t>男子捐款后示爱被拒要求还钱</t>
  </si>
  <si>
    <t>['男子', '捐款', '后', '示爱', '被', '拒', '要求', '还', '钱']</t>
  </si>
  <si>
    <t>李雪琴喊罗永浩卖卫星</t>
  </si>
  <si>
    <t>['李雪琴', '喊', '罗永浩', '卖', '卫星']</t>
  </si>
  <si>
    <t>罗永浩请卖它</t>
  </si>
  <si>
    <t>['罗永浩', '请', '卖', '它']</t>
  </si>
  <si>
    <t>美国成全球确诊病例最多的国家</t>
  </si>
  <si>
    <t>['美国', '成', '全球', '确诊', '病例', '最多', '的', '国家']</t>
  </si>
  <si>
    <t>浙江新增1例本土病例</t>
  </si>
  <si>
    <t>['浙江', '新增', '1', '例', '本土', '病例']</t>
  </si>
  <si>
    <t>伊朗陆军方舱医院内部画面</t>
  </si>
  <si>
    <t>['伊朗', '陆军', '方舱', '医院', '内部', '画面']</t>
  </si>
  <si>
    <t>汪小菲酒店成为防疫旅馆</t>
  </si>
  <si>
    <t>['汪小菲', '酒店', '成为', '防疫', '旅馆']</t>
  </si>
  <si>
    <t>意大利新冠肺炎确诊病例超8万</t>
  </si>
  <si>
    <t>['大利', '意大利', '新冠', '肺炎', '确诊', '病例', '超', '8', '万']</t>
  </si>
  <si>
    <t>韩国新冠肺炎确诊病例增至9332例</t>
  </si>
  <si>
    <t>['韩国', '新冠', '肺炎', '确诊', '病例', '增至', '9332', '例']</t>
  </si>
  <si>
    <t>韩国大邱15%确诊患者嗅觉味觉丧失</t>
  </si>
  <si>
    <t>['韩国', '大邱', '15%', '确诊', '患者', '嗅觉', '味觉', '丧失']</t>
  </si>
  <si>
    <t>2020/03/28</t>
  </si>
  <si>
    <t>全国新增确诊病例54例</t>
  </si>
  <si>
    <t>['全国', '新增', '确诊', '病例', '54', '例']</t>
  </si>
  <si>
    <t>美国新冠病毒感染病例超过10万</t>
  </si>
  <si>
    <t>['美国', '新冠', '病毒', '感染', '病毒感染', '病例', '超过', '10', '万']</t>
  </si>
  <si>
    <t>湖北除武汉外其他机场恢复客运航班</t>
  </si>
  <si>
    <t>['湖北', '除', '武汉', '外', '其他', '机场', '恢复', '客运', '航班']</t>
  </si>
  <si>
    <t>肖央给王太利女儿加油</t>
  </si>
  <si>
    <t>['肖央', '给', '王太利', '女儿', '加油']</t>
  </si>
  <si>
    <t>今年是1961年以来气温第二高年份</t>
  </si>
  <si>
    <t>['今年', '是', '1961', '年', '以来', '气温', '第二', '高', '年份']</t>
  </si>
  <si>
    <t>武磊妻子新冠肺炎检测呈阳性</t>
  </si>
  <si>
    <t>['武磊', '妻子', '新冠', '肺炎', '检测', '呈', '阳性']</t>
  </si>
  <si>
    <t>地球一小时熄灯直播</t>
  </si>
  <si>
    <t>['地球', '一', '小时', '熄灯', '直播']</t>
  </si>
  <si>
    <t>意大利单日死亡病例近千例</t>
  </si>
  <si>
    <t>['大利', '意大利', '单日', '死亡', '病例', '近', '千例']</t>
  </si>
  <si>
    <t>英国人集体鼓掌感谢医务人员</t>
  </si>
  <si>
    <t>['英国', '国人', '英国人', '集体', '鼓掌', '感谢', '医务', '人员', '医务人员']</t>
  </si>
  <si>
    <t>成年人的崩溃就在一瞬间</t>
  </si>
  <si>
    <t>['成年', '成年人', '的', '崩溃', '就', '在', '一瞬', '瞬间', '一瞬间']</t>
  </si>
  <si>
    <t>阚清子谈婚姻</t>
  </si>
  <si>
    <t>['阚清子', '谈', '婚姻']</t>
  </si>
  <si>
    <t>郑爽现身薇娅直播间</t>
  </si>
  <si>
    <t>['郑爽', '现身', '薇', '娅', '直播', '直播间']</t>
  </si>
  <si>
    <t>张艺兴减肥秘籍</t>
  </si>
  <si>
    <t>['张艺兴', '减肥', '秘籍']</t>
  </si>
  <si>
    <t>1918年大流感幸存者给2020年的提醒</t>
  </si>
  <si>
    <t>['1918', '年', '大', '流感', '幸存', '幸存者', '给', '2020', '年', '的', '提醒']</t>
  </si>
  <si>
    <t>8辆消防车集体出动</t>
  </si>
  <si>
    <t>['8', '辆', '消防', '消防车', '集体', '出动']</t>
  </si>
  <si>
    <t>姜潮麦迪娜版我还是从前那个少年</t>
  </si>
  <si>
    <t>['姜潮', '麦迪娜', '版', '我', '还是', '从前', '那个', '少年']</t>
  </si>
  <si>
    <t>地铁散落上万现金无人认领</t>
  </si>
  <si>
    <t>['地铁', '散落', '上万', '现金', '无人', '认领', '无人认领']</t>
  </si>
  <si>
    <t>心疼莲生</t>
  </si>
  <si>
    <t>['心疼', '莲生']</t>
  </si>
  <si>
    <t>比尔盖茨喊话全美学习中国</t>
  </si>
  <si>
    <t>['比尔', '盖茨', '比尔盖茨', '喊话', '全美', '学习', '中国']</t>
  </si>
  <si>
    <t>八达岭长城刻字当事人已被找到</t>
  </si>
  <si>
    <t>['八达', '长城', '八达岭', '八达岭长城', '刻字', '当事', '当事人', '已', '被', '找到']</t>
  </si>
  <si>
    <t>英国女王11日曾会见首相约翰逊</t>
  </si>
  <si>
    <t>['英国', '女王', '英国女王', '11', '日', '曾', '会见', '首相', '约翰', '约翰逊']</t>
  </si>
  <si>
    <t>戈贝尔和米切尔痊愈</t>
  </si>
  <si>
    <t>['贝尔', '戈贝尔', '和', '切尔', '米切尔', '痊愈']</t>
  </si>
  <si>
    <t>对外援助首先保证国内需要</t>
  </si>
  <si>
    <t>['对外', '援助', '首先', '保证', '国内', '需要']</t>
  </si>
  <si>
    <t>特朗普祝英国首相早日康复</t>
  </si>
  <si>
    <t>['特朗普', '祝', '英国', '首相', '英国首相', '早日', '康复', '早日康复']</t>
  </si>
  <si>
    <t>湖南开学时间</t>
  </si>
  <si>
    <t>['湖南', '开学', '时间']</t>
  </si>
  <si>
    <t>秦霄贤爬墙柳岩</t>
  </si>
  <si>
    <t>['秦霄贤', '爬墙', '柳岩']</t>
  </si>
  <si>
    <t>傅九云表白覃川</t>
  </si>
  <si>
    <t>['傅九云', '表白', '覃川']</t>
  </si>
  <si>
    <t>周深唱达拉崩吧跳极乐净土</t>
  </si>
  <si>
    <t>['周深', '唱', '达拉', '崩', '吧', '跳', '极乐', '净土']</t>
  </si>
  <si>
    <t>南京回应为外籍居民提供暖心服务</t>
  </si>
  <si>
    <t>['南京', '回应', '为', '外籍', '居民', '提供', '暖心', '服务']</t>
  </si>
  <si>
    <t>檀健次 处处吻</t>
  </si>
  <si>
    <t>['檀健次', ' ', '处处', '吻']</t>
  </si>
  <si>
    <t>林允张新成滑雪</t>
  </si>
  <si>
    <t>['林允', '张新成', '滑雪']</t>
  </si>
  <si>
    <t>原来红绿灯有这么大</t>
  </si>
  <si>
    <t>['原来', '红绿', '绿灯', '红绿灯', '有', '这么', '大']</t>
  </si>
  <si>
    <t>西班牙新增8189例确诊病例</t>
  </si>
  <si>
    <t>['西班牙', '新增', '8189', '例', '确诊', '病例']</t>
  </si>
  <si>
    <t>2020/03/29</t>
  </si>
  <si>
    <t>罗永浩砍价</t>
  </si>
  <si>
    <t>['罗永浩', '砍价']</t>
  </si>
  <si>
    <t>鞠婧祎出场险摔倒</t>
  </si>
  <si>
    <t>['鞠婧', '祎', '出场', '险', '摔倒']</t>
  </si>
  <si>
    <t>令人窒息的rap现场</t>
  </si>
  <si>
    <t>['令人', '窒息', '令人窒息', '的', 'rap', '现场']</t>
  </si>
  <si>
    <t>Amber为雪莉庆生</t>
  </si>
  <si>
    <t>['Amber', '为雪莉', '庆生']</t>
  </si>
  <si>
    <t>陈赫给二手玫瑰直播刷礼物</t>
  </si>
  <si>
    <t>['陈赫', '给', '二手', '玫瑰', '直播', '刷', '礼物']</t>
  </si>
  <si>
    <t>特朗普称美国能从中国的经历中学到很多</t>
  </si>
  <si>
    <t>['特朗普', '称', '美国', '能', '从', '中国', '的', '经历', '中学', '到', '很多']</t>
  </si>
  <si>
    <t>口技大神还原百鸟朝凤</t>
  </si>
  <si>
    <t>['口技', '大神', '还原', '百鸟', '百鸟朝凤']</t>
  </si>
  <si>
    <t>美国新冠肺炎确诊超12万例</t>
  </si>
  <si>
    <t>['美国', '新冠', '肺炎', '确诊', '超', '12', '万例']</t>
  </si>
  <si>
    <t>全国新增确诊病例45例</t>
  </si>
  <si>
    <t>['全国', '新增', '确诊', '病例', '45', '例']</t>
  </si>
  <si>
    <t>纽约州长称强制隔离相当于宣战</t>
  </si>
  <si>
    <t>['纽约', '纽约州', '长称', '强制', '隔离', '相当', '当于', '相当于', '宣战']</t>
  </si>
  <si>
    <t>中式豪华轿车惊艳亮相</t>
  </si>
  <si>
    <t>['中式', '豪华', '轿车', '豪华轿车', '惊艳', '亮相']</t>
  </si>
  <si>
    <t>冰岛发现全球首例双重感染者</t>
  </si>
  <si>
    <t>['冰岛', '发现', '全球', '首例', '双重', '感染', '感染者']</t>
  </si>
  <si>
    <t>俄罗斯自3月30日起限制出入境</t>
  </si>
  <si>
    <t>['罗斯', '俄罗斯', '自', '3', '月', '30', '日起', '限制', '出入', '入境', '出入境']</t>
  </si>
  <si>
    <t>意大利新增确诊病例5974例</t>
  </si>
  <si>
    <t>['大利', '意大利', '新增', '确诊', '病例', '5974', '例']</t>
  </si>
  <si>
    <t>扫黄打非办回应国内版N号房</t>
  </si>
  <si>
    <t>['扫黄', '打非', '扫黄打非', '办', '回应', '国内', '版', 'N', '号房']</t>
  </si>
  <si>
    <t>卢世璧院士逝世</t>
  </si>
  <si>
    <t>['卢世', '璧', '院士', '逝世']</t>
  </si>
  <si>
    <t>法国向中国订购10亿只口罩</t>
  </si>
  <si>
    <t>['法国', '向', '中国', '订购', '10', '亿只', '口罩']</t>
  </si>
  <si>
    <t>英国护士出门上班整条街为她鼓掌</t>
  </si>
  <si>
    <t>['英国', '护士', '出门', '上班', '整条', '街为', '她', '鼓掌']</t>
  </si>
  <si>
    <t>四川木里发生森林火灾</t>
  </si>
  <si>
    <t>['四川', '木里', '发生', '森林', '火灾']</t>
  </si>
  <si>
    <t>河南郏县发现2例新冠肺炎阳性检测者</t>
  </si>
  <si>
    <t>['河南', '郏县', '发现', '2', '例新冠', '肺炎', '阳性', '检测', '者']</t>
  </si>
  <si>
    <t>用说唱的方式打开选秀节目</t>
  </si>
  <si>
    <t>['用', '说唱', '的', '方式', '打开', '选秀', '节目']</t>
  </si>
  <si>
    <t>卫健委 本土疫情传播已基本阻断</t>
  </si>
  <si>
    <t>['卫健委', ' ', '本土', '疫情', '传播', '已', '基本', '阻断']</t>
  </si>
  <si>
    <t>gala唱追梦赤子心翻车</t>
  </si>
  <si>
    <t>['gala', '唱', '追梦', '赤子', '赤子心', '翻车']</t>
  </si>
  <si>
    <t>两名国家女子冰球队员确诊新冠肺炎</t>
  </si>
  <si>
    <t>['两名', '国家', '女子', '冰球', '队员', '确诊', '新冠', '肺炎']</t>
  </si>
  <si>
    <t>段奥娟追光者</t>
  </si>
  <si>
    <t>['段', '奥娟', '追光', '者']</t>
  </si>
  <si>
    <t>郭艾伦李易峰当众撒狗粮</t>
  </si>
  <si>
    <t>['郭', '艾伦', '李易峰', '当众', '撒狗', '粮']</t>
  </si>
  <si>
    <t>WHO助理总干事对记者提问回应亮了</t>
  </si>
  <si>
    <t>['WHO', '助理', '干事', '总干事', '对', '记者', '提问', '回应', '亮', '了']</t>
  </si>
  <si>
    <t>7098名滞留湖北的北京人员已返京</t>
  </si>
  <si>
    <t>['7098', '名', '滞留', '湖北', '的', '北京', '人员', '已', '返京']</t>
  </si>
  <si>
    <t>西班牙新增确诊6549例</t>
  </si>
  <si>
    <t>['西班牙', '新增', '确诊', '6549', '例']</t>
  </si>
  <si>
    <t>山东赴英国工作组抵达伦敦</t>
  </si>
  <si>
    <t>['山东', '赴', '英国', '工作', '工作组', '抵达', '伦敦']</t>
  </si>
  <si>
    <t>女孩听到只能吃妈妈做的饭崩溃</t>
  </si>
  <si>
    <t>['女孩', '听到', '只能', '吃', '妈妈', '做', '的', '饭', '崩溃']</t>
  </si>
  <si>
    <t>谁年轻的时候还不是个校花</t>
  </si>
  <si>
    <t>['谁', '年轻', '的', '时候', '还', '不是', '个', '校花']</t>
  </si>
  <si>
    <t>云南发生森林火灾</t>
  </si>
  <si>
    <t>['云南', '发生', '森林', '火灾']</t>
  </si>
  <si>
    <t>2020/03/30</t>
  </si>
  <si>
    <t>罗云熙白鹿互抱</t>
  </si>
  <si>
    <t>['罗云熙', '白鹿互', '抱']</t>
  </si>
  <si>
    <t>罗永浩 你有什么可豪横的</t>
  </si>
  <si>
    <t>['罗永浩', ' ', '你', '有', '什么', '可', '豪横', '的']</t>
  </si>
  <si>
    <t>当王一博遇到自己的偶像</t>
  </si>
  <si>
    <t>['当王', '一博', '遇到', '自己', '的', '偶像']</t>
  </si>
  <si>
    <t>杨幂 记得充电</t>
  </si>
  <si>
    <t>['杨幂', ' ', '记得', '充电']</t>
  </si>
  <si>
    <t>孟美岐酒后表白吴宣仪</t>
  </si>
  <si>
    <t>['孟美岐', '酒后', '表白', '吴宣仪']</t>
  </si>
  <si>
    <t>一列客运火车在湖南郴州脱轨侧翻</t>
  </si>
  <si>
    <t>['一列', '客运', '火车', '在', '湖南', '郴州', '脱轨', '侧翻']</t>
  </si>
  <si>
    <t>泡芙安生恋情新进展</t>
  </si>
  <si>
    <t>['泡', '芙', '安生', '恋情', '进展', '新进展']</t>
  </si>
  <si>
    <t>让万妮达想到jonyj的rap</t>
  </si>
  <si>
    <t>['让', '万妮', '达', '想到', 'jonyj', '的', 'rap']</t>
  </si>
  <si>
    <t>网曝极限挑战成员更换</t>
  </si>
  <si>
    <t>['网', '曝', '极限', '挑战', '成员', '更换']</t>
  </si>
  <si>
    <t>时刻高能冒险家</t>
  </si>
  <si>
    <t>['时刻', '高能', '冒险', '冒险家']</t>
  </si>
  <si>
    <t>李心艾透露唐嫣生下龙凤胎</t>
  </si>
  <si>
    <t>['李心', '艾', '透露', '唐嫣', '生下', '龙凤', '龙凤胎']</t>
  </si>
  <si>
    <t>李佳琦表情</t>
  </si>
  <si>
    <t>['李佳琦', '表情']</t>
  </si>
  <si>
    <t>谁是说车王</t>
  </si>
  <si>
    <t>['谁', '是', '说', '车王']</t>
  </si>
  <si>
    <t>王一博首次单人三封面</t>
  </si>
  <si>
    <t>['王一博', '首次', '单人', '三', '封面']</t>
  </si>
  <si>
    <t>陆家嘴三大高楼观光厅临时关闭</t>
  </si>
  <si>
    <t>['陆家', '陆家嘴', '三大', '高楼', '观光', '厅', '临时', '关闭']</t>
  </si>
  <si>
    <t>王栎鑫自弹自唱致敬beyond</t>
  </si>
  <si>
    <t>['王栎鑫', '自弹', '自唱', '自弹自唱', '致敬', 'beyond']</t>
  </si>
  <si>
    <t>全国新增确诊病例31例</t>
  </si>
  <si>
    <t>['全国', '新增', '确诊', '病例', '31', '例']</t>
  </si>
  <si>
    <t>衣冠不整 起码要打领带</t>
  </si>
  <si>
    <t>['衣冠', '衣冠不整', ' ', '起码', '要', '领带', '打领带']</t>
  </si>
  <si>
    <t>外籍男子拒戴口罩不服从管理限期出境</t>
  </si>
  <si>
    <t>['外籍', '男子', '拒戴', '口罩', '不', '服从', '管理', '限期', '出境']</t>
  </si>
  <si>
    <t>董子健用rap给女儿讲故事</t>
  </si>
  <si>
    <t>['董子', '健用', 'rap', '给', '女儿', '故事', '讲故事']</t>
  </si>
  <si>
    <t>郭京飞被绑架</t>
  </si>
  <si>
    <t>['郭京飞', '被', '绑架']</t>
  </si>
  <si>
    <t>演唱会上的沙雕应援</t>
  </si>
  <si>
    <t>['演唱', '演唱会', '上', '的', '沙雕', '应援']</t>
  </si>
  <si>
    <t>包贝尔包文婧为饺子庆生</t>
  </si>
  <si>
    <t>['包', '贝尔', '包文婧', '为', '饺子', '庆生']</t>
  </si>
  <si>
    <t>湖南火车脱轨侧翻致1人遇难</t>
  </si>
  <si>
    <t>['湖南', '火车', '脱轨', '侧翻', '致', '1', '人', '遇难']</t>
  </si>
  <si>
    <t>东京奥运会明年7月23日开幕</t>
  </si>
  <si>
    <t>['东京', '奥运', '奥运会', '明年', '7', '月', '23', '日', '开幕']</t>
  </si>
  <si>
    <t>误入武汉的大连小伙回家了</t>
  </si>
  <si>
    <t>['误入', '武汉', '的', '大连', '小伙', '回家', '了']</t>
  </si>
  <si>
    <t>菲律宾狮航一架飞机坠毁</t>
  </si>
  <si>
    <t>['菲律宾', '狮航', '一架', '飞机', '坠毁']</t>
  </si>
  <si>
    <t>挑战100ways瞬间移动召唤王嘉尔</t>
  </si>
  <si>
    <t>['挑战', '100ways', '瞬间', '移动', '召唤', '王嘉尔']</t>
  </si>
  <si>
    <t>锡纸球成品</t>
  </si>
  <si>
    <t>['锡纸', '球', '成品']</t>
  </si>
  <si>
    <t>罗志祥即将归队极限挑战</t>
  </si>
  <si>
    <t>['罗志祥', '即将', '归队', '极限', '挑战']</t>
  </si>
  <si>
    <t>杭州90后夫妻举办云婚礼</t>
  </si>
  <si>
    <t>['杭州', '90', '后', '夫妻', '举办', '云', '婚礼']</t>
  </si>
  <si>
    <t>特朗普描述纽约医院惨状</t>
  </si>
  <si>
    <t>['特朗普', '描述', '纽约', '医院', '惨状']</t>
  </si>
  <si>
    <t>李佳琦成功追星王嘉尔</t>
  </si>
  <si>
    <t>['李佳琦', '成功', '追星', '王嘉尔']</t>
  </si>
  <si>
    <t>误入武汉的保洁小伙要回家了</t>
  </si>
  <si>
    <t>['误入', '武汉', '的', '保洁', '小伙', '要', '回家', '了']</t>
  </si>
  <si>
    <t>西班牙新增确诊6398例</t>
  </si>
  <si>
    <t>['西班牙', '新增', '确诊', '6398', '例']</t>
  </si>
  <si>
    <t>美国主持人回怼向中国索要道歉言论</t>
  </si>
  <si>
    <t>['美国', '主持', '主持人', '回怼', '向', '中国', '索要', '道歉', '言论']</t>
  </si>
  <si>
    <t>2020/03/31</t>
  </si>
  <si>
    <t>荷兰博物馆一幅梵高的画作被偷</t>
  </si>
  <si>
    <t>['荷兰', '博物', '博物馆', '一幅', '梵高', '的', '画作', '被', '偷']</t>
  </si>
  <si>
    <t>萧敬腾恋情</t>
  </si>
  <si>
    <t>['萧敬腾', '恋情']</t>
  </si>
  <si>
    <t>有些女孩一抬眼就变成了坏女人</t>
  </si>
  <si>
    <t>['有些', '女孩', '一抬眼', '就', '变成', '了', '坏', '女人']</t>
  </si>
  <si>
    <t>西昌火灾市民称火比去年大</t>
  </si>
  <si>
    <t>['西昌', '火灾', '市民', '称火', '比', '去年', '大']</t>
  </si>
  <si>
    <t>西昌市民自发送别19名牺牲救援人员</t>
  </si>
  <si>
    <t>['西昌', '市民', '自发', '送别', '19', '名', '牺牲', '救援', '人员']</t>
  </si>
  <si>
    <t>玲爷又双叕被挑战了</t>
  </si>
  <si>
    <t>['玲爷', '又', '双', '叕', '被', '挑战', '了']</t>
  </si>
  <si>
    <t>4月1日起每日公布无症状感染者情况</t>
  </si>
  <si>
    <t>['4', '月', '1', '日起', '每日', '公布', '症状', '无症状', '感染', '感染者', '情况']</t>
  </si>
  <si>
    <t>致中山一家六口身亡火灾原因</t>
  </si>
  <si>
    <t>['致', '中山', '一家', '六口', '身亡', '火灾', '原因']</t>
  </si>
  <si>
    <t>美由芯生</t>
  </si>
  <si>
    <t>['美由', '芯生']</t>
  </si>
  <si>
    <t>T179次列车事故乘警殉职</t>
  </si>
  <si>
    <t>['T179', '列车', '次列车', '事故', '乘警', '殉职']</t>
  </si>
  <si>
    <t>草莓小金哥</t>
  </si>
  <si>
    <t>['草莓', '小金', '哥']</t>
  </si>
  <si>
    <t>西昌森林火灾牺牲英雄名单公布</t>
  </si>
  <si>
    <t>['西昌', '森林', '火灾', '牺牲', '英雄', '名单', '公布']</t>
  </si>
  <si>
    <t>李佳琦never跳舞应援王嘉尔</t>
  </si>
  <si>
    <t>['李佳琦', 'never', '跳舞', '应援', '王嘉尔']</t>
  </si>
  <si>
    <t>王一博吃起东西像小仓鼠</t>
  </si>
  <si>
    <t>['王一博', '吃', '起', '东西', '像', '小', '仓鼠']</t>
  </si>
  <si>
    <t>全国新增确诊病例48例</t>
  </si>
  <si>
    <t>['全国', '新增', '确诊', '病例', '48', '例']</t>
  </si>
  <si>
    <t>韩国N号房参与者跳江自杀</t>
  </si>
  <si>
    <t>['韩国', 'N', '号房', '参与', '参与者', '跳江', '自杀']</t>
  </si>
  <si>
    <t>2020年全国高考延期一个月举行</t>
  </si>
  <si>
    <t>['2020', '年', '全国', '高考', '延期', '一个', '一个月', '举行']</t>
  </si>
  <si>
    <t>陈伟霆 刘雯</t>
  </si>
  <si>
    <t>['陈伟霆', ' ', '刘雯']</t>
  </si>
  <si>
    <t>易烊千玺卷发造型</t>
  </si>
  <si>
    <t>['易', '烊', '千玺', '卷发', '造型']</t>
  </si>
  <si>
    <t>四川西昌山火致18名扑火队员牺牲</t>
  </si>
  <si>
    <t>['四川', '西昌', '山火', '致', '18', '名', '扑火', '队员', '牺牲']</t>
  </si>
  <si>
    <t>西班牙新增9222例新冠肺炎确诊病例</t>
  </si>
  <si>
    <t>['西班牙', '新增', '9222', '例新冠', '肺炎', '确诊', '病例']</t>
  </si>
  <si>
    <t>90后画师用画笔再现山海经</t>
  </si>
  <si>
    <t>['90', '后', '画师', '用', '画笔', '再现', '山海', '山海经']</t>
  </si>
  <si>
    <t>刘雯方否认与陈伟霆恋情</t>
  </si>
  <si>
    <t>['刘雯方', '否认', '与', '陈伟霆', '恋情']</t>
  </si>
  <si>
    <t>特朗普称来自中国物资非常好</t>
  </si>
  <si>
    <t>['特朗普', '称', '来自', '中国', '物资', '非常', '好']</t>
  </si>
  <si>
    <t>吴宣仪杨超越跳舞机battle</t>
  </si>
  <si>
    <t>['吴宣仪', '杨', '超越', '跳舞', '跳舞机', 'battle']</t>
  </si>
  <si>
    <t>西昌山火致19名地方扑火人员牺牲</t>
  </si>
  <si>
    <t>['西昌', '山火', '致', '19', '名', '地方', '扑火', '人员', '牺牲']</t>
  </si>
  <si>
    <t>西昌泸山山顶火势复燃</t>
  </si>
  <si>
    <t>['西昌', '泸山', '山顶', '火势', '复燃']</t>
  </si>
  <si>
    <t>黎语冰告白成功</t>
  </si>
  <si>
    <t>['黎语', '冰', '告白', '成功']</t>
  </si>
  <si>
    <t>女儿写作文全篇歌颂妈妈</t>
  </si>
  <si>
    <t>['女儿', '写作', '作文', '写作文', '全篇', '歌颂', '妈妈']</t>
  </si>
  <si>
    <t>西昌火场5公里内居民已撤离</t>
  </si>
  <si>
    <t>['西昌', '火场', '5', '公里', '内', '居民', '已', '撤离']</t>
  </si>
  <si>
    <t>3月最后一天</t>
  </si>
  <si>
    <t>['3', '月', '最后', '一天']</t>
  </si>
  <si>
    <t>北京首次报告塞尔维亚输入病例</t>
  </si>
  <si>
    <t>['北京', '首次', '报告', '塞尔', '维亚', '塞尔维', '塞尔维亚', '输入', '病例']</t>
  </si>
  <si>
    <t>时光打脸记</t>
  </si>
  <si>
    <t>['时光', '打', '脸记']</t>
  </si>
  <si>
    <t>2020/04/01</t>
  </si>
  <si>
    <t>4月1日请记住编号81192</t>
  </si>
  <si>
    <t>['4', '月', '1', '日请', '记住', '编号', '81192']</t>
  </si>
  <si>
    <t>李佳航 抬眼A爆了</t>
  </si>
  <si>
    <t>['李佳航', ' ', '抬眼', 'A', '爆', '了']</t>
  </si>
  <si>
    <t>李佳航挑战玲爷</t>
  </si>
  <si>
    <t>['李佳航', '挑战', '玲爷']</t>
  </si>
  <si>
    <t>男女之间有纯友谊吗</t>
  </si>
  <si>
    <t>['男女', '之间', '男女之间', '有纯', '友谊', '吗']</t>
  </si>
  <si>
    <t>外国人插队检测核酸引冲突</t>
  </si>
  <si>
    <t>['外国', '国人', '外国人', '插队', '检测', '核酸', '引', '冲突']</t>
  </si>
  <si>
    <t>个税年度汇算开始了</t>
  </si>
  <si>
    <t>['个', '税', '年度', '汇算', '开始', '了']</t>
  </si>
  <si>
    <t>罗永浩帮雷军卖小米手机</t>
  </si>
  <si>
    <t>['罗永浩', '帮雷军', '卖', '小米', '手机']</t>
  </si>
  <si>
    <t>罗永浩直播首秀</t>
  </si>
  <si>
    <t>['罗永浩', '直播', '首秀']</t>
  </si>
  <si>
    <t>黄子韬追剧</t>
  </si>
  <si>
    <t>['黄子', '韬', '追剧']</t>
  </si>
  <si>
    <t>老师们对不起</t>
  </si>
  <si>
    <t>['老师', '们', '对不起']</t>
  </si>
  <si>
    <t>罗永浩为口误道歉</t>
  </si>
  <si>
    <t>['罗永浩', '为', '口误', '道歉']</t>
  </si>
  <si>
    <t>四川甘孜地震</t>
  </si>
  <si>
    <t>['四川', '甘孜', '地震']</t>
  </si>
  <si>
    <t>周深为粉丝录制起床铃声</t>
  </si>
  <si>
    <t>['周深', '为', '粉丝', '录制', '起床', '铃声']</t>
  </si>
  <si>
    <t>任嘉伦云跳樱花舞</t>
  </si>
  <si>
    <t>['任嘉', '伦云', '跳', '樱花', '舞']</t>
  </si>
  <si>
    <t>唐鹤德缅怀张国荣</t>
  </si>
  <si>
    <t>['唐鹤德', '缅怀', '张国荣']</t>
  </si>
  <si>
    <t>全国新增确诊36例</t>
  </si>
  <si>
    <t>['全国', '新增', '确诊', '36', '例']</t>
  </si>
  <si>
    <t>愚人节</t>
  </si>
  <si>
    <t>['愚人', '愚人节']</t>
  </si>
  <si>
    <t>秦霄贤推荐李莎旻子听叫小番</t>
  </si>
  <si>
    <t>['秦霄贤', '推荐', '李莎旻子', '听', '叫', '小番']</t>
  </si>
  <si>
    <t>粉樱大作战</t>
  </si>
  <si>
    <t>['粉樱大', '作战']</t>
  </si>
  <si>
    <t>美国新冠肺炎患者超18万</t>
  </si>
  <si>
    <t>['美国', '新冠', '肺炎', '患者', '超', '18', '万']</t>
  </si>
  <si>
    <t>科比ins更新</t>
  </si>
  <si>
    <t>['科比', 'ins', '更新']</t>
  </si>
  <si>
    <t>CNN主播确诊感染新冠肺炎</t>
  </si>
  <si>
    <t>['CNN', '主播', '确诊', '感染', '新冠', '肺炎']</t>
  </si>
  <si>
    <t>外交部回应中国留学生希望回国</t>
  </si>
  <si>
    <t>['外交', '外交部', '回应', '中国', '留学', '学生', '留学生', '希望', '回国']</t>
  </si>
  <si>
    <t>丹麦回石家庄航班19人称有疑似症状</t>
  </si>
  <si>
    <t>['丹麦', '回', '石家', '家庄', '石家庄', '航班', '19', '人称', '有', '疑似', '症状']</t>
  </si>
  <si>
    <t>纽约从中国订购1.7万台呼吸机</t>
  </si>
  <si>
    <t>['纽约', '从', '中国', '订购', '1.7', '万台', '呼吸', '呼吸机']</t>
  </si>
  <si>
    <t>四月你好</t>
  </si>
  <si>
    <t>['四月', '你好']</t>
  </si>
  <si>
    <t>邢台通报批评5名教师擅自出国</t>
  </si>
  <si>
    <t>['邢台', '通报', '报批', '批评', '通报批评', '5', '名', '教师', '擅自', '出国']</t>
  </si>
  <si>
    <t>意大利全境降半旗</t>
  </si>
  <si>
    <t>['大利', '意大利', '全境', '半旗', '降半旗']</t>
  </si>
  <si>
    <t>张国荣</t>
  </si>
  <si>
    <t>['张国荣']</t>
  </si>
  <si>
    <t>村民燃放炮竹引发森林火灾</t>
  </si>
  <si>
    <t>['村民', '燃放', '炮竹', '引发', '森林', '火灾']</t>
  </si>
  <si>
    <t>印度返乡人员被用水枪消杀</t>
  </si>
  <si>
    <t>['印度', '返乡', '人员', '被', '用水', '枪', '消杀']</t>
  </si>
  <si>
    <t>孟晚舟引渡案因疫情延后</t>
  </si>
  <si>
    <t>['孟晚', '舟', '引渡', '案因', '疫情', '延后']</t>
  </si>
  <si>
    <t>俄新冠医院首席医师确诊</t>
  </si>
  <si>
    <t>['俄新冠', '医院', '首席', '医师', '确诊']</t>
  </si>
  <si>
    <t>李兰娟院士返杭丈夫郑树森院士接机</t>
  </si>
  <si>
    <t>['李兰娟', '院士', '返杭', '丈夫', '郑树森', '院士', '接机']</t>
  </si>
  <si>
    <t>美国爱达荷州6.6级地震</t>
  </si>
  <si>
    <t>['美国', '爱达', '爱达荷', '爱达荷州', '6.6', '级', '地震']</t>
  </si>
  <si>
    <t>西昌消防今日发起总攻</t>
  </si>
  <si>
    <t>['西昌', '消防', '今日', '发起', '总攻']</t>
  </si>
  <si>
    <t>泸山正面明火全部被扑灭</t>
  </si>
  <si>
    <t>['泸山', '正面', '明火', '全部', '被', '扑灭']</t>
  </si>
  <si>
    <t>鹿晗吴亦凡新歌</t>
  </si>
  <si>
    <t>['鹿晗', '吴亦凡', '新歌']</t>
  </si>
  <si>
    <t>钟南山预计全球疫情4月底出现拐点</t>
  </si>
  <si>
    <t>['南山', '钟南山', '预计', '全球', '疫情', '4', '月底', '出现', '拐点']</t>
  </si>
  <si>
    <t>歌手版淡黄的长裙</t>
  </si>
  <si>
    <t>['歌手', '版', '淡黄', '的', '长裙']</t>
  </si>
  <si>
    <t>西班牙累计确诊超10万例</t>
  </si>
  <si>
    <t>['西班牙', '累计', '确诊', '超', '10', '万例']</t>
  </si>
  <si>
    <t>2020/04/02</t>
  </si>
  <si>
    <t>虞书欣莲花舌</t>
  </si>
  <si>
    <t>['虞书欣', '莲花', '舌']</t>
  </si>
  <si>
    <t>郭富城的摇头</t>
  </si>
  <si>
    <t>['郭富城', '的', '摇头']</t>
  </si>
  <si>
    <t>和张国伟battle加速挑战</t>
  </si>
  <si>
    <t>['和', '张国伟', 'battle', '加速', '挑战']</t>
  </si>
  <si>
    <t>釜山行续集预告</t>
  </si>
  <si>
    <t>['釜山', '行', '续集', '预告']</t>
  </si>
  <si>
    <t>新冠是人类第一个冠状病毒大流行</t>
  </si>
  <si>
    <t>['新冠', '是', '人类', '第一', '一个', '第一个', '冠状', '病毒', '冠状病毒', '大', '流行']</t>
  </si>
  <si>
    <t>秦牛正威素颜</t>
  </si>
  <si>
    <t>['秦牛', '正威', '素颜']</t>
  </si>
  <si>
    <t>罗永浩直播总成交额破亿</t>
  </si>
  <si>
    <t>['罗永浩', '直播', '总', '成交', '成交额', '破', '亿']</t>
  </si>
  <si>
    <t>东北酱 自制棉花糖大赛</t>
  </si>
  <si>
    <t>['东北', '酱', ' ', '自制', '棉花', '糖', '大赛']</t>
  </si>
  <si>
    <t>宋祖儿</t>
  </si>
  <si>
    <t>['宋祖儿']</t>
  </si>
  <si>
    <t>湖北14名牺牲人员被评定为烈士</t>
  </si>
  <si>
    <t>['湖北', '14', '名', '牺牲', '人员', '被评', '定为', '烈士']</t>
  </si>
  <si>
    <t>广州通报外籍新冠肺炎患者打伤护士</t>
  </si>
  <si>
    <t>['广州', '通报', '外籍', '新冠', '肺炎', '患者', '打伤', '护士']</t>
  </si>
  <si>
    <t>官方回应核酸检测外国人插队</t>
  </si>
  <si>
    <t>['官方', '回应', '核酸', '检测', '外国', '国人', '外国人', '插队']</t>
  </si>
  <si>
    <t>全球确诊超93万例</t>
  </si>
  <si>
    <t>['全球', '确诊', '超', '93', '万例']</t>
  </si>
  <si>
    <t>河南郏县全面封村封小区</t>
  </si>
  <si>
    <t>['河南', '郏县', '全面', '封村', '封', '小区']</t>
  </si>
  <si>
    <t>四川云南森林火险红色预警</t>
  </si>
  <si>
    <t>['四川', '云南', '森林', '火险', '红色', '预警']</t>
  </si>
  <si>
    <t>仙剑名场面我可以</t>
  </si>
  <si>
    <t>['仙剑', '名', '场面', '我', '可以']</t>
  </si>
  <si>
    <t>7岁女儿得知爸爸山火牺牲大哭</t>
  </si>
  <si>
    <t>['7', '岁', '女儿', '得知', '爸爸', '山火', '牺牲', '大哭']</t>
  </si>
  <si>
    <t>西昌森林火灾明火全部扑灭</t>
  </si>
  <si>
    <t>['西昌', '森林', '火灾', '明火', '全部', '扑灭']</t>
  </si>
  <si>
    <t>世界自闭症日</t>
  </si>
  <si>
    <t>['世界', '自闭', '自闭症', '日']</t>
  </si>
  <si>
    <t>钟南山为美国病毒猎手在线诊断</t>
  </si>
  <si>
    <t>['南山', '钟南山', '为', '美国', '病毒', '猎手', '在线', '诊断']</t>
  </si>
  <si>
    <t>鞠婧祎当导播失误</t>
  </si>
  <si>
    <t>['鞠婧', '祎', '当', '导播', '失误']</t>
  </si>
  <si>
    <t>易烊千玺揭晓东北禁忌</t>
  </si>
  <si>
    <t>['易', '烊', '千玺', '揭晓', '东北', '禁忌']</t>
  </si>
  <si>
    <t>拉贝后代向中国求援</t>
  </si>
  <si>
    <t>['拉贝', '后代', '向', '中国', '求援']</t>
  </si>
  <si>
    <t>全国新增确诊35例</t>
  </si>
  <si>
    <t>['全国', '新增', '确诊', '35', '例']</t>
  </si>
  <si>
    <t>鹿晗 封面</t>
  </si>
  <si>
    <t>['鹿晗', ' ', '封面']</t>
  </si>
  <si>
    <t>宋茜舞台造型</t>
  </si>
  <si>
    <t>['宋茜', '舞台', '造型']</t>
  </si>
  <si>
    <t>马伯骞的家</t>
  </si>
  <si>
    <t>['马伯骞', '的', '家']</t>
  </si>
  <si>
    <t>张国伟套路西热力江</t>
  </si>
  <si>
    <t>['张国伟', '套路', '西', '热力', '江']</t>
  </si>
  <si>
    <t>从阳台吊下食物帮助流浪汉</t>
  </si>
  <si>
    <t>['从', '阳台', '吊下', '食物', '帮助', '流浪', '流浪汉']</t>
  </si>
  <si>
    <t>疫情期间如何庆祝生日</t>
  </si>
  <si>
    <t>['疫情', '期间', '如何', '庆祝', '生日']</t>
  </si>
  <si>
    <t>西昌山火过火区域发现伤亡猴子</t>
  </si>
  <si>
    <t>['西昌', '山火', '过火', '区域', '发现', '伤亡', '猴子']</t>
  </si>
  <si>
    <t>北京新增境外输入病例2例</t>
  </si>
  <si>
    <t>['北京', '新增', '境外', '输入', '病例', '2', '例']</t>
  </si>
  <si>
    <t>鬓边京剧手势舞</t>
  </si>
  <si>
    <t>['鬓边', '京剧', '手势', '舞']</t>
  </si>
  <si>
    <t>防疫工作者免征个人所得税</t>
  </si>
  <si>
    <t>['防疫', '工作', '作者', '工作者', '免征', '个人', '所得', '所得税', '个人所得税']</t>
  </si>
  <si>
    <t>留英中小学生可签承诺书后搭机回国</t>
  </si>
  <si>
    <t>['留英', '中小', '小学', '学生', '中小学', '小学生', '中小学生', '可签', '承诺', '承诺书', '后', '搭机', '搭机回', '国']</t>
  </si>
  <si>
    <t>乱港分子向中国大使馆求助</t>
  </si>
  <si>
    <t>['乱港', '分子', '向', '中国', '国大', '大使', '使馆', '大使馆', '中国大使馆', '求助']</t>
  </si>
  <si>
    <t>2020/04/03</t>
  </si>
  <si>
    <t>汪涵曝杜海涛沈梦辰或今年结婚</t>
  </si>
  <si>
    <t>['汪涵', '曝杜', '海涛', '沈梦辰', '或', '今年', '结婚']</t>
  </si>
  <si>
    <t>瑞幸咖啡董事长发声</t>
  </si>
  <si>
    <t>['瑞幸', '咖啡', '董事', '董事长', '发声']</t>
  </si>
  <si>
    <t>小咕咚</t>
  </si>
  <si>
    <t>['小', '咕咚']</t>
  </si>
  <si>
    <t>4月4日全国哀悼日</t>
  </si>
  <si>
    <t>['4', '月', '4', '日', '全国', '哀悼', '哀悼日']</t>
  </si>
  <si>
    <t>西昌救火武警唱起少年</t>
  </si>
  <si>
    <t>['西昌', '救火', '武警', '唱起', '少年']</t>
  </si>
  <si>
    <t>武汉天河国际机场进行全面消杀</t>
  </si>
  <si>
    <t>['武汉', '天河', '国际', '机场', '进行', '全面', '消杀']</t>
  </si>
  <si>
    <t>各地高校开学时间</t>
  </si>
  <si>
    <t>['各地', '高校', '开学', '时间']</t>
  </si>
  <si>
    <t>武汉继续强化小区封闭管理</t>
  </si>
  <si>
    <t>['武汉', '继续', '强化', '小区', '封闭', '管理']</t>
  </si>
  <si>
    <t>多地中国留学生晒健康包</t>
  </si>
  <si>
    <t>['多地', '中国', '留学', '学生', '留学生', '晒', '健康', '包']</t>
  </si>
  <si>
    <t>云南对全省林区实行封闭管理</t>
  </si>
  <si>
    <t>['云南', '对', '全省', '林区', '实行', '封闭', '管理']</t>
  </si>
  <si>
    <t>山东开学时间</t>
  </si>
  <si>
    <t>['山东', '开学', '时间']</t>
  </si>
  <si>
    <t>108人完成新冠疫苗接种</t>
  </si>
  <si>
    <t>['108', '人', '完成', '新冠', '疫苗', '接种']</t>
  </si>
  <si>
    <t>央行回应疫情对经济的影响</t>
  </si>
  <si>
    <t>['央行', '回应', '疫情', '对', '经济', '的', '影响']</t>
  </si>
  <si>
    <t>教育部辟谣取消6月份四六级考试</t>
  </si>
  <si>
    <t>['教育', '教育部', '辟谣', '取消', '6', '月份', '四六', '六级', '四六级', '考试']</t>
  </si>
  <si>
    <t>赵小棠 怎么可以吃兔兔</t>
  </si>
  <si>
    <t>['赵小棠', ' ', '怎么', '可以', '吃', '兔', '兔']</t>
  </si>
  <si>
    <t>中国驻英使馆包机接小留学生回国</t>
  </si>
  <si>
    <t>['中国', '驻英', '使馆', '包机', '接小', '留学', '学生', '留学生', '回国']</t>
  </si>
  <si>
    <t>潘粤明 你看我几分像从前</t>
  </si>
  <si>
    <t>['潘粤明', ' ', '你', '看', '我', '几分', '像', '从前']</t>
  </si>
  <si>
    <t>张新成被问CPA很害怕</t>
  </si>
  <si>
    <t>['张新成', '被', '问', 'CPA', '很', '害怕']</t>
  </si>
  <si>
    <t>潘粤明为变胖道歉</t>
  </si>
  <si>
    <t>['潘粤明', '为', '变胖', '道歉']</t>
  </si>
  <si>
    <t>2020年4月4日举行全国性哀悼活动</t>
  </si>
  <si>
    <t>['2020', '年', '4', '月', '4', '日', '举行', '全国', '全国性', '哀悼', '活动']</t>
  </si>
  <si>
    <t>清平乐定档</t>
  </si>
  <si>
    <t>['清平', '平乐', '清平乐', '定档']</t>
  </si>
  <si>
    <t>女子大哭报警称前夫在家里藏毒</t>
  </si>
  <si>
    <t>['女子', '大哭', '报警', '称', '前夫', '在', '家里', '藏毒']</t>
  </si>
  <si>
    <t>全国新增确诊31例</t>
  </si>
  <si>
    <t>['全国', '新增', '确诊', '31', '例']</t>
  </si>
  <si>
    <t>当王一博给滑板贴砂纸</t>
  </si>
  <si>
    <t>['当王', '一博给', '滑板', '贴', '砂纸']</t>
  </si>
  <si>
    <t>伊朗议会议长确诊感染新冠肺炎</t>
  </si>
  <si>
    <t>['伊朗', '议会', '伊朗议会', '议长', '确诊', '感染', '新冠', '肺炎']</t>
  </si>
  <si>
    <t>民航医院杀医案凶手被执行死刑</t>
  </si>
  <si>
    <t>['民航', '医院', '杀', '医案', '凶手', '被', '执行', '死刑']</t>
  </si>
  <si>
    <t>易烊千玺专属门铃</t>
  </si>
  <si>
    <t>['易', '烊', '千玺', '专属', '门铃']</t>
  </si>
  <si>
    <t>虞书欣童年照</t>
  </si>
  <si>
    <t>['虞书欣', '童年', '照']</t>
  </si>
  <si>
    <t>吉林白城出现沙尘暴</t>
  </si>
  <si>
    <t>['吉林', '白城', '出现', '沙尘', '尘暴', '沙尘暴']</t>
  </si>
  <si>
    <t>操场埋尸案公职人员渎职案二审宣判</t>
  </si>
  <si>
    <t>['操场', '埋', '尸案', '公职', '人员', '公职人员', '渎职', '二审', '案二审', '宣判']</t>
  </si>
  <si>
    <t>方舱医院萨日朗小姐姐如约起舞</t>
  </si>
  <si>
    <t>['方舱', '医院', '萨日朗', '小姐', '姐姐', '小姐姐', '如约', '起舞']</t>
  </si>
  <si>
    <t>钟南山担心一些国家控制不了疫情</t>
  </si>
  <si>
    <t>['南山', '钟南山', '担心', '一些', '国家', '控制', '不了', '控制不了', '疫情']</t>
  </si>
  <si>
    <t>4名首批新冠疫苗志愿者结束观察</t>
  </si>
  <si>
    <t>['4', '名', '首批', '新冠', '疫苗', '志愿', '愿者', '志愿者', '结束', '观察']</t>
  </si>
  <si>
    <t>王一博杂志花絮</t>
  </si>
  <si>
    <t>['王一博', '杂志', '花絮']</t>
  </si>
  <si>
    <t>2020/04/04</t>
  </si>
  <si>
    <t>天安门广场下半旗志哀</t>
  </si>
  <si>
    <t>['天安', '广场', '天安门', '天安门广场', '下半', '半旗', '下半旗', '志哀']</t>
  </si>
  <si>
    <t>钟南山在办公室静立默哀</t>
  </si>
  <si>
    <t>['南山', '钟南山', '在', '办公', '公室', '办公室', '静立', '默哀']</t>
  </si>
  <si>
    <t>西昌森林火灾牺牲勇士追悼会</t>
  </si>
  <si>
    <t>['西昌', '森林', '火灾', '牺牲', '勇士', '追悼', '追悼会']</t>
  </si>
  <si>
    <t>鸣笛</t>
  </si>
  <si>
    <t>['鸣笛']</t>
  </si>
  <si>
    <t>武汉长江大桥车辆停车鸣笛</t>
  </si>
  <si>
    <t>['武汉', '长江', '大桥', '武汉长江大桥', '车辆', '停车', '鸣笛']</t>
  </si>
  <si>
    <t>全国人民默哀三分钟</t>
  </si>
  <si>
    <t>['全国', '人民', '默哀', '三分', '分钟', '三分钟']</t>
  </si>
  <si>
    <t>2020已痛失13名院士</t>
  </si>
  <si>
    <t>['2020', '已', '痛失', '13', '名', '院士']</t>
  </si>
  <si>
    <t>上海外滩52栋建筑集体下半旗</t>
  </si>
  <si>
    <t>['上海', '外滩', '52', '栋', '建筑', '集体', '下半', '半旗', '下半旗']</t>
  </si>
  <si>
    <t>15秒震不完的最长减速带开拆</t>
  </si>
  <si>
    <t>['15', '秒', '震', '不', '完', '的', '最长', '减速', '减速带', '开拆']</t>
  </si>
  <si>
    <t>4日武汉市区车辆停止行驶3分钟</t>
  </si>
  <si>
    <t>['4', '日', '武汉', '武汉市', '区', '车辆', '停止', '行驶', '3', '分钟']</t>
  </si>
  <si>
    <t>武汉下半旗</t>
  </si>
  <si>
    <t>['武汉', '下半', '半旗', '下半旗']</t>
  </si>
  <si>
    <t>地铁停车默哀</t>
  </si>
  <si>
    <t>['地铁', '停车', '默哀']</t>
  </si>
  <si>
    <t>武汉市民江滩唱起国歌</t>
  </si>
  <si>
    <t>['武汉', '武汉市', '民', '江滩', '唱起', '国歌']</t>
  </si>
  <si>
    <t>王伟墓前有人送来歼20模型</t>
  </si>
  <si>
    <t>['王伟墓', '前', '有人', '送来', '歼', '20', '模型']</t>
  </si>
  <si>
    <t>俄驻华大使 和中国人民一道沉痛默哀</t>
  </si>
  <si>
    <t>['俄', '驻华', '华大', '大使', '华大使', '驻华大使', ' ', '和', '中国', '人民', '一道', '沉痛', '默哀']</t>
  </si>
  <si>
    <t>张定宇院长率队默哀</t>
  </si>
  <si>
    <t>['张定宇', '院长', '率队', '默哀']</t>
  </si>
  <si>
    <t>特朗普又改口了</t>
  </si>
  <si>
    <t>['特朗普', '又', '改口', '了']</t>
  </si>
  <si>
    <t>清明祭</t>
  </si>
  <si>
    <t>['清明', '祭']</t>
  </si>
  <si>
    <t>农业农村部回应要不要囤粮</t>
  </si>
  <si>
    <t>['农业', '农村', '农村部', '回应', '要', '不要', '囤粮']</t>
  </si>
  <si>
    <t>西班牙新增确诊病例7026例</t>
  </si>
  <si>
    <t>['西班牙', '新增', '确诊', '病例', '7026', '例']</t>
  </si>
  <si>
    <t>美国确诊病例超过27万</t>
  </si>
  <si>
    <t>['美国', '确诊', '病例', '超过', '27', '万']</t>
  </si>
  <si>
    <t>塞尔维亚总统发布会上3次感谢中国</t>
  </si>
  <si>
    <t>['塞尔', '维亚', '塞尔维', '塞尔维亚', '总统', '发布', '发布会', '上', '3', '次', '感谢', '中国']</t>
  </si>
  <si>
    <t>疫情以来没动用过中央储备粮</t>
  </si>
  <si>
    <t>['疫情', '以来', '没', '动用', '过', '中央', '储备', '储备粮']</t>
  </si>
  <si>
    <t>隔离者退房后房间满地垃圾</t>
  </si>
  <si>
    <t>['隔离', '者', '退房', '后', '房间', '满地', '垃圾']</t>
  </si>
  <si>
    <t>武汉新增1例本土病例</t>
  </si>
  <si>
    <t>['武汉', '新增', '1', '例', '本土', '病例']</t>
  </si>
  <si>
    <t>意大利托斯卡纳将试验中草药</t>
  </si>
  <si>
    <t>['大利', '意大利', '托斯', '托斯卡', '托斯卡纳', '将', '试验', '草药', '中草药']</t>
  </si>
  <si>
    <t>地铁市民默哀</t>
  </si>
  <si>
    <t>['地铁', '市民', '默哀']</t>
  </si>
  <si>
    <t>华盛顿邮报批评蓬佩奥</t>
  </si>
  <si>
    <t>['华盛', '邮报', '华盛顿', '华盛顿邮报', '批评', '蓬佩奥']</t>
  </si>
  <si>
    <t>多国驻华使馆降半旗志哀</t>
  </si>
  <si>
    <t>['多', '国', '驻华', '使馆', '驻华使馆', '半旗', '降半旗', '志哀']</t>
  </si>
  <si>
    <t>武汉市民久久不愿离开</t>
  </si>
  <si>
    <t>['武汉', '武汉市', '民', '久久', '不愿', '离开']</t>
  </si>
  <si>
    <t>北京非毕业年级不会占周末和暑期</t>
  </si>
  <si>
    <t>['北京', '非', '毕业', '年级', '不会', '占', '周末', '和', '暑期']</t>
  </si>
  <si>
    <t>武汉市民江中撒花悼念</t>
  </si>
  <si>
    <t>['武汉', '武汉市', '民', '江中', '撒花', '悼念']</t>
  </si>
  <si>
    <t>2020/04/05</t>
  </si>
  <si>
    <t>心脏骤停医护原拟于5日上午回家</t>
  </si>
  <si>
    <t>['心脏', '骤停', '医护', '原拟', '于', '5', '日', '上午', '回家']</t>
  </si>
  <si>
    <t>北京中小学期末考试不得增加难度</t>
  </si>
  <si>
    <t>['北京', '中小', '小学', '中小学', '期末', '考试', '期末考', '期末考试', '不得', '增加', '难度']</t>
  </si>
  <si>
    <t>全球单日新增病例数首次超10万</t>
  </si>
  <si>
    <t>['全球', '单日', '新增', '病例', '数首', '首次', '数首次', '超', '10', '万']</t>
  </si>
  <si>
    <t>女子隐瞒症状解除隔离后确诊</t>
  </si>
  <si>
    <t>['女子', '隐瞒', '症状', '解除', '隔离', '后', '确诊']</t>
  </si>
  <si>
    <t>李佳航跳问号舞</t>
  </si>
  <si>
    <t>['李佳航', '跳', '问号', '舞']</t>
  </si>
  <si>
    <t>多人因发布涉悼念不当言论被处理</t>
  </si>
  <si>
    <t>['多人', '因', '发布', '涉', '悼念', '不当', '言论', '被', '处理']</t>
  </si>
  <si>
    <t>国务院安委办通报郴州脱轨事故</t>
  </si>
  <si>
    <t>['国务', '国务院', '安', '委办', '通报', '郴州', '脱轨', '事故']</t>
  </si>
  <si>
    <t>瑞幸咖啡道歉</t>
  </si>
  <si>
    <t>['瑞幸', '咖啡', '道歉']</t>
  </si>
  <si>
    <t>山东1岁女婴确定为无症状感染者</t>
  </si>
  <si>
    <t>['山东', '1', '岁', '女婴', '确定', '为', '症状', '无症状', '感染', '感染者']</t>
  </si>
  <si>
    <t>北京可能较长时期处于疫情防控状态</t>
  </si>
  <si>
    <t>['北京', '可能', '较长', '时期', '处于', '疫情', '防控', '状态']</t>
  </si>
  <si>
    <t>iPhone 12或将如期发布</t>
  </si>
  <si>
    <t>['iPhone', ' ', '12', '或', '将', '如期', '发布']</t>
  </si>
  <si>
    <t>钟南山呼吁公众继续保持距离</t>
  </si>
  <si>
    <t>['南山', '钟南山', '呼吁', '公众', '继续', '保持', '距离']</t>
  </si>
  <si>
    <t>广东新增5例本土病例</t>
  </si>
  <si>
    <t>['广东', '新增', '5', '例', '本土', '病例']</t>
  </si>
  <si>
    <t>关晓彤谈空姐之歌</t>
  </si>
  <si>
    <t>['关晓彤', '谈', '空姐', '之歌']</t>
  </si>
  <si>
    <t>北电7个专业直接用高考成绩进行录取</t>
  </si>
  <si>
    <t>['北电', '7', '个', '专业', '直接', '用', '高考', '成绩', '进行', '录取']</t>
  </si>
  <si>
    <t>北京一新增输入病例曾在小区停留</t>
  </si>
  <si>
    <t>['北京', '一', '新增', '输入', '病例', '曾', '在', '小区', '停留']</t>
  </si>
  <si>
    <t>山东援鄂返鲁护士突发心脏骤停</t>
  </si>
  <si>
    <t>['山东', '援鄂', '返鲁', '护士', '突发', '心脏', '骤停']</t>
  </si>
  <si>
    <t>英国5G基站遭纵火</t>
  </si>
  <si>
    <t>['英国', '5G', '基站', '遭', '纵火']</t>
  </si>
  <si>
    <t>英国从中国运回一整飞机防护物资</t>
  </si>
  <si>
    <t>['英国', '从', '中国', '运回', '一整', '飞机', '防护', '物资']</t>
  </si>
  <si>
    <t>纽约警方超2000人确诊</t>
  </si>
  <si>
    <t>['纽约', '警方', '超', '2000', '人', '确诊']</t>
  </si>
  <si>
    <t>黑龙江新增13例俄罗斯输入病例</t>
  </si>
  <si>
    <t>['龙江', '黑龙江', '新增', '13', '例', '罗斯', '俄罗斯', '输入', '病例']</t>
  </si>
  <si>
    <t>美国新冠肺炎确诊人数超过30万</t>
  </si>
  <si>
    <t>['美国', '新冠', '肺炎', '确诊', '人数', '超过', '30', '万']</t>
  </si>
  <si>
    <t>法国已从中国订购近20亿个口罩</t>
  </si>
  <si>
    <t>['法国', '已', '从', '中国', '订购', '近', '20', '亿个', '口罩']</t>
  </si>
  <si>
    <t>疑似口罩厂员工用口罩擦鞋</t>
  </si>
  <si>
    <t>['疑似', '口罩', '厂', '员工', '用', '口罩', '擦鞋']</t>
  </si>
  <si>
    <t>黄山景区游客达2万停止售票</t>
  </si>
  <si>
    <t>['黄山', '景区', '游客', '达', '2', '万', '停止', '售票']</t>
  </si>
  <si>
    <t>全国新增确诊病例30例</t>
  </si>
  <si>
    <t>['全国', '新增', '确诊', '病例', '30', '例']</t>
  </si>
  <si>
    <t>2020年故宫首次直播</t>
  </si>
  <si>
    <t>['2020', '年', '故宫', '首次', '直播']</t>
  </si>
  <si>
    <t>我国科学家在南海首次发现鲸落</t>
  </si>
  <si>
    <t>['我国', '科学', '学家', '科学家', '在', '南海', '首次', '发现', '鲸落']</t>
  </si>
  <si>
    <t>纽约州长感谢中国捐赠1000台呼吸机</t>
  </si>
  <si>
    <t>['纽约', '纽约州', '长', '感谢', '中国', '捐赠', '1000', '台', '呼吸', '呼吸机']</t>
  </si>
  <si>
    <t>科比邓肯加内特入选名人堂</t>
  </si>
  <si>
    <t>['科比', '邓肯', '加内', '内特', '加内特', '入选', '名人', '名人堂']</t>
  </si>
  <si>
    <t>印度可能成全球疫情失控的王炸</t>
  </si>
  <si>
    <t>['印度', '可能', '成', '全球', '疫情', '失控', '的', '王炸']</t>
  </si>
  <si>
    <t>清明哀悼河南上千市民大跳广场舞</t>
  </si>
  <si>
    <t>['清明', '哀悼', '河南', '上千', '市民', '大', '跳', '广场', '舞']</t>
  </si>
  <si>
    <t>浪胃仙 云替吃</t>
  </si>
  <si>
    <t>['浪胃', '仙', ' ', '云替', '吃']</t>
  </si>
  <si>
    <t>日本女子持刀具汽油罐闯首相私宅</t>
  </si>
  <si>
    <t>['日本', '女子', '持刀', '具', '汽油', '罐', '闯', '首相', '私宅']</t>
  </si>
  <si>
    <t>中国没有也不会限制医疗物资出口</t>
  </si>
  <si>
    <t>['中国', '没有', '也', '不会', '限制', '医疗', '物资', '出口']</t>
  </si>
  <si>
    <t>美国奶农倾倒大量牛奶</t>
  </si>
  <si>
    <t>['美国', '奶农', '倾倒', '大量', '牛奶']</t>
  </si>
  <si>
    <t>故宫的花开了</t>
  </si>
  <si>
    <t>['故宫', '的', '花开', '了']</t>
  </si>
  <si>
    <t>武汉女生走出家门后放声大哭</t>
  </si>
  <si>
    <t>['武汉', '女生', '走出', '家门', '后', '放声', '大哭', '放声大哭']</t>
  </si>
  <si>
    <t>特朗普回应美国截和德国口罩</t>
  </si>
  <si>
    <t>['特朗普', '回应', '美国', '截', '和', '德国', '口罩']</t>
  </si>
  <si>
    <t>2020/04/06</t>
  </si>
  <si>
    <t>我国南海首次发现鲸落</t>
  </si>
  <si>
    <t>['我国', '南海', '首次', '发现', '鲸落']</t>
  </si>
  <si>
    <t>张国伟退役</t>
  </si>
  <si>
    <t>['张国伟', '退役']</t>
  </si>
  <si>
    <t>苔姐黏上易烊千玺</t>
  </si>
  <si>
    <t>['苔姐', '黏上', '易', '烊', '千玺']</t>
  </si>
  <si>
    <t>山东援鄂医疗队员张静静去世</t>
  </si>
  <si>
    <t>['山东', '援鄂', '医疗', '队员', '张', '静静', '去世']</t>
  </si>
  <si>
    <t>许飞回应超女重聚</t>
  </si>
  <si>
    <t>['许飞', '回应', '超女', '重聚']</t>
  </si>
  <si>
    <t>全国多地颁布紧急叫停复工的措施</t>
  </si>
  <si>
    <t>['全国', '多地', '颁布', '紧急', '叫停', '复工', '的', '措施']</t>
  </si>
  <si>
    <t>赵丽颖网络用语测试</t>
  </si>
  <si>
    <t>['赵丽颖', '网络', '用语', '测试']</t>
  </si>
  <si>
    <t>8000万存款无法按时取出男子怒怼银行</t>
  </si>
  <si>
    <t>['8000', '万', '存款', '无法', '按时', '取出', '男子', '怒', '怼', '银行']</t>
  </si>
  <si>
    <t>马苏喊话李雪琴</t>
  </si>
  <si>
    <t>['马苏', '喊话', '李雪琴']</t>
  </si>
  <si>
    <t>劳动仲裁公司赔两麻袋1元纸币</t>
  </si>
  <si>
    <t>['劳动', '仲裁', '公司', '赔', '两', '麻袋', '1', '元', '纸币']</t>
  </si>
  <si>
    <t>心中有乐现在就放开玩</t>
  </si>
  <si>
    <t>['心中', '有乐', '现在', '就', '放开', '玩']</t>
  </si>
  <si>
    <t>浪胃仙吃播连线抗疫医生</t>
  </si>
  <si>
    <t>['浪胃', '仙吃播', '连线', '抗疫', '医生']</t>
  </si>
  <si>
    <t>俄罗斯击落绕空挑衅美战机</t>
  </si>
  <si>
    <t>['罗斯', '俄罗斯', '击落', '绕空', '挑衅', '美', '战机']</t>
  </si>
  <si>
    <t>全国新增确诊39例 本土1例</t>
  </si>
  <si>
    <t>['全国', '新增', '确诊', '39', '例', ' ', '本土', '1', '例']</t>
  </si>
  <si>
    <t>迁徙鸟类误把玻璃墙当天空被撞死</t>
  </si>
  <si>
    <t>['迁徙', '鸟类', '误', '把', '玻璃', '玻璃墙', '当', '天空', '被', '撞死']</t>
  </si>
  <si>
    <t>黑龙江新增境外输入20例</t>
  </si>
  <si>
    <t>['龙江', '黑龙江', '新增', '境外', '输入', '20', '例']</t>
  </si>
  <si>
    <t>王耀庆笑哭薇娅</t>
  </si>
  <si>
    <t>['王耀庆笑', '哭薇娅']</t>
  </si>
  <si>
    <t>英国首相约翰逊高烧入院检测</t>
  </si>
  <si>
    <t>['英国', '首相', '英国首相', '约翰', '约翰逊', '高烧', '入院', '检测']</t>
  </si>
  <si>
    <t>美国一只老虎新冠病毒检测呈阳性</t>
  </si>
  <si>
    <t>['美国', '一只', '老虎', '新冠', '病毒', '检测', '病毒检测', '呈', '阳性']</t>
  </si>
  <si>
    <t>世卫组织称中国进入缓疫阶段</t>
  </si>
  <si>
    <t>['世卫', '组织', '称', '中国', '进入', '缓疫', '阶段']</t>
  </si>
  <si>
    <t>广东唯一本土病例为湖北输入</t>
  </si>
  <si>
    <t>['广东', '唯一', '本土', '病例', '为', '湖北', '输入']</t>
  </si>
  <si>
    <t>英国女王电视讲话</t>
  </si>
  <si>
    <t>['英国', '女王', '英国女王', '电视', '讲话', '电视讲话']</t>
  </si>
  <si>
    <t>有些男演员表面很体面</t>
  </si>
  <si>
    <t>['有些', '演员', '男演员', '表面', '很', '体面']</t>
  </si>
  <si>
    <t>如何分辨大一和大四学生</t>
  </si>
  <si>
    <t>['如何', '分辨', '大一', '和', '大四', '学生']</t>
  </si>
  <si>
    <t>打卡陈情令拍摄地</t>
  </si>
  <si>
    <t>['打卡', '陈情', '令', '拍摄', '拍摄地']</t>
  </si>
  <si>
    <t>宸荨樱桃耳机线缠腰舞</t>
  </si>
  <si>
    <t>['宸', '荨', '樱桃', '耳机', '耳机线', '缠', '腰舞']</t>
  </si>
  <si>
    <t>Angelababy做陶艺</t>
  </si>
  <si>
    <t>['Angelababy', '做', '陶艺']</t>
  </si>
  <si>
    <t>全年最大超级月亮4月8日上演</t>
  </si>
  <si>
    <t>['全年', '最大', '超级', '月亮', '4', '月', '8', '日', '上演']</t>
  </si>
  <si>
    <t>民警声嘶力竭拦下轻生女孩</t>
  </si>
  <si>
    <t>['民警', '力竭', '声嘶力竭', '拦下', '轻生', '女孩']</t>
  </si>
  <si>
    <t>湖北新增确诊病例0例</t>
  </si>
  <si>
    <t>['湖北', '新增', '确诊', '病例', '0', '例']</t>
  </si>
  <si>
    <t>青海发现1例境外输入无症状感染者</t>
  </si>
  <si>
    <t>['青海', '发现', '1', '例', '境外', '输入', '症状', '无症状', '感染', '感染者']</t>
  </si>
  <si>
    <t>萧亚轩公开意外受伤照片</t>
  </si>
  <si>
    <t>['萧亚轩', '公开', '意外', '受伤', '照片']</t>
  </si>
  <si>
    <t>无证据证明杨柳絮中存新冠病毒</t>
  </si>
  <si>
    <t>['无证', '证据', '无证据', '证明', '杨', '柳絮', '中存', '新冠', '病毒']</t>
  </si>
  <si>
    <t>印度最大贫民窟部分封闭</t>
  </si>
  <si>
    <t>['印度', '最大', '贫民', '贫民窟', '部分', '封闭']</t>
  </si>
  <si>
    <t>全国多地推行公筷公勺行动</t>
  </si>
  <si>
    <t>['全国', '多地', '推行', '公筷', '公勺', '行动']</t>
  </si>
  <si>
    <t>哥哥陪妹妹练古筝</t>
  </si>
  <si>
    <t>['哥哥', '陪', '妹妹', '练', '古筝']</t>
  </si>
  <si>
    <t>为戴口罩剃掉留了四年的胡子</t>
  </si>
  <si>
    <t>['为', '戴', '口罩', '剃', '掉', '留', '了', '四年', '的', '胡子']</t>
  </si>
  <si>
    <t>全球疫情图由两名中国留美博士操盘</t>
  </si>
  <si>
    <t>['全球', '疫情', '图由', '两名', '中国', '留美', '博士', '操盘']</t>
  </si>
  <si>
    <t>青岛街道办回应优待外籍隔离人员</t>
  </si>
  <si>
    <t>['青岛', '街道', '街道办', '回应', '优待', '外籍', '隔离', '人员']</t>
  </si>
  <si>
    <t>外国居家隔离监管太硬核了</t>
  </si>
  <si>
    <t>['外国', '居家', '隔离', '监管', '太', '硬核', '了']</t>
  </si>
  <si>
    <t>2020/04/07</t>
  </si>
  <si>
    <t>太空极光万人许愿</t>
  </si>
  <si>
    <t>['太空', '极光', '万人', '许愿']</t>
  </si>
  <si>
    <t>泼花成画挑战</t>
  </si>
  <si>
    <t>['泼花', '成画', '挑战']</t>
  </si>
  <si>
    <t>暴扣哥扬言总冠军被diss</t>
  </si>
  <si>
    <t>['暴扣', '哥', '扬言', '冠军', '总冠军', '被', 'diss']</t>
  </si>
  <si>
    <t>全年最大超级月亮今晚上演</t>
  </si>
  <si>
    <t>['全年', '最大', '超级', '月亮', '今晚', '上演']</t>
  </si>
  <si>
    <t>吕小雨 衣冠不整变装</t>
  </si>
  <si>
    <t>['吕', '小雨', ' ', '衣冠', '衣冠不整', '变装']</t>
  </si>
  <si>
    <t>全国新增确诊病例32例</t>
  </si>
  <si>
    <t>['全国', '新增', '确诊', '病例', '32', '例']</t>
  </si>
  <si>
    <t>全球挑战洗手舞</t>
  </si>
  <si>
    <t>['全球', '挑战', '洗手', '舞']</t>
  </si>
  <si>
    <t>英国首相病情恶化转入ICU</t>
  </si>
  <si>
    <t>['英国', '首相', '英国首相', '病情', '恶化', '病情恶化', '转入', 'ICU']</t>
  </si>
  <si>
    <t>罗志祥回归极限挑战</t>
  </si>
  <si>
    <t>['罗志祥', '回归', '极限', '挑战']</t>
  </si>
  <si>
    <t>白敬亭 白静婷</t>
  </si>
  <si>
    <t>['白敬亭', ' ', '白静婷']</t>
  </si>
  <si>
    <t>张静静在返程飞机上的一幕</t>
  </si>
  <si>
    <t>['张', '静静', '在', '返程', '飞机', '上', '的', '一幕']</t>
  </si>
  <si>
    <t>留学生教科书级囤货</t>
  </si>
  <si>
    <t>['留学', '学生', '留学生', '教科', '教科书', '级', '囤货']</t>
  </si>
  <si>
    <t>许佳琪的床帘</t>
  </si>
  <si>
    <t>['许佳琪', '的', '床帘']</t>
  </si>
  <si>
    <t>EG埃蒙</t>
  </si>
  <si>
    <t>['EG', '埃蒙']</t>
  </si>
  <si>
    <t>世卫组织称全球90%学生受停课影响</t>
  </si>
  <si>
    <t>['世卫', '组织', '称', '全球', '90%', '学生', '受', '停课', '影响']</t>
  </si>
  <si>
    <t>还有1小时武汉封印解除</t>
  </si>
  <si>
    <t>['还有', '1', '小时', '武汉', '封印', '解除']</t>
  </si>
  <si>
    <t>黑龙江新增20例境外输入病例</t>
  </si>
  <si>
    <t>['龙江', '黑龙江', '新增', '20', '例', '境外', '输入', '病例']</t>
  </si>
  <si>
    <t>厦门6月30日前国有A级景区全免费</t>
  </si>
  <si>
    <t>['厦门', '6', '月', '30', '日前', '国有', 'A', '级', '景区', '全免', '免费', '全免费']</t>
  </si>
  <si>
    <t>余欢水</t>
  </si>
  <si>
    <t>['余欢', '水']</t>
  </si>
  <si>
    <t>王一博胡兵拔鼻毛</t>
  </si>
  <si>
    <t>['王一博', '胡兵拔', '鼻毛']</t>
  </si>
  <si>
    <t>美国新冠肺炎确诊超36万例</t>
  </si>
  <si>
    <t>['美国', '新冠', '肺炎', '确诊', '超', '36', '万例']</t>
  </si>
  <si>
    <t>美国成为第三个死亡病例过万国家</t>
  </si>
  <si>
    <t>['美国', '成为', '第三', '三个', '第三个', '死亡', '病例', '过万', '国家']</t>
  </si>
  <si>
    <t>张静静援非丈夫求助希望尽早回国</t>
  </si>
  <si>
    <t>['张', '静静', '援非', '丈夫', '求助', '希望', '尽早', '回国']</t>
  </si>
  <si>
    <t>日本推出奥运和服</t>
  </si>
  <si>
    <t>['日本', '推出', '奥运', '和服']</t>
  </si>
  <si>
    <t>特朗普回应英国首相病情恶化</t>
  </si>
  <si>
    <t>['特朗普', '回应', '英国', '首相', '英国首相', '病情', '恶化', '病情恶化']</t>
  </si>
  <si>
    <t>当哈士奇变身独角兽</t>
  </si>
  <si>
    <t>['当', '哈士', '哈士奇', '变', '身', '独角', '独角兽']</t>
  </si>
  <si>
    <t>JK罗琳出现新冠症状后康复</t>
  </si>
  <si>
    <t>['JK', '罗琳', '出现', '新冠', '症状', '后', '康复']</t>
  </si>
  <si>
    <t>邓紫棋的真实身高</t>
  </si>
  <si>
    <t>['邓紫棋', '的', '真实', '身高']</t>
  </si>
  <si>
    <t>检疫犬被踢后躲在怀里求安慰</t>
  </si>
  <si>
    <t>['检疫', '犬', '被', '踢', '后', '躲', '在', '怀里', '求', '安慰']</t>
  </si>
  <si>
    <t>安蒂奇去世</t>
  </si>
  <si>
    <t>['安蒂奇', '去世']</t>
  </si>
  <si>
    <t>开学</t>
  </si>
  <si>
    <t>['开学']</t>
  </si>
  <si>
    <t>海南村民扫墓发现蟒蛇窝</t>
  </si>
  <si>
    <t>['海南', '村民', '扫墓', '发现', '蟒蛇', '窝']</t>
  </si>
  <si>
    <t>湖北卫健委回应张静静去世</t>
  </si>
  <si>
    <t>['湖北', '卫健委', '回应', '张', '静静', '去世']</t>
  </si>
  <si>
    <t>2020/04/08</t>
  </si>
  <si>
    <t>张新成发抖音了</t>
  </si>
  <si>
    <t>['张新成', '发抖', '音', '了']</t>
  </si>
  <si>
    <t>余欢水逆袭</t>
  </si>
  <si>
    <t>['余欢', '水逆袭']</t>
  </si>
  <si>
    <t>遭银行柜员怠慢客户生气转走几个亿</t>
  </si>
  <si>
    <t>['遭', '银行', '柜员', '怠慢', '客户', '生气', '转', '走', '几个', '亿']</t>
  </si>
  <si>
    <t>全国新增确诊病例62例</t>
  </si>
  <si>
    <t>['全国', '新增', '确诊', '病例', '62', '例']</t>
  </si>
  <si>
    <t>李子柒手撕昙花汤</t>
  </si>
  <si>
    <t>['李子', '柒手', '撕', '昙花', '汤']</t>
  </si>
  <si>
    <t>中国乔丹侵权案终审败诉</t>
  </si>
  <si>
    <t>['中国', '乔丹', '侵权', '侵权案', '终审', '败诉']</t>
  </si>
  <si>
    <t>武汉解封</t>
  </si>
  <si>
    <t>['武汉', '解封']</t>
  </si>
  <si>
    <t>黑龙江新增25例境外输入病例</t>
  </si>
  <si>
    <t>['龙江', '黑龙江', '新增', '25', '例', '境外', '输入', '病例']</t>
  </si>
  <si>
    <t>创3学员官宣</t>
  </si>
  <si>
    <t>['创', '3', '学员', '官宣']</t>
  </si>
  <si>
    <t>山西新增25例境外输入病例</t>
  </si>
  <si>
    <t>['山西', '新增', '25', '例', '境外', '输入', '病例']</t>
  </si>
  <si>
    <t>58名主播被列入黑名单</t>
  </si>
  <si>
    <t>['58', '名主', '名主播', '被', '列入', '黑名', '名单', '黑名单']</t>
  </si>
  <si>
    <t>朱广权模仿李佳琦</t>
  </si>
  <si>
    <t>['朱广权', '模仿', '李佳琦']</t>
  </si>
  <si>
    <t>苏志燮发文讲述结婚感想</t>
  </si>
  <si>
    <t>['苏志', '苏志燮', '发文', '讲述', '结婚', '感想']</t>
  </si>
  <si>
    <t>武汉解封遇上超级月亮</t>
  </si>
  <si>
    <t>['武汉', '解封', '遇上', '超级', '月亮']</t>
  </si>
  <si>
    <t>约100名美国空乘人员新冠病毒阳性</t>
  </si>
  <si>
    <t>['约', '100', '名', '美国', '空乘', '人员', '新冠', '病毒', '阳性']</t>
  </si>
  <si>
    <t>中国将首次完全以网络形式举办广交会</t>
  </si>
  <si>
    <t>['中国', '将', '首次', '完全', '以', '网络', '形式', '举办', '广交', '交会', '广交会']</t>
  </si>
  <si>
    <t>王一博Tmagazine封面预告</t>
  </si>
  <si>
    <t>['王一博', 'Tmagazine', '封面', '预告']</t>
  </si>
  <si>
    <t>驶离武汉的第一辆车</t>
  </si>
  <si>
    <t>['驶离', '武汉', '的', '第一', '一辆', '第一辆', '车']</t>
  </si>
  <si>
    <t>绥芬河市所有小区实行封闭管理</t>
  </si>
  <si>
    <t>['绥芬河', '绥芬河市', '所有', '小区', '实行', '封闭', '管理']</t>
  </si>
  <si>
    <t>武汉天河机场首班航班出港</t>
  </si>
  <si>
    <t>['武汉', '天河', '机场', '天河机场', '首班', '航班', '出港']</t>
  </si>
  <si>
    <t>美国新冠病毒感染超38万</t>
  </si>
  <si>
    <t>['美国', '新冠', '病毒', '感染', '病毒感染', '超', '38', '万']</t>
  </si>
  <si>
    <t>武汉解封灯光秀</t>
  </si>
  <si>
    <t>['武汉', '解封', '灯光', '秀']</t>
  </si>
  <si>
    <t>杨超越 仙女的脚不会臭</t>
  </si>
  <si>
    <t>['杨', '超越', ' ', '仙女', '的', '脚', '不会', '臭']</t>
  </si>
  <si>
    <t>山东广东共新增3例本土病例</t>
  </si>
  <si>
    <t>['山东', '广东', '共', '新增', '3', '例', '本土', '病例']</t>
  </si>
  <si>
    <t>安倍称东京1个月后确诊将超8万人</t>
  </si>
  <si>
    <t>['安倍', '称', '东京', '1', '个', '月', '后', '确诊', '将', '超', '8', '万人']</t>
  </si>
  <si>
    <t>湖北现有确诊病例降至500以下</t>
  </si>
  <si>
    <t>['湖北', '现有', '确诊', '病例', '降至', '500', '以下']</t>
  </si>
  <si>
    <t>黄多多健身</t>
  </si>
  <si>
    <t>['黄', '多多', '健身']</t>
  </si>
  <si>
    <t>英国新冠ICU病房画面</t>
  </si>
  <si>
    <t>['英国', '新冠', 'ICU', '病房', '画面']</t>
  </si>
  <si>
    <t>开学后家长的真实反应</t>
  </si>
  <si>
    <t>['开学', '后', '家长', '的', '真实', '反应']</t>
  </si>
  <si>
    <t>兰博基尼每天手工缝制1000只口罩</t>
  </si>
  <si>
    <t>['基尼', '兰博基', '博基尼', '兰博基尼', '每天', '手工', '缝制', '1000', '只', '口罩']</t>
  </si>
  <si>
    <t>特朗普将停止对世卫组织的资助</t>
  </si>
  <si>
    <t>['特朗普', '将', '停止', '对', '世卫', '组织', '的', '资助']</t>
  </si>
  <si>
    <t>美国海军代理部长辞职</t>
  </si>
  <si>
    <t>['美国', '海军', '代理', '部长', '辞职']</t>
  </si>
  <si>
    <t>武汉灯幕亮起</t>
  </si>
  <si>
    <t>['武汉', '灯幕亮', '起']</t>
  </si>
  <si>
    <t>陈瑶老年妆</t>
  </si>
  <si>
    <t>['陈瑶', '老年', '妆']</t>
  </si>
  <si>
    <t>弹空气换装</t>
  </si>
  <si>
    <t>['弹', '空气', '换装']</t>
  </si>
  <si>
    <t>武汉出城第一人</t>
  </si>
  <si>
    <t>['武汉', '出', '城', '第一', '人']</t>
  </si>
  <si>
    <t>范丞丞黄明昊颜值合体变蔡徐坤</t>
  </si>
  <si>
    <t>['范丞丞', '黄明昊', '颜值', '合体', '变蔡', '徐坤']</t>
  </si>
  <si>
    <t>创3学员入营</t>
  </si>
  <si>
    <t>['创', '3', '学员', '入营']</t>
  </si>
  <si>
    <t>创3城堡宿舍</t>
  </si>
  <si>
    <t>['创', '3', '城堡', '宿舍']</t>
  </si>
  <si>
    <t>超级月亮特写</t>
  </si>
  <si>
    <t>['超级', '月亮', '特写']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</si>
</sst>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3.57"/>
    <col customWidth="1" min="3" max="4" width="42.71"/>
    <col customWidth="1" min="5" max="5" width="33.86"/>
    <col customWidth="1" min="6" max="6" width="37.57"/>
    <col customWidth="1" min="7" max="8" width="46.57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</row>
    <row r="2">
      <c r="A2" s="1">
        <v>0.0</v>
      </c>
      <c r="B2" s="4" t="s">
        <v>7</v>
      </c>
      <c r="C2" s="4" t="str">
        <f>IFERROR(__xludf.DUMMYFUNCTION("GOOGLETRANSLATE(D:D,""auto"",""en"")"),"Millet trademark infringement Panpei 12 million")</f>
        <v>Millet trademark infringement Panpei 12 million</v>
      </c>
      <c r="D2" s="4" t="s">
        <v>8</v>
      </c>
      <c r="E2" s="4">
        <v>1.0236387E7</v>
      </c>
      <c r="F2" s="4">
        <v>1.0</v>
      </c>
      <c r="G2" s="4" t="s">
        <v>9</v>
      </c>
    </row>
    <row r="3">
      <c r="A3" s="1">
        <v>1.0</v>
      </c>
      <c r="B3" s="4" t="s">
        <v>7</v>
      </c>
      <c r="C3" s="4" t="str">
        <f>IFERROR(__xludf.DUMMYFUNCTION("GOOGLETRANSLATE(D:D,""auto"",""en"")"),"The Netherlands is not renamed")</f>
        <v>The Netherlands is not renamed</v>
      </c>
      <c r="D3" s="4" t="s">
        <v>10</v>
      </c>
      <c r="E3" s="4">
        <v>9374077.0</v>
      </c>
      <c r="F3" s="4">
        <v>2.0</v>
      </c>
      <c r="G3" s="4" t="s">
        <v>11</v>
      </c>
    </row>
    <row r="4">
      <c r="A4" s="1">
        <v>2.0</v>
      </c>
      <c r="B4" s="4" t="s">
        <v>7</v>
      </c>
      <c r="C4" s="4" t="str">
        <f>IFERROR(__xludf.DUMMYFUNCTION("GOOGLETRANSLATE(D:D,""auto"",""en"")"),"Easy Yangqianxili wheat sniper")</f>
        <v>Easy Yangqianxili wheat sniper</v>
      </c>
      <c r="D4" s="4" t="s">
        <v>12</v>
      </c>
      <c r="E4" s="4">
        <v>9361741.0</v>
      </c>
      <c r="F4" s="4">
        <v>3.0</v>
      </c>
      <c r="G4" s="4" t="s">
        <v>13</v>
      </c>
    </row>
    <row r="5">
      <c r="A5" s="1">
        <v>3.0</v>
      </c>
      <c r="B5" s="4" t="s">
        <v>7</v>
      </c>
      <c r="C5" s="4" t="str">
        <f>IFERROR(__xludf.DUMMYFUNCTION("GOOGLETRANSLATE(D:D,""auto"",""en"")"),"Yang Mi Stengel chorus wolf disco")</f>
        <v>Yang Mi Stengel chorus wolf disco</v>
      </c>
      <c r="D5" s="4" t="s">
        <v>14</v>
      </c>
      <c r="E5" s="4">
        <v>9115373.0</v>
      </c>
      <c r="F5" s="4">
        <v>4.0</v>
      </c>
      <c r="G5" s="4" t="s">
        <v>15</v>
      </c>
    </row>
    <row r="6">
      <c r="A6" s="1">
        <v>4.0</v>
      </c>
      <c r="B6" s="4" t="s">
        <v>7</v>
      </c>
      <c r="C6" s="4" t="str">
        <f>IFERROR(__xludf.DUMMYFUNCTION("GOOGLETRANSLATE(D:D,""auto"",""en"")"),"Zhang Yixing abroad to sing K")</f>
        <v>Zhang Yixing abroad to sing K</v>
      </c>
      <c r="D6" s="4" t="s">
        <v>16</v>
      </c>
      <c r="E6" s="4">
        <v>8971284.0</v>
      </c>
      <c r="F6" s="4">
        <v>5.0</v>
      </c>
      <c r="G6" s="4" t="s">
        <v>17</v>
      </c>
    </row>
    <row r="7">
      <c r="A7" s="1">
        <v>5.0</v>
      </c>
      <c r="B7" s="4" t="s">
        <v>7</v>
      </c>
      <c r="C7" s="4" t="str">
        <f>IFERROR(__xludf.DUMMYFUNCTION("GOOGLETRANSLATE(D:D,""auto"",""en"")"),"Australian citizen sea of ​​fire escape")</f>
        <v>Australian citizen sea of ​​fire escape</v>
      </c>
      <c r="D7" s="4" t="s">
        <v>18</v>
      </c>
      <c r="E7" s="4">
        <v>8774740.0</v>
      </c>
      <c r="F7" s="4">
        <v>6.0</v>
      </c>
      <c r="G7" s="4" t="s">
        <v>19</v>
      </c>
    </row>
    <row r="8">
      <c r="A8" s="1">
        <v>6.0</v>
      </c>
      <c r="B8" s="4" t="s">
        <v>7</v>
      </c>
      <c r="C8" s="4" t="str">
        <f>IFERROR(__xludf.DUMMYFUNCTION("GOOGLETRANSLATE(D:D,""auto"",""en"")"),"Deng Jiajia crying scene acting burst")</f>
        <v>Deng Jiajia crying scene acting burst</v>
      </c>
      <c r="D8" s="4" t="s">
        <v>20</v>
      </c>
      <c r="E8" s="4">
        <v>8675932.0</v>
      </c>
      <c r="F8" s="4">
        <v>7.0</v>
      </c>
      <c r="G8" s="4" t="s">
        <v>21</v>
      </c>
    </row>
    <row r="9">
      <c r="A9" s="1">
        <v>7.0</v>
      </c>
      <c r="B9" s="4" t="s">
        <v>7</v>
      </c>
      <c r="C9" s="4" t="str">
        <f>IFERROR(__xludf.DUMMYFUNCTION("GOOGLETRANSLATE(D:D,""auto"",""en"")"),"Yang Zi trapeze")</f>
        <v>Yang Zi trapeze</v>
      </c>
      <c r="D9" s="4" t="s">
        <v>22</v>
      </c>
      <c r="E9" s="4">
        <v>8434499.0</v>
      </c>
      <c r="F9" s="4">
        <v>8.0</v>
      </c>
      <c r="G9" s="4" t="s">
        <v>23</v>
      </c>
    </row>
    <row r="10">
      <c r="A10" s="1">
        <v>8.0</v>
      </c>
      <c r="B10" s="4" t="s">
        <v>7</v>
      </c>
      <c r="C10" s="4" t="str">
        <f>IFERROR(__xludf.DUMMYFUNCTION("GOOGLETRANSLATE(D:D,""auto"",""en"")"),"Dilly Reba high Weiguang 2020 limited blessing")</f>
        <v>Dilly Reba high Weiguang 2020 limited blessing</v>
      </c>
      <c r="D10" s="4" t="s">
        <v>24</v>
      </c>
      <c r="E10" s="4">
        <v>8377776.0</v>
      </c>
      <c r="F10" s="4">
        <v>9.0</v>
      </c>
      <c r="G10" s="4" t="s">
        <v>25</v>
      </c>
    </row>
    <row r="11">
      <c r="A11" s="1">
        <v>9.0</v>
      </c>
      <c r="B11" s="4" t="s">
        <v>7</v>
      </c>
      <c r="C11" s="4" t="str">
        <f>IFERROR(__xludf.DUMMYFUNCTION("GOOGLETRANSLATE(D:D,""auto"",""en"")"),"Playground buried corpse case, the former president shouted that I was wrong")</f>
        <v>Playground buried corpse case, the former president shouted that I was wrong</v>
      </c>
      <c r="D11" s="4" t="s">
        <v>26</v>
      </c>
      <c r="E11" s="4">
        <v>8239691.0</v>
      </c>
      <c r="F11" s="4">
        <v>10.0</v>
      </c>
      <c r="G11" s="4" t="s">
        <v>27</v>
      </c>
    </row>
    <row r="12">
      <c r="A12" s="1">
        <v>10.0</v>
      </c>
      <c r="B12" s="4" t="s">
        <v>7</v>
      </c>
      <c r="C12" s="4" t="str">
        <f>IFERROR(__xludf.DUMMYFUNCTION("GOOGLETRANSLATE(D:D,""auto"",""en"")"),"Xue Qian good busy")</f>
        <v>Xue Qian good busy</v>
      </c>
      <c r="D12" s="4" t="s">
        <v>28</v>
      </c>
      <c r="E12" s="4">
        <v>8199474.0</v>
      </c>
      <c r="F12" s="4">
        <v>11.0</v>
      </c>
      <c r="G12" s="4" t="s">
        <v>29</v>
      </c>
    </row>
    <row r="13">
      <c r="A13" s="1">
        <v>11.0</v>
      </c>
      <c r="B13" s="4" t="s">
        <v>7</v>
      </c>
      <c r="C13" s="4" t="str">
        <f>IFERROR(__xludf.DUMMYFUNCTION("GOOGLETRANSLATE(D:D,""auto"",""en"")"),"Jacky Slam Dunk Teleprompter")</f>
        <v>Jacky Slam Dunk Teleprompter</v>
      </c>
      <c r="D13" s="4" t="s">
        <v>30</v>
      </c>
      <c r="E13" s="4">
        <v>8076504.0</v>
      </c>
      <c r="F13" s="4">
        <v>12.0</v>
      </c>
      <c r="G13" s="4" t="s">
        <v>31</v>
      </c>
    </row>
    <row r="14">
      <c r="A14" s="1">
        <v>12.0</v>
      </c>
      <c r="B14" s="4" t="s">
        <v>7</v>
      </c>
      <c r="C14" s="4" t="str">
        <f>IFERROR(__xludf.DUMMYFUNCTION("GOOGLETRANSLATE(D:D,""auto"",""en"")"),"Wang Tan Weiwei duet")</f>
        <v>Wang Tan Weiwei duet</v>
      </c>
      <c r="D14" s="4" t="s">
        <v>32</v>
      </c>
      <c r="E14" s="4">
        <v>8000523.0</v>
      </c>
      <c r="F14" s="4">
        <v>13.0</v>
      </c>
      <c r="G14" s="4" t="s">
        <v>33</v>
      </c>
    </row>
    <row r="15">
      <c r="A15" s="1">
        <v>13.0</v>
      </c>
      <c r="B15" s="4" t="s">
        <v>7</v>
      </c>
      <c r="C15" s="4" t="str">
        <f>IFERROR(__xludf.DUMMYFUNCTION("GOOGLETRANSLATE(D:D,""auto"",""en"")"),"Luhan eat sowing")</f>
        <v>Luhan eat sowing</v>
      </c>
      <c r="D15" s="4" t="s">
        <v>34</v>
      </c>
      <c r="E15" s="4">
        <v>7913392.0</v>
      </c>
      <c r="F15" s="4">
        <v>14.0</v>
      </c>
      <c r="G15" s="4" t="s">
        <v>35</v>
      </c>
    </row>
    <row r="16">
      <c r="A16" s="1">
        <v>14.0</v>
      </c>
      <c r="B16" s="4" t="s">
        <v>7</v>
      </c>
      <c r="C16" s="4" t="str">
        <f>IFERROR(__xludf.DUMMYFUNCTION("GOOGLETRANSLATE(D:D,""auto"",""en"")"),"Cai Xu Kun site")</f>
        <v>Cai Xu Kun site</v>
      </c>
      <c r="D16" s="4" t="s">
        <v>36</v>
      </c>
      <c r="E16" s="4">
        <v>7912365.0</v>
      </c>
      <c r="F16" s="4">
        <v>15.0</v>
      </c>
      <c r="G16" s="4" t="s">
        <v>37</v>
      </c>
    </row>
    <row r="17">
      <c r="A17" s="1">
        <v>15.0</v>
      </c>
      <c r="B17" s="4" t="s">
        <v>7</v>
      </c>
      <c r="C17" s="4" t="str">
        <f>IFERROR(__xludf.DUMMYFUNCTION("GOOGLETRANSLATE(D:D,""auto"",""en"")"),"2020 good to me please")</f>
        <v>2020 good to me please</v>
      </c>
      <c r="D17" s="4" t="s">
        <v>38</v>
      </c>
      <c r="E17" s="4">
        <v>7889518.0</v>
      </c>
      <c r="F17" s="4">
        <v>16.0</v>
      </c>
      <c r="G17" s="4" t="s">
        <v>39</v>
      </c>
    </row>
    <row r="18">
      <c r="A18" s="1">
        <v>16.0</v>
      </c>
      <c r="B18" s="4" t="s">
        <v>7</v>
      </c>
      <c r="C18" s="4" t="str">
        <f>IFERROR(__xludf.DUMMYFUNCTION("GOOGLETRANSLATE(D:D,""auto"",""en"")"),"Fire Fighter me")</f>
        <v>Fire Fighter me</v>
      </c>
      <c r="D18" s="4" t="s">
        <v>40</v>
      </c>
      <c r="E18" s="4">
        <v>7844382.0</v>
      </c>
      <c r="F18" s="4">
        <v>17.0</v>
      </c>
      <c r="G18" s="4" t="s">
        <v>41</v>
      </c>
    </row>
    <row r="19">
      <c r="A19" s="1">
        <v>17.0</v>
      </c>
      <c r="B19" s="4" t="s">
        <v>7</v>
      </c>
      <c r="C19" s="4" t="str">
        <f>IFERROR(__xludf.DUMMYFUNCTION("GOOGLETRANSLATE(D:D,""auto"",""en"")"),"Bella posting high bid farewell to Xiang")</f>
        <v>Bella posting high bid farewell to Xiang</v>
      </c>
      <c r="D19" s="4" t="s">
        <v>42</v>
      </c>
      <c r="E19" s="4">
        <v>7661679.0</v>
      </c>
      <c r="F19" s="4">
        <v>18.0</v>
      </c>
      <c r="G19" s="4" t="s">
        <v>43</v>
      </c>
    </row>
    <row r="20">
      <c r="A20" s="1">
        <v>18.0</v>
      </c>
      <c r="B20" s="4" t="s">
        <v>7</v>
      </c>
      <c r="C20" s="4" t="str">
        <f>IFERROR(__xludf.DUMMYFUNCTION("GOOGLETRANSLATE(D:D,""auto"",""en"")"),"Wang Yibo water dancing and singing")</f>
        <v>Wang Yibo water dancing and singing</v>
      </c>
      <c r="D20" s="4" t="s">
        <v>44</v>
      </c>
      <c r="E20" s="4">
        <v>7659925.0</v>
      </c>
      <c r="F20" s="4">
        <v>19.0</v>
      </c>
      <c r="G20" s="4" t="s">
        <v>45</v>
      </c>
    </row>
    <row r="21">
      <c r="A21" s="1">
        <v>19.0</v>
      </c>
      <c r="B21" s="4" t="s">
        <v>7</v>
      </c>
      <c r="C21" s="4" t="str">
        <f>IFERROR(__xludf.DUMMYFUNCTION("GOOGLETRANSLATE(D:D,""auto"",""en"")"),"Wang Yuan was splashed in the eyes stage fireworks")</f>
        <v>Wang Yuan was splashed in the eyes stage fireworks</v>
      </c>
      <c r="D21" s="4" t="s">
        <v>46</v>
      </c>
      <c r="E21" s="4">
        <v>7574042.0</v>
      </c>
      <c r="F21" s="4">
        <v>20.0</v>
      </c>
      <c r="G21" s="4" t="s">
        <v>47</v>
      </c>
    </row>
    <row r="22">
      <c r="A22" s="1">
        <v>20.0</v>
      </c>
      <c r="B22" s="4" t="s">
        <v>7</v>
      </c>
      <c r="C22" s="4" t="str">
        <f>IFERROR(__xludf.DUMMYFUNCTION("GOOGLETRANSLATE(D:D,""auto"",""en"")"),"Wang Yibo professional actions do not imitate")</f>
        <v>Wang Yibo professional actions do not imitate</v>
      </c>
      <c r="D22" s="4" t="s">
        <v>48</v>
      </c>
      <c r="E22" s="4">
        <v>7507794.0</v>
      </c>
      <c r="F22" s="4">
        <v>21.0</v>
      </c>
      <c r="G22" s="4" t="s">
        <v>49</v>
      </c>
    </row>
    <row r="23">
      <c r="A23" s="1">
        <v>21.0</v>
      </c>
      <c r="B23" s="4" t="s">
        <v>7</v>
      </c>
      <c r="C23" s="4" t="str">
        <f>IFERROR(__xludf.DUMMYFUNCTION("GOOGLETRANSLATE(D:D,""auto"",""en"")"),"Han Celina Jade wedding video exposure")</f>
        <v>Han Celina Jade wedding video exposure</v>
      </c>
      <c r="D23" s="4" t="s">
        <v>50</v>
      </c>
      <c r="E23" s="4">
        <v>7497219.0</v>
      </c>
      <c r="F23" s="4">
        <v>22.0</v>
      </c>
      <c r="G23" s="4" t="s">
        <v>51</v>
      </c>
    </row>
    <row r="24">
      <c r="A24" s="1">
        <v>22.0</v>
      </c>
      <c r="B24" s="4" t="s">
        <v>7</v>
      </c>
      <c r="C24" s="4" t="str">
        <f>IFERROR(__xludf.DUMMYFUNCTION("GOOGLETRANSLATE(D:D,""auto"",""en"")"),"Yiyangqianxi the end of Hu Xu Li Landi photo")</f>
        <v>Yiyangqianxi the end of Hu Xu Li Landi photo</v>
      </c>
      <c r="D24" s="4" t="s">
        <v>52</v>
      </c>
      <c r="E24" s="4">
        <v>7488285.0</v>
      </c>
      <c r="F24" s="4">
        <v>23.0</v>
      </c>
      <c r="G24" s="4" t="s">
        <v>53</v>
      </c>
    </row>
    <row r="25">
      <c r="A25" s="1">
        <v>23.0</v>
      </c>
      <c r="B25" s="4" t="s">
        <v>7</v>
      </c>
      <c r="C25" s="4" t="str">
        <f>IFERROR(__xludf.DUMMYFUNCTION("GOOGLETRANSLATE(D:D,""auto"",""en"")"),"Xiaozhan years MV")</f>
        <v>Xiaozhan years MV</v>
      </c>
      <c r="D25" s="4" t="s">
        <v>54</v>
      </c>
      <c r="E25" s="4">
        <v>7454459.0</v>
      </c>
      <c r="F25" s="4">
        <v>24.0</v>
      </c>
      <c r="G25" s="4" t="s">
        <v>55</v>
      </c>
    </row>
    <row r="26">
      <c r="A26" s="1">
        <v>24.0</v>
      </c>
      <c r="B26" s="4" t="s">
        <v>7</v>
      </c>
      <c r="C26" s="4" t="str">
        <f>IFERROR(__xludf.DUMMYFUNCTION("GOOGLETRANSLATE(D:D,""auto"",""en"")"),"Chongqing Palm Springs fire")</f>
        <v>Chongqing Palm Springs fire</v>
      </c>
      <c r="D26" s="4" t="s">
        <v>56</v>
      </c>
      <c r="E26" s="4">
        <v>7368192.0</v>
      </c>
      <c r="F26" s="4">
        <v>25.0</v>
      </c>
      <c r="G26" s="4" t="s">
        <v>57</v>
      </c>
    </row>
    <row r="27">
      <c r="A27" s="1">
        <v>25.0</v>
      </c>
      <c r="B27" s="4" t="s">
        <v>7</v>
      </c>
      <c r="C27" s="4" t="str">
        <f>IFERROR(__xludf.DUMMYFUNCTION("GOOGLETRANSLATE(D:D,""auto"",""en"")"),"New Year's Eve Copywriting")</f>
        <v>New Year's Eve Copywriting</v>
      </c>
      <c r="D27" s="4" t="s">
        <v>58</v>
      </c>
      <c r="E27" s="4">
        <v>7278679.0</v>
      </c>
      <c r="F27" s="4">
        <v>26.0</v>
      </c>
      <c r="G27" s="4" t="s">
        <v>59</v>
      </c>
    </row>
    <row r="28">
      <c r="A28" s="1">
        <v>26.0</v>
      </c>
      <c r="B28" s="4" t="s">
        <v>7</v>
      </c>
      <c r="C28" s="4" t="str">
        <f>IFERROR(__xludf.DUMMYFUNCTION("GOOGLETRANSLATE(D:D,""auto"",""en"")"),"Jackson Wang JJ Cao Cao chorus")</f>
        <v>Jackson Wang JJ Cao Cao chorus</v>
      </c>
      <c r="D28" s="4" t="s">
        <v>60</v>
      </c>
      <c r="E28" s="4">
        <v>7257498.0</v>
      </c>
      <c r="F28" s="4">
        <v>27.0</v>
      </c>
      <c r="G28" s="4" t="s">
        <v>61</v>
      </c>
    </row>
    <row r="29">
      <c r="A29" s="1">
        <v>27.0</v>
      </c>
      <c r="B29" s="4" t="s">
        <v>7</v>
      </c>
      <c r="C29" s="4" t="str">
        <f>IFERROR(__xludf.DUMMYFUNCTION("GOOGLETRANSLATE(D:D,""auto"",""en"")"),"Putin had an early swim with dolphins")</f>
        <v>Putin had an early swim with dolphins</v>
      </c>
      <c r="D29" s="4" t="s">
        <v>62</v>
      </c>
      <c r="E29" s="4">
        <v>7230638.0</v>
      </c>
      <c r="F29" s="4">
        <v>28.0</v>
      </c>
      <c r="G29" s="4" t="s">
        <v>63</v>
      </c>
    </row>
    <row r="30">
      <c r="A30" s="1">
        <v>28.0</v>
      </c>
      <c r="B30" s="4" t="s">
        <v>7</v>
      </c>
      <c r="C30" s="4" t="str">
        <f>IFERROR(__xludf.DUMMYFUNCTION("GOOGLETRANSLATE(D:D,""auto"",""en"")"),"肖战 Chongqing")</f>
        <v>肖战 Chongqing</v>
      </c>
      <c r="D30" s="4" t="s">
        <v>64</v>
      </c>
      <c r="E30" s="4">
        <v>7210819.0</v>
      </c>
      <c r="F30" s="4">
        <v>29.0</v>
      </c>
      <c r="G30" s="4" t="s">
        <v>65</v>
      </c>
    </row>
    <row r="31">
      <c r="A31" s="1">
        <v>29.0</v>
      </c>
      <c r="B31" s="4" t="s">
        <v>7</v>
      </c>
      <c r="C31" s="4" t="str">
        <f>IFERROR(__xludf.DUMMYFUNCTION("GOOGLETRANSLATE(D:D,""auto"",""en"")"),"Xie Na presided over the scene in response to controversy")</f>
        <v>Xie Na presided over the scene in response to controversy</v>
      </c>
      <c r="D31" s="4" t="s">
        <v>66</v>
      </c>
      <c r="E31" s="4">
        <v>7125021.0</v>
      </c>
      <c r="F31" s="4">
        <v>30.0</v>
      </c>
      <c r="G31" s="4" t="s">
        <v>67</v>
      </c>
    </row>
    <row r="32">
      <c r="A32" s="1">
        <v>30.0</v>
      </c>
      <c r="B32" s="4" t="s">
        <v>7</v>
      </c>
      <c r="C32" s="4" t="str">
        <f>IFERROR(__xludf.DUMMYFUNCTION("GOOGLETRANSLATE(D:D,""auto"",""en"")"),"Sicong Sanya New Year's Eve")</f>
        <v>Sicong Sanya New Year's Eve</v>
      </c>
      <c r="D32" s="4" t="s">
        <v>68</v>
      </c>
      <c r="E32" s="4">
        <v>7106364.0</v>
      </c>
      <c r="F32" s="4">
        <v>31.0</v>
      </c>
      <c r="G32" s="4" t="s">
        <v>69</v>
      </c>
    </row>
    <row r="33">
      <c r="A33" s="1">
        <v>31.0</v>
      </c>
      <c r="B33" s="4" t="s">
        <v>7</v>
      </c>
      <c r="C33" s="4" t="str">
        <f>IFERROR(__xludf.DUMMYFUNCTION("GOOGLETRANSLATE(D:D,""auto"",""en"")"),"Lee now you nervous yet")</f>
        <v>Lee now you nervous yet</v>
      </c>
      <c r="D33" s="4" t="s">
        <v>70</v>
      </c>
      <c r="E33" s="4">
        <v>7104290.0</v>
      </c>
      <c r="F33" s="4">
        <v>32.0</v>
      </c>
      <c r="G33" s="4" t="s">
        <v>71</v>
      </c>
    </row>
    <row r="34">
      <c r="A34" s="1">
        <v>32.0</v>
      </c>
      <c r="B34" s="4" t="s">
        <v>7</v>
      </c>
      <c r="C34" s="4" t="str">
        <f>IFERROR(__xludf.DUMMYFUNCTION("GOOGLETRANSLATE(D:D,""auto"",""en"")"),"TFBOYS fit New Year's Eve")</f>
        <v>TFBOYS fit New Year's Eve</v>
      </c>
      <c r="D34" s="4" t="s">
        <v>72</v>
      </c>
      <c r="E34" s="4">
        <v>7008729.0</v>
      </c>
      <c r="F34" s="4">
        <v>33.0</v>
      </c>
      <c r="G34" s="4" t="s">
        <v>73</v>
      </c>
    </row>
    <row r="35">
      <c r="A35" s="1">
        <v>33.0</v>
      </c>
      <c r="B35" s="4" t="s">
        <v>7</v>
      </c>
      <c r="C35" s="4" t="str">
        <f>IFERROR(__xludf.DUMMYFUNCTION("GOOGLETRANSLATE(D:D,""auto"",""en"")"),"Malaysia Airlines MH319 response after take-off return")</f>
        <v>Malaysia Airlines MH319 response after take-off return</v>
      </c>
      <c r="D35" s="4" t="s">
        <v>74</v>
      </c>
      <c r="E35" s="4">
        <v>6977272.0</v>
      </c>
      <c r="F35" s="4">
        <v>34.0</v>
      </c>
      <c r="G35" s="4" t="s">
        <v>75</v>
      </c>
    </row>
    <row r="36">
      <c r="A36" s="1">
        <v>34.0</v>
      </c>
      <c r="B36" s="4" t="s">
        <v>7</v>
      </c>
      <c r="C36" s="4" t="str">
        <f>IFERROR(__xludf.DUMMYFUNCTION("GOOGLETRANSLATE(D:D,""auto"",""en"")"),"His New Year's Eve blessing let the tears ran")</f>
        <v>His New Year's Eve blessing let the tears ran</v>
      </c>
      <c r="D36" s="4" t="s">
        <v>76</v>
      </c>
      <c r="E36" s="4">
        <v>6965372.0</v>
      </c>
      <c r="F36" s="4">
        <v>35.0</v>
      </c>
      <c r="G36" s="4" t="s">
        <v>77</v>
      </c>
    </row>
    <row r="37">
      <c r="A37" s="1">
        <v>35.0</v>
      </c>
      <c r="B37" s="4" t="s">
        <v>7</v>
      </c>
      <c r="C37" s="4" t="str">
        <f>IFERROR(__xludf.DUMMYFUNCTION("GOOGLETRANSLATE(D:D,""auto"",""en"")"),"Zhengzhou idle elevator began operation eight years")</f>
        <v>Zhengzhou idle elevator began operation eight years</v>
      </c>
      <c r="D37" s="4" t="s">
        <v>78</v>
      </c>
      <c r="E37" s="4">
        <v>6823173.0</v>
      </c>
      <c r="F37" s="4">
        <v>36.0</v>
      </c>
      <c r="G37" s="4" t="s">
        <v>79</v>
      </c>
    </row>
    <row r="38">
      <c r="A38" s="1">
        <v>36.0</v>
      </c>
      <c r="B38" s="4" t="s">
        <v>7</v>
      </c>
      <c r="C38" s="4" t="str">
        <f>IFERROR(__xludf.DUMMYFUNCTION("GOOGLETRANSLATE(D:D,""auto"",""en"")"),"Deng purple chess William Chan siblings recognize the scene")</f>
        <v>Deng purple chess William Chan siblings recognize the scene</v>
      </c>
      <c r="D38" s="4" t="s">
        <v>80</v>
      </c>
      <c r="E38" s="4">
        <v>6757165.0</v>
      </c>
      <c r="F38" s="4">
        <v>37.0</v>
      </c>
      <c r="G38" s="4" t="s">
        <v>81</v>
      </c>
    </row>
    <row r="39">
      <c r="A39" s="1">
        <v>37.0</v>
      </c>
      <c r="B39" s="4" t="s">
        <v>7</v>
      </c>
      <c r="C39" s="4" t="str">
        <f>IFERROR(__xludf.DUMMYFUNCTION("GOOGLETRANSLATE(D:D,""auto"",""en"")"),"Carter tribute to the magic home")</f>
        <v>Carter tribute to the magic home</v>
      </c>
      <c r="D39" s="4" t="s">
        <v>82</v>
      </c>
      <c r="E39" s="4">
        <v>6730682.0</v>
      </c>
      <c r="F39" s="4">
        <v>38.0</v>
      </c>
      <c r="G39" s="4" t="s">
        <v>83</v>
      </c>
    </row>
    <row r="40">
      <c r="A40" s="1">
        <v>38.0</v>
      </c>
      <c r="B40" s="4" t="s">
        <v>7</v>
      </c>
      <c r="C40" s="4" t="str">
        <f>IFERROR(__xludf.DUMMYFUNCTION("GOOGLETRANSLATE(D:D,""auto"",""en"")"),"Du Haitao seeking photo brutally refused")</f>
        <v>Du Haitao seeking photo brutally refused</v>
      </c>
      <c r="D40" s="4" t="s">
        <v>84</v>
      </c>
      <c r="E40" s="4">
        <v>6718045.0</v>
      </c>
      <c r="F40" s="4">
        <v>39.0</v>
      </c>
      <c r="G40" s="4" t="s">
        <v>85</v>
      </c>
    </row>
    <row r="41">
      <c r="A41" s="1">
        <v>39.0</v>
      </c>
      <c r="B41" s="4" t="s">
        <v>7</v>
      </c>
      <c r="C41" s="4" t="str">
        <f>IFERROR(__xludf.DUMMYFUNCTION("GOOGLETRANSLATE(D:D,""auto"",""en"")"),"Deng purple chess scene ultra-stable")</f>
        <v>Deng purple chess scene ultra-stable</v>
      </c>
      <c r="D41" s="4" t="s">
        <v>86</v>
      </c>
      <c r="E41" s="4">
        <v>6681736.0</v>
      </c>
      <c r="F41" s="4">
        <v>40.0</v>
      </c>
      <c r="G41" s="4" t="s">
        <v>87</v>
      </c>
    </row>
    <row r="42">
      <c r="A42" s="1">
        <v>40.0</v>
      </c>
      <c r="B42" s="4" t="s">
        <v>7</v>
      </c>
      <c r="C42" s="4" t="str">
        <f>IFERROR(__xludf.DUMMYFUNCTION("GOOGLETRANSLATE(D:D,""auto"",""en"")"),"Lijiang, Yunnan prosecution informed the Anti-Murder")</f>
        <v>Lijiang, Yunnan prosecution informed the Anti-Murder</v>
      </c>
      <c r="D42" s="4" t="s">
        <v>88</v>
      </c>
      <c r="E42" s="4">
        <v>6668162.0</v>
      </c>
      <c r="F42" s="4">
        <v>41.0</v>
      </c>
      <c r="G42" s="4" t="s">
        <v>89</v>
      </c>
    </row>
    <row r="43">
      <c r="A43" s="1">
        <v>41.0</v>
      </c>
      <c r="B43" s="4" t="s">
        <v>7</v>
      </c>
      <c r="C43" s="4" t="str">
        <f>IFERROR(__xludf.DUMMYFUNCTION("GOOGLETRANSLATE(D:D,""auto"",""en"")"),"4.3 earthquake in Sichuan Zigong")</f>
        <v>4.3 earthquake in Sichuan Zigong</v>
      </c>
      <c r="D43" s="4" t="s">
        <v>90</v>
      </c>
      <c r="E43" s="4">
        <v>6594133.0</v>
      </c>
      <c r="F43" s="4">
        <v>42.0</v>
      </c>
      <c r="G43" s="4" t="s">
        <v>91</v>
      </c>
    </row>
    <row r="44">
      <c r="A44" s="1">
        <v>42.0</v>
      </c>
      <c r="B44" s="4" t="s">
        <v>7</v>
      </c>
      <c r="C44" s="4" t="str">
        <f>IFERROR(__xludf.DUMMYFUNCTION("GOOGLETRANSLATE(D:D,""auto"",""en"")"),"Wuhan South China seafood market closed for renovation")</f>
        <v>Wuhan South China seafood market closed for renovation</v>
      </c>
      <c r="D44" s="4" t="s">
        <v>92</v>
      </c>
      <c r="E44" s="4">
        <v>6548095.0</v>
      </c>
      <c r="F44" s="4">
        <v>43.0</v>
      </c>
      <c r="G44" s="4" t="s">
        <v>93</v>
      </c>
    </row>
    <row r="45">
      <c r="A45" s="1">
        <v>43.0</v>
      </c>
      <c r="B45" s="4" t="s">
        <v>7</v>
      </c>
      <c r="C45" s="4" t="str">
        <f>IFERROR(__xludf.DUMMYFUNCTION("GOOGLETRANSLATE(D:D,""auto"",""en"")"),"Zheng Shuang want to try the villain")</f>
        <v>Zheng Shuang want to try the villain</v>
      </c>
      <c r="D45" s="4" t="s">
        <v>94</v>
      </c>
      <c r="E45" s="4">
        <v>6531530.0</v>
      </c>
      <c r="F45" s="4">
        <v>44.0</v>
      </c>
      <c r="G45" s="4" t="s">
        <v>95</v>
      </c>
    </row>
    <row r="46">
      <c r="A46" s="1">
        <v>44.0</v>
      </c>
      <c r="B46" s="4" t="s">
        <v>7</v>
      </c>
      <c r="C46" s="4" t="str">
        <f>IFERROR(__xludf.DUMMYFUNCTION("GOOGLETRANSLATE(D:D,""auto"",""en"")"),"National 487 provincial boundaries abolition of all toll stations")</f>
        <v>National 487 provincial boundaries abolition of all toll stations</v>
      </c>
      <c r="D46" s="4" t="s">
        <v>96</v>
      </c>
      <c r="E46" s="4">
        <v>6452642.0</v>
      </c>
      <c r="F46" s="4">
        <v>45.0</v>
      </c>
      <c r="G46" s="4" t="s">
        <v>97</v>
      </c>
    </row>
    <row r="47">
      <c r="A47" s="1">
        <v>45.0</v>
      </c>
      <c r="B47" s="4" t="s">
        <v>7</v>
      </c>
      <c r="C47" s="4" t="str">
        <f>IFERROR(__xludf.DUMMYFUNCTION("GOOGLETRANSLATE(D:D,""auto"",""en"")"),"2020 first ray of sunshine")</f>
        <v>2020 first ray of sunshine</v>
      </c>
      <c r="D47" s="4" t="s">
        <v>98</v>
      </c>
      <c r="E47" s="4">
        <v>6415211.0</v>
      </c>
      <c r="F47" s="4">
        <v>46.0</v>
      </c>
      <c r="G47" s="4" t="s">
        <v>99</v>
      </c>
    </row>
    <row r="48">
      <c r="A48" s="1">
        <v>46.0</v>
      </c>
      <c r="B48" s="4" t="s">
        <v>7</v>
      </c>
      <c r="C48" s="4" t="str">
        <f>IFERROR(__xludf.DUMMYFUNCTION("GOOGLETRANSLATE(D:D,""auto"",""en"")"),"New Year's Eve")</f>
        <v>New Year's Eve</v>
      </c>
      <c r="D48" s="4" t="s">
        <v>100</v>
      </c>
      <c r="E48" s="4">
        <v>6412275.0</v>
      </c>
      <c r="F48" s="4">
        <v>47.0</v>
      </c>
      <c r="G48" s="4" t="s">
        <v>101</v>
      </c>
    </row>
    <row r="49">
      <c r="A49" s="1">
        <v>47.0</v>
      </c>
      <c r="B49" s="4" t="s">
        <v>7</v>
      </c>
      <c r="C49" s="4" t="str">
        <f>IFERROR(__xludf.DUMMYFUNCTION("GOOGLETRANSLATE(D:D,""auto"",""en"")"),"Li show the way to wipe lipstick")</f>
        <v>Li show the way to wipe lipstick</v>
      </c>
      <c r="D49" s="4" t="s">
        <v>102</v>
      </c>
      <c r="E49" s="4">
        <v>6331741.0</v>
      </c>
      <c r="F49" s="4">
        <v>48.0</v>
      </c>
      <c r="G49" s="4" t="s">
        <v>103</v>
      </c>
    </row>
    <row r="50">
      <c r="A50" s="1">
        <v>48.0</v>
      </c>
      <c r="B50" s="4" t="s">
        <v>7</v>
      </c>
      <c r="C50" s="4" t="str">
        <f>IFERROR(__xludf.DUMMYFUNCTION("GOOGLETRANSLATE(D:D,""auto"",""en"")"),"Later, the first batch of 20")</f>
        <v>Later, the first batch of 20</v>
      </c>
      <c r="D50" s="4" t="s">
        <v>104</v>
      </c>
      <c r="E50" s="4">
        <v>6278633.0</v>
      </c>
      <c r="F50" s="4">
        <v>49.0</v>
      </c>
      <c r="G50" s="4" t="s">
        <v>105</v>
      </c>
    </row>
    <row r="51">
      <c r="A51" s="1">
        <v>49.0</v>
      </c>
      <c r="B51" s="4" t="s">
        <v>7</v>
      </c>
      <c r="C51" s="4" t="str">
        <f>IFERROR(__xludf.DUMMYFUNCTION("GOOGLETRANSLATE(D:D,""auto"",""en"")"),"Mike")</f>
        <v>Mike</v>
      </c>
      <c r="D51" s="4" t="s">
        <v>106</v>
      </c>
      <c r="E51" s="4">
        <v>6215382.0</v>
      </c>
      <c r="F51" s="4">
        <v>50.0</v>
      </c>
      <c r="G51" s="4" t="s">
        <v>107</v>
      </c>
    </row>
    <row r="52">
      <c r="A52" s="1">
        <v>50.0</v>
      </c>
      <c r="B52" s="4" t="s">
        <v>108</v>
      </c>
      <c r="C52" s="4" t="str">
        <f>IFERROR(__xludf.DUMMYFUNCTION("GOOGLETRANSLATE(D:D,""auto"",""en"")"),"Kim Hee Chul MOMO admits affair")</f>
        <v>Kim Hee Chul MOMO admits affair</v>
      </c>
      <c r="D52" s="4" t="s">
        <v>109</v>
      </c>
      <c r="E52" s="4">
        <v>1.1404321E7</v>
      </c>
      <c r="F52" s="4">
        <v>1.0</v>
      </c>
      <c r="G52" s="4" t="s">
        <v>110</v>
      </c>
    </row>
    <row r="53">
      <c r="A53" s="1">
        <v>51.0</v>
      </c>
      <c r="B53" s="4" t="s">
        <v>108</v>
      </c>
      <c r="C53" s="4" t="str">
        <f>IFERROR(__xludf.DUMMYFUNCTION("GOOGLETRANSLATE(D:D,""auto"",""en"")"),"Liu Yuning I said that is my line")</f>
        <v>Liu Yuning I said that is my line</v>
      </c>
      <c r="D53" s="4" t="s">
        <v>111</v>
      </c>
      <c r="E53" s="4">
        <v>1.1243241E7</v>
      </c>
      <c r="F53" s="4">
        <v>2.0</v>
      </c>
      <c r="G53" s="4" t="s">
        <v>112</v>
      </c>
    </row>
    <row r="54">
      <c r="A54" s="1">
        <v>52.0</v>
      </c>
      <c r="B54" s="4" t="s">
        <v>108</v>
      </c>
      <c r="C54" s="4" t="str">
        <f>IFERROR(__xludf.DUMMYFUNCTION("GOOGLETRANSLATE(D:D,""auto"",""en"")"),"Zhang Ying Ying family was dismissed civil action")</f>
        <v>Zhang Ying Ying family was dismissed civil action</v>
      </c>
      <c r="D54" s="4" t="s">
        <v>113</v>
      </c>
      <c r="E54" s="4">
        <v>1.0770574E7</v>
      </c>
      <c r="F54" s="4">
        <v>3.0</v>
      </c>
      <c r="G54" s="4" t="s">
        <v>114</v>
      </c>
    </row>
    <row r="55">
      <c r="A55" s="1">
        <v>53.0</v>
      </c>
      <c r="B55" s="4" t="s">
        <v>108</v>
      </c>
      <c r="C55" s="4" t="str">
        <f>IFERROR(__xludf.DUMMYFUNCTION("GOOGLETRANSLATE(D:D,""auto"",""en"")"),"Luhan eat sowing")</f>
        <v>Luhan eat sowing</v>
      </c>
      <c r="D55" s="4" t="s">
        <v>34</v>
      </c>
      <c r="E55" s="4">
        <v>1.0578806E7</v>
      </c>
      <c r="F55" s="4">
        <v>4.0</v>
      </c>
      <c r="G55" s="4" t="s">
        <v>35</v>
      </c>
    </row>
    <row r="56">
      <c r="A56" s="1">
        <v>54.0</v>
      </c>
      <c r="B56" s="4" t="s">
        <v>108</v>
      </c>
      <c r="C56" s="4" t="str">
        <f>IFERROR(__xludf.DUMMYFUNCTION("GOOGLETRANSLATE(D:D,""auto"",""en"")"),"Why this change fast Kyung broadcast time")</f>
        <v>Why this change fast Kyung broadcast time</v>
      </c>
      <c r="D56" s="4" t="s">
        <v>115</v>
      </c>
      <c r="E56" s="4">
        <v>1.0486588E7</v>
      </c>
      <c r="F56" s="4">
        <v>5.0</v>
      </c>
      <c r="G56" s="4" t="s">
        <v>116</v>
      </c>
    </row>
    <row r="57">
      <c r="A57" s="1">
        <v>55.0</v>
      </c>
      <c r="B57" s="4" t="s">
        <v>108</v>
      </c>
      <c r="C57" s="4" t="str">
        <f>IFERROR(__xludf.DUMMYFUNCTION("GOOGLETRANSLATE(D:D,""auto"",""en"")"),"Wu Yifan neck")</f>
        <v>Wu Yifan neck</v>
      </c>
      <c r="D57" s="4" t="s">
        <v>117</v>
      </c>
      <c r="E57" s="4">
        <v>1.032674E7</v>
      </c>
      <c r="F57" s="4">
        <v>6.0</v>
      </c>
      <c r="G57" s="4" t="s">
        <v>118</v>
      </c>
    </row>
    <row r="58">
      <c r="A58" s="1">
        <v>56.0</v>
      </c>
      <c r="B58" s="4" t="s">
        <v>108</v>
      </c>
      <c r="C58" s="4" t="str">
        <f>IFERROR(__xludf.DUMMYFUNCTION("GOOGLETRANSLATE(D:D,""auto"",""en"")"),"Xiaozhan years MV")</f>
        <v>Xiaozhan years MV</v>
      </c>
      <c r="D58" s="4" t="s">
        <v>54</v>
      </c>
      <c r="E58" s="4">
        <v>1.010054E7</v>
      </c>
      <c r="F58" s="4">
        <v>7.0</v>
      </c>
      <c r="G58" s="4" t="s">
        <v>55</v>
      </c>
    </row>
    <row r="59">
      <c r="A59" s="1">
        <v>57.0</v>
      </c>
      <c r="B59" s="4" t="s">
        <v>108</v>
      </c>
      <c r="C59" s="4" t="str">
        <f>IFERROR(__xludf.DUMMYFUNCTION("GOOGLETRANSLATE(D:D,""auto"",""en"")"),"Designers Xiaozhan occupational diseases")</f>
        <v>Designers Xiaozhan occupational diseases</v>
      </c>
      <c r="D59" s="4" t="s">
        <v>119</v>
      </c>
      <c r="E59" s="4">
        <v>1.0052997E7</v>
      </c>
      <c r="F59" s="4">
        <v>8.0</v>
      </c>
      <c r="G59" s="4" t="s">
        <v>120</v>
      </c>
    </row>
    <row r="60">
      <c r="A60" s="1">
        <v>58.0</v>
      </c>
      <c r="B60" s="4" t="s">
        <v>108</v>
      </c>
      <c r="C60" s="4" t="str">
        <f>IFERROR(__xludf.DUMMYFUNCTION("GOOGLETRANSLATE(D:D,""auto"",""en"")"),"Xiaozhan own jokes laughed box")</f>
        <v>Xiaozhan own jokes laughed box</v>
      </c>
      <c r="D60" s="4" t="s">
        <v>121</v>
      </c>
      <c r="E60" s="4">
        <v>9880545.0</v>
      </c>
      <c r="F60" s="4">
        <v>9.0</v>
      </c>
      <c r="G60" s="4" t="s">
        <v>122</v>
      </c>
    </row>
    <row r="61">
      <c r="A61" s="1">
        <v>59.0</v>
      </c>
      <c r="B61" s="4" t="s">
        <v>108</v>
      </c>
      <c r="C61" s="4" t="str">
        <f>IFERROR(__xludf.DUMMYFUNCTION("GOOGLETRANSLATE(D:D,""auto"",""en"")"),"Laba Festival")</f>
        <v>Laba Festival</v>
      </c>
      <c r="D61" s="4" t="s">
        <v>123</v>
      </c>
      <c r="E61" s="4">
        <v>9855265.0</v>
      </c>
      <c r="F61" s="4">
        <v>10.0</v>
      </c>
      <c r="G61" s="4" t="s">
        <v>124</v>
      </c>
    </row>
    <row r="62">
      <c r="A62" s="1">
        <v>60.0</v>
      </c>
      <c r="B62" s="4" t="s">
        <v>108</v>
      </c>
      <c r="C62" s="4" t="str">
        <f>IFERROR(__xludf.DUMMYFUNCTION("GOOGLETRANSLATE(D:D,""auto"",""en"")"),"NBA commissioner David Stern before his death")</f>
        <v>NBA commissioner David Stern before his death</v>
      </c>
      <c r="D62" s="4" t="s">
        <v>125</v>
      </c>
      <c r="E62" s="4">
        <v>9818206.0</v>
      </c>
      <c r="F62" s="4">
        <v>11.0</v>
      </c>
      <c r="G62" s="4" t="s">
        <v>126</v>
      </c>
    </row>
    <row r="63">
      <c r="A63" s="1">
        <v>61.0</v>
      </c>
      <c r="B63" s="4" t="s">
        <v>108</v>
      </c>
      <c r="C63" s="4" t="str">
        <f>IFERROR(__xludf.DUMMYFUNCTION("GOOGLETRANSLATE(D:D,""auto"",""en"")"),"Tango alone")</f>
        <v>Tango alone</v>
      </c>
      <c r="D63" s="4" t="s">
        <v>127</v>
      </c>
      <c r="E63" s="4">
        <v>9764498.0</v>
      </c>
      <c r="F63" s="4">
        <v>12.0</v>
      </c>
      <c r="G63" s="4" t="s">
        <v>128</v>
      </c>
    </row>
    <row r="64">
      <c r="A64" s="1">
        <v>62.0</v>
      </c>
      <c r="B64" s="4" t="s">
        <v>108</v>
      </c>
      <c r="C64" s="4" t="str">
        <f>IFERROR(__xludf.DUMMYFUNCTION("GOOGLETRANSLATE(D:D,""auto"",""en"")"),"Jackson Wang JJ Cao Cao chorus")</f>
        <v>Jackson Wang JJ Cao Cao chorus</v>
      </c>
      <c r="D64" s="4" t="s">
        <v>60</v>
      </c>
      <c r="E64" s="4">
        <v>9596992.0</v>
      </c>
      <c r="F64" s="4">
        <v>13.0</v>
      </c>
      <c r="G64" s="4" t="s">
        <v>61</v>
      </c>
    </row>
    <row r="65">
      <c r="A65" s="1">
        <v>63.0</v>
      </c>
      <c r="B65" s="4" t="s">
        <v>108</v>
      </c>
      <c r="C65" s="4" t="str">
        <f>IFERROR(__xludf.DUMMYFUNCTION("GOOGLETRANSLATE(D:D,""auto"",""en"")"),"Wang Yibo professional actions do not imitate")</f>
        <v>Wang Yibo professional actions do not imitate</v>
      </c>
      <c r="D65" s="4" t="s">
        <v>48</v>
      </c>
      <c r="E65" s="4">
        <v>9499279.0</v>
      </c>
      <c r="F65" s="4">
        <v>14.0</v>
      </c>
      <c r="G65" s="4" t="s">
        <v>49</v>
      </c>
    </row>
    <row r="66">
      <c r="A66" s="1">
        <v>64.0</v>
      </c>
      <c r="B66" s="4" t="s">
        <v>108</v>
      </c>
      <c r="C66" s="4" t="str">
        <f>IFERROR(__xludf.DUMMYFUNCTION("GOOGLETRANSLATE(D:D,""auto"",""en"")"),"Flight cancellations caused by a coin toss Pipan Pei 120,000")</f>
        <v>Flight cancellations caused by a coin toss Pipan Pei 120,000</v>
      </c>
      <c r="D66" s="4" t="s">
        <v>129</v>
      </c>
      <c r="E66" s="4">
        <v>9325443.0</v>
      </c>
      <c r="F66" s="4">
        <v>15.0</v>
      </c>
      <c r="G66" s="4" t="s">
        <v>130</v>
      </c>
    </row>
    <row r="67">
      <c r="A67" s="1">
        <v>65.0</v>
      </c>
      <c r="B67" s="4" t="s">
        <v>108</v>
      </c>
      <c r="C67" s="4" t="str">
        <f>IFERROR(__xludf.DUMMYFUNCTION("GOOGLETRANSLATE(D:D,""auto"",""en"")"),"Li Tie as football coach")</f>
        <v>Li Tie as football coach</v>
      </c>
      <c r="D67" s="4" t="s">
        <v>131</v>
      </c>
      <c r="E67" s="4">
        <v>9287653.0</v>
      </c>
      <c r="F67" s="4">
        <v>16.0</v>
      </c>
      <c r="G67" s="4" t="s">
        <v>132</v>
      </c>
    </row>
    <row r="68">
      <c r="A68" s="1">
        <v>66.0</v>
      </c>
      <c r="B68" s="4" t="s">
        <v>108</v>
      </c>
      <c r="C68" s="4" t="str">
        <f>IFERROR(__xludf.DUMMYFUNCTION("GOOGLETRANSLATE(D:D,""auto"",""en"")"),"2020 good to me please")</f>
        <v>2020 good to me please</v>
      </c>
      <c r="D68" s="4" t="s">
        <v>38</v>
      </c>
      <c r="E68" s="4">
        <v>9201205.0</v>
      </c>
      <c r="F68" s="4">
        <v>17.0</v>
      </c>
      <c r="G68" s="4" t="s">
        <v>39</v>
      </c>
    </row>
    <row r="69">
      <c r="A69" s="1">
        <v>67.0</v>
      </c>
      <c r="B69" s="4" t="s">
        <v>108</v>
      </c>
      <c r="C69" s="4" t="str">
        <f>IFERROR(__xludf.DUMMYFUNCTION("GOOGLETRANSLATE(D:D,""auto"",""en"")"),"Wuhan flights now suspected infectious human false news")</f>
        <v>Wuhan flights now suspected infectious human false news</v>
      </c>
      <c r="D69" s="4" t="s">
        <v>133</v>
      </c>
      <c r="E69" s="4">
        <v>9090635.0</v>
      </c>
      <c r="F69" s="4">
        <v>18.0</v>
      </c>
      <c r="G69" s="4" t="s">
        <v>134</v>
      </c>
    </row>
    <row r="70">
      <c r="A70" s="1">
        <v>68.0</v>
      </c>
      <c r="B70" s="4" t="s">
        <v>108</v>
      </c>
      <c r="C70" s="4" t="str">
        <f>IFERROR(__xludf.DUMMYFUNCTION("GOOGLETRANSLATE(D:D,""auto"",""en"")"),"Fire Fighter me")</f>
        <v>Fire Fighter me</v>
      </c>
      <c r="D70" s="4" t="s">
        <v>40</v>
      </c>
      <c r="E70" s="4">
        <v>8948174.0</v>
      </c>
      <c r="F70" s="4">
        <v>19.0</v>
      </c>
      <c r="G70" s="4" t="s">
        <v>41</v>
      </c>
    </row>
    <row r="71">
      <c r="A71" s="1">
        <v>69.0</v>
      </c>
      <c r="B71" s="4" t="s">
        <v>108</v>
      </c>
      <c r="C71" s="4" t="str">
        <f>IFERROR(__xludf.DUMMYFUNCTION("GOOGLETRANSLATE(D:D,""auto"",""en"")"),"Wang Yuan was splashed in the eyes stage fireworks")</f>
        <v>Wang Yuan was splashed in the eyes stage fireworks</v>
      </c>
      <c r="D71" s="4" t="s">
        <v>46</v>
      </c>
      <c r="E71" s="4">
        <v>8943265.0</v>
      </c>
      <c r="F71" s="4">
        <v>20.0</v>
      </c>
      <c r="G71" s="4" t="s">
        <v>47</v>
      </c>
    </row>
    <row r="72">
      <c r="A72" s="1">
        <v>70.0</v>
      </c>
      <c r="B72" s="4" t="s">
        <v>108</v>
      </c>
      <c r="C72" s="4" t="str">
        <f>IFERROR(__xludf.DUMMYFUNCTION("GOOGLETRANSLATE(D:D,""auto"",""en"")"),"Guan Xiaotong wear Luhan sweater")</f>
        <v>Guan Xiaotong wear Luhan sweater</v>
      </c>
      <c r="D72" s="4" t="s">
        <v>135</v>
      </c>
      <c r="E72" s="4">
        <v>8853352.0</v>
      </c>
      <c r="F72" s="4">
        <v>21.0</v>
      </c>
      <c r="G72" s="4" t="s">
        <v>136</v>
      </c>
    </row>
    <row r="73">
      <c r="A73" s="1">
        <v>71.0</v>
      </c>
      <c r="B73" s="4" t="s">
        <v>108</v>
      </c>
      <c r="C73" s="4" t="str">
        <f>IFERROR(__xludf.DUMMYFUNCTION("GOOGLETRANSLATE(D:D,""auto"",""en"")"),"National 487 provincial boundaries abolition of all toll stations")</f>
        <v>National 487 provincial boundaries abolition of all toll stations</v>
      </c>
      <c r="D73" s="4" t="s">
        <v>96</v>
      </c>
      <c r="E73" s="4">
        <v>8684396.0</v>
      </c>
      <c r="F73" s="4">
        <v>22.0</v>
      </c>
      <c r="G73" s="4" t="s">
        <v>97</v>
      </c>
    </row>
    <row r="74">
      <c r="A74" s="1">
        <v>72.0</v>
      </c>
      <c r="B74" s="4" t="s">
        <v>108</v>
      </c>
      <c r="C74" s="4" t="str">
        <f>IFERROR(__xludf.DUMMYFUNCTION("GOOGLETRANSLATE(D:D,""auto"",""en"")"),"Zhou Xun Yapeng Faye Wong Dou Jing Tong in frame")</f>
        <v>Zhou Xun Yapeng Faye Wong Dou Jing Tong in frame</v>
      </c>
      <c r="D74" s="4" t="s">
        <v>137</v>
      </c>
      <c r="E74" s="4">
        <v>8677236.0</v>
      </c>
      <c r="F74" s="4">
        <v>23.0</v>
      </c>
      <c r="G74" s="4" t="s">
        <v>138</v>
      </c>
    </row>
    <row r="75">
      <c r="A75" s="1">
        <v>73.0</v>
      </c>
      <c r="B75" s="4" t="s">
        <v>108</v>
      </c>
      <c r="C75" s="4" t="str">
        <f>IFERROR(__xludf.DUMMYFUNCTION("GOOGLETRANSLATE(D:D,""auto"",""en"")"),"Yangtze River fishing ban ten years")</f>
        <v>Yangtze River fishing ban ten years</v>
      </c>
      <c r="D75" s="4" t="s">
        <v>139</v>
      </c>
      <c r="E75" s="4">
        <v>8616539.0</v>
      </c>
      <c r="F75" s="4">
        <v>24.0</v>
      </c>
      <c r="G75" s="4" t="s">
        <v>140</v>
      </c>
    </row>
    <row r="76">
      <c r="A76" s="1">
        <v>74.0</v>
      </c>
      <c r="B76" s="4" t="s">
        <v>108</v>
      </c>
      <c r="C76" s="4" t="str">
        <f>IFERROR(__xludf.DUMMYFUNCTION("GOOGLETRANSLATE(D:D,""auto"",""en"")"),"Zheng Shuang want to try the villain")</f>
        <v>Zheng Shuang want to try the villain</v>
      </c>
      <c r="D76" s="4" t="s">
        <v>94</v>
      </c>
      <c r="E76" s="4">
        <v>8521471.0</v>
      </c>
      <c r="F76" s="4">
        <v>25.0</v>
      </c>
      <c r="G76" s="4" t="s">
        <v>95</v>
      </c>
    </row>
    <row r="77">
      <c r="A77" s="1">
        <v>75.0</v>
      </c>
      <c r="B77" s="4" t="s">
        <v>108</v>
      </c>
      <c r="C77" s="4" t="str">
        <f>IFERROR(__xludf.DUMMYFUNCTION("GOOGLETRANSLATE(D:D,""auto"",""en"")"),"肖战 Chongqing")</f>
        <v>肖战 Chongqing</v>
      </c>
      <c r="D77" s="4" t="s">
        <v>64</v>
      </c>
      <c r="E77" s="4">
        <v>8499558.0</v>
      </c>
      <c r="F77" s="4">
        <v>26.0</v>
      </c>
      <c r="G77" s="4" t="s">
        <v>65</v>
      </c>
    </row>
    <row r="78">
      <c r="A78" s="1">
        <v>76.0</v>
      </c>
      <c r="B78" s="4" t="s">
        <v>108</v>
      </c>
      <c r="C78" s="4" t="str">
        <f>IFERROR(__xludf.DUMMYFUNCTION("GOOGLETRANSLATE(D:D,""auto"",""en"")"),"Deng purple chess scene ultra-stable")</f>
        <v>Deng purple chess scene ultra-stable</v>
      </c>
      <c r="D78" s="4" t="s">
        <v>86</v>
      </c>
      <c r="E78" s="4">
        <v>8497388.0</v>
      </c>
      <c r="F78" s="4">
        <v>27.0</v>
      </c>
      <c r="G78" s="4" t="s">
        <v>87</v>
      </c>
    </row>
    <row r="79">
      <c r="A79" s="1">
        <v>77.0</v>
      </c>
      <c r="B79" s="4" t="s">
        <v>108</v>
      </c>
      <c r="C79" s="4" t="str">
        <f>IFERROR(__xludf.DUMMYFUNCTION("GOOGLETRANSLATE(D:D,""auto"",""en"")"),"Fire rescue firefighter finished more than a layer of ice armor")</f>
        <v>Fire rescue firefighter finished more than a layer of ice armor</v>
      </c>
      <c r="D79" s="4" t="s">
        <v>141</v>
      </c>
      <c r="E79" s="4">
        <v>8404703.0</v>
      </c>
      <c r="F79" s="4">
        <v>28.0</v>
      </c>
      <c r="G79" s="4" t="s">
        <v>142</v>
      </c>
    </row>
    <row r="80">
      <c r="A80" s="1">
        <v>78.0</v>
      </c>
      <c r="B80" s="4" t="s">
        <v>108</v>
      </c>
      <c r="C80" s="4" t="str">
        <f>IFERROR(__xludf.DUMMYFUNCTION("GOOGLETRANSLATE(D:D,""auto"",""en"")"),"Sea stars mv release")</f>
        <v>Sea stars mv release</v>
      </c>
      <c r="D80" s="4" t="s">
        <v>143</v>
      </c>
      <c r="E80" s="4">
        <v>8361093.0</v>
      </c>
      <c r="F80" s="4">
        <v>29.0</v>
      </c>
      <c r="G80" s="4" t="s">
        <v>144</v>
      </c>
    </row>
    <row r="81">
      <c r="A81" s="1">
        <v>79.0</v>
      </c>
      <c r="B81" s="4" t="s">
        <v>108</v>
      </c>
      <c r="C81" s="4" t="str">
        <f>IFERROR(__xludf.DUMMYFUNCTION("GOOGLETRANSLATE(D:D,""auto"",""en"")"),"Sales efforts Ling Xiao Su")</f>
        <v>Sales efforts Ling Xiao Su</v>
      </c>
      <c r="D81" s="4" t="s">
        <v>145</v>
      </c>
      <c r="E81" s="4">
        <v>8340847.0</v>
      </c>
      <c r="F81" s="4">
        <v>30.0</v>
      </c>
      <c r="G81" s="4" t="s">
        <v>146</v>
      </c>
    </row>
    <row r="82">
      <c r="A82" s="1">
        <v>80.0</v>
      </c>
      <c r="B82" s="4" t="s">
        <v>108</v>
      </c>
      <c r="C82" s="4" t="str">
        <f>IFERROR(__xludf.DUMMYFUNCTION("GOOGLETRANSLATE(D:D,""auto"",""en"")"),"Wang Junkai Nortel ending premiere")</f>
        <v>Wang Junkai Nortel ending premiere</v>
      </c>
      <c r="D82" s="4" t="s">
        <v>147</v>
      </c>
      <c r="E82" s="4">
        <v>8332681.0</v>
      </c>
      <c r="F82" s="4">
        <v>31.0</v>
      </c>
      <c r="G82" s="4" t="s">
        <v>148</v>
      </c>
    </row>
    <row r="83">
      <c r="A83" s="1">
        <v>81.0</v>
      </c>
      <c r="B83" s="4" t="s">
        <v>108</v>
      </c>
      <c r="C83" s="4" t="str">
        <f>IFERROR(__xludf.DUMMYFUNCTION("GOOGLETRANSLATE(D:D,""auto"",""en"")"),"Faye new site disco pants")</f>
        <v>Faye new site disco pants</v>
      </c>
      <c r="D83" s="4" t="s">
        <v>149</v>
      </c>
      <c r="E83" s="4">
        <v>8287045.0</v>
      </c>
      <c r="F83" s="4">
        <v>32.0</v>
      </c>
      <c r="G83" s="4" t="s">
        <v>150</v>
      </c>
    </row>
    <row r="84">
      <c r="A84" s="1">
        <v>82.0</v>
      </c>
      <c r="B84" s="4" t="s">
        <v>108</v>
      </c>
      <c r="C84" s="4" t="str">
        <f>IFERROR(__xludf.DUMMYFUNCTION("GOOGLETRANSLATE(D:D,""auto"",""en"")"),"Father was humiliated father groom wedding row")</f>
        <v>Father was humiliated father groom wedding row</v>
      </c>
      <c r="D84" s="4" t="s">
        <v>151</v>
      </c>
      <c r="E84" s="4">
        <v>8279619.0</v>
      </c>
      <c r="F84" s="4">
        <v>33.0</v>
      </c>
      <c r="G84" s="4" t="s">
        <v>152</v>
      </c>
    </row>
    <row r="85">
      <c r="A85" s="1">
        <v>83.0</v>
      </c>
      <c r="B85" s="4" t="s">
        <v>108</v>
      </c>
      <c r="C85" s="4" t="str">
        <f>IFERROR(__xludf.DUMMYFUNCTION("GOOGLETRANSLATE(D:D,""auto"",""en"")"),"Network truck drivers about sudden death New Year's Eve")</f>
        <v>Network truck drivers about sudden death New Year's Eve</v>
      </c>
      <c r="D85" s="4" t="s">
        <v>153</v>
      </c>
      <c r="E85" s="4">
        <v>8231819.0</v>
      </c>
      <c r="F85" s="4">
        <v>34.0</v>
      </c>
      <c r="G85" s="4" t="s">
        <v>154</v>
      </c>
    </row>
    <row r="86">
      <c r="A86" s="1">
        <v>84.0</v>
      </c>
      <c r="B86" s="4" t="s">
        <v>108</v>
      </c>
      <c r="C86" s="4" t="str">
        <f>IFERROR(__xludf.DUMMYFUNCTION("GOOGLETRANSLATE(D:D,""auto"",""en"")"),"CPR pressure off Granny 12 rib")</f>
        <v>CPR pressure off Granny 12 rib</v>
      </c>
      <c r="D86" s="4" t="s">
        <v>155</v>
      </c>
      <c r="E86" s="4">
        <v>8055856.0</v>
      </c>
      <c r="F86" s="4">
        <v>35.0</v>
      </c>
      <c r="G86" s="4" t="s">
        <v>156</v>
      </c>
    </row>
    <row r="87">
      <c r="A87" s="1">
        <v>85.0</v>
      </c>
      <c r="B87" s="4" t="s">
        <v>108</v>
      </c>
      <c r="C87" s="4" t="str">
        <f>IFERROR(__xludf.DUMMYFUNCTION("GOOGLETRANSLATE(D:D,""auto"",""en"")"),"ZhouDongYu silver gray buzz cut")</f>
        <v>ZhouDongYu silver gray buzz cut</v>
      </c>
      <c r="D87" s="4" t="s">
        <v>157</v>
      </c>
      <c r="E87" s="4">
        <v>8015324.0</v>
      </c>
      <c r="F87" s="4">
        <v>36.0</v>
      </c>
      <c r="G87" s="4" t="s">
        <v>158</v>
      </c>
    </row>
    <row r="88">
      <c r="A88" s="1">
        <v>86.0</v>
      </c>
      <c r="B88" s="4" t="s">
        <v>108</v>
      </c>
      <c r="C88" s="4" t="str">
        <f>IFERROR(__xludf.DUMMYFUNCTION("GOOGLETRANSLATE(D:D,""auto"",""en"")"),"Wang Yibo water dancing and singing")</f>
        <v>Wang Yibo water dancing and singing</v>
      </c>
      <c r="D88" s="4" t="s">
        <v>44</v>
      </c>
      <c r="E88" s="4">
        <v>7917213.0</v>
      </c>
      <c r="F88" s="4">
        <v>37.0</v>
      </c>
      <c r="G88" s="4" t="s">
        <v>45</v>
      </c>
    </row>
    <row r="89">
      <c r="A89" s="1">
        <v>87.0</v>
      </c>
      <c r="B89" s="4" t="s">
        <v>108</v>
      </c>
      <c r="C89" s="4" t="str">
        <f>IFERROR(__xludf.DUMMYFUNCTION("GOOGLETRANSLATE(D:D,""auto"",""en"")"),"Police were forced to say giaogiao")</f>
        <v>Police were forced to say giaogiao</v>
      </c>
      <c r="D89" s="4" t="s">
        <v>159</v>
      </c>
      <c r="E89" s="4">
        <v>7840444.0</v>
      </c>
      <c r="F89" s="4">
        <v>38.0</v>
      </c>
      <c r="G89" s="4" t="s">
        <v>160</v>
      </c>
    </row>
    <row r="90">
      <c r="A90" s="1">
        <v>88.0</v>
      </c>
      <c r="B90" s="4" t="s">
        <v>108</v>
      </c>
      <c r="C90" s="4" t="str">
        <f>IFERROR(__xludf.DUMMYFUNCTION("GOOGLETRANSLATE(D:D,""auto"",""en"")"),"Your yard is a small yet lovely")</f>
        <v>Your yard is a small yet lovely</v>
      </c>
      <c r="D90" s="4" t="s">
        <v>161</v>
      </c>
      <c r="E90" s="4">
        <v>7824096.0</v>
      </c>
      <c r="F90" s="4">
        <v>39.0</v>
      </c>
      <c r="G90" s="4" t="s">
        <v>162</v>
      </c>
    </row>
    <row r="91">
      <c r="A91" s="1">
        <v>89.0</v>
      </c>
      <c r="B91" s="4" t="s">
        <v>108</v>
      </c>
      <c r="C91" s="4" t="str">
        <f>IFERROR(__xludf.DUMMYFUNCTION("GOOGLETRANSLATE(D:D,""auto"",""en"")"),"Wu Xin height and weight exposure")</f>
        <v>Wu Xin height and weight exposure</v>
      </c>
      <c r="D91" s="4" t="s">
        <v>163</v>
      </c>
      <c r="E91" s="4">
        <v>7807171.0</v>
      </c>
      <c r="F91" s="4">
        <v>40.0</v>
      </c>
      <c r="G91" s="4" t="s">
        <v>164</v>
      </c>
    </row>
    <row r="92">
      <c r="A92" s="1">
        <v>90.0</v>
      </c>
      <c r="B92" s="4" t="s">
        <v>108</v>
      </c>
      <c r="C92" s="4" t="str">
        <f>IFERROR(__xludf.DUMMYFUNCTION("GOOGLETRANSLATE(D:D,""auto"",""en"")"),"Taiwan Black Hawk helicopter made a forced landing")</f>
        <v>Taiwan Black Hawk helicopter made a forced landing</v>
      </c>
      <c r="D92" s="4" t="s">
        <v>165</v>
      </c>
      <c r="E92" s="4">
        <v>7770659.0</v>
      </c>
      <c r="F92" s="4">
        <v>41.0</v>
      </c>
      <c r="G92" s="4" t="s">
        <v>166</v>
      </c>
    </row>
    <row r="93">
      <c r="A93" s="1">
        <v>91.0</v>
      </c>
      <c r="B93" s="4" t="s">
        <v>108</v>
      </c>
      <c r="C93" s="4" t="str">
        <f>IFERROR(__xludf.DUMMYFUNCTION("GOOGLETRANSLATE(D:D,""auto"",""en"")"),"Hanazawa coriander Wang Su waterfall a little sweet")</f>
        <v>Hanazawa coriander Wang Su waterfall a little sweet</v>
      </c>
      <c r="D93" s="4" t="s">
        <v>167</v>
      </c>
      <c r="E93" s="4">
        <v>7756803.0</v>
      </c>
      <c r="F93" s="4">
        <v>42.0</v>
      </c>
      <c r="G93" s="4" t="s">
        <v>168</v>
      </c>
    </row>
    <row r="94">
      <c r="A94" s="1">
        <v>92.0</v>
      </c>
      <c r="B94" s="4" t="s">
        <v>108</v>
      </c>
      <c r="C94" s="4" t="str">
        <f>IFERROR(__xludf.DUMMYFUNCTION("GOOGLETRANSLATE(D:D,""auto"",""en"")"),"Scarab Wang Ning talk about love")</f>
        <v>Scarab Wang Ning talk about love</v>
      </c>
      <c r="D94" s="4" t="s">
        <v>169</v>
      </c>
      <c r="E94" s="4">
        <v>7731808.0</v>
      </c>
      <c r="F94" s="4">
        <v>43.0</v>
      </c>
      <c r="G94" s="4" t="s">
        <v>170</v>
      </c>
    </row>
    <row r="95">
      <c r="A95" s="1">
        <v>93.0</v>
      </c>
      <c r="B95" s="4" t="s">
        <v>108</v>
      </c>
      <c r="C95" s="4" t="str">
        <f>IFERROR(__xludf.DUMMYFUNCTION("GOOGLETRANSLATE(D:D,""auto"",""en"")"),"Domestic formally approved HPV vaccine")</f>
        <v>Domestic formally approved HPV vaccine</v>
      </c>
      <c r="D95" s="4" t="s">
        <v>171</v>
      </c>
      <c r="E95" s="4">
        <v>7681666.0</v>
      </c>
      <c r="F95" s="4">
        <v>44.0</v>
      </c>
      <c r="G95" s="4" t="s">
        <v>172</v>
      </c>
    </row>
    <row r="96">
      <c r="A96" s="1">
        <v>94.0</v>
      </c>
      <c r="B96" s="4" t="s">
        <v>108</v>
      </c>
      <c r="C96" s="4" t="str">
        <f>IFERROR(__xludf.DUMMYFUNCTION("GOOGLETRANSLATE(D:D,""auto"",""en"")"),"Millet trademark infringement Panpei 12 million")</f>
        <v>Millet trademark infringement Panpei 12 million</v>
      </c>
      <c r="D96" s="4" t="s">
        <v>8</v>
      </c>
      <c r="E96" s="4">
        <v>7674646.0</v>
      </c>
      <c r="F96" s="4">
        <v>45.0</v>
      </c>
      <c r="G96" s="4" t="s">
        <v>9</v>
      </c>
    </row>
    <row r="97">
      <c r="A97" s="1">
        <v>95.0</v>
      </c>
      <c r="B97" s="4" t="s">
        <v>108</v>
      </c>
      <c r="C97" s="4" t="str">
        <f>IFERROR(__xludf.DUMMYFUNCTION("GOOGLETRANSLATE(D:D,""auto"",""en"")"),"Li Yitong Li Hong its fans to send dog food")</f>
        <v>Li Yitong Li Hong its fans to send dog food</v>
      </c>
      <c r="D97" s="4" t="s">
        <v>173</v>
      </c>
      <c r="E97" s="4">
        <v>7653350.0</v>
      </c>
      <c r="F97" s="4">
        <v>46.0</v>
      </c>
      <c r="G97" s="4" t="s">
        <v>174</v>
      </c>
    </row>
    <row r="98">
      <c r="A98" s="1">
        <v>96.0</v>
      </c>
      <c r="B98" s="4" t="s">
        <v>108</v>
      </c>
      <c r="C98" s="4" t="str">
        <f>IFERROR(__xludf.DUMMYFUNCTION("GOOGLETRANSLATE(D:D,""auto"",""en"")"),"Zheng Xu wig wearing fur sister")</f>
        <v>Zheng Xu wig wearing fur sister</v>
      </c>
      <c r="D98" s="4" t="s">
        <v>175</v>
      </c>
      <c r="E98" s="4">
        <v>7615120.0</v>
      </c>
      <c r="F98" s="4">
        <v>47.0</v>
      </c>
      <c r="G98" s="4" t="s">
        <v>176</v>
      </c>
    </row>
    <row r="99">
      <c r="A99" s="1">
        <v>97.0</v>
      </c>
      <c r="B99" s="4" t="s">
        <v>108</v>
      </c>
      <c r="C99" s="4" t="str">
        <f>IFERROR(__xludf.DUMMYFUNCTION("GOOGLETRANSLATE(D:D,""auto"",""en"")"),"Malaysia Airlines MH319 response after take-off return")</f>
        <v>Malaysia Airlines MH319 response after take-off return</v>
      </c>
      <c r="D99" s="4" t="s">
        <v>74</v>
      </c>
      <c r="E99" s="4">
        <v>7609193.0</v>
      </c>
      <c r="F99" s="4">
        <v>48.0</v>
      </c>
      <c r="G99" s="4" t="s">
        <v>75</v>
      </c>
    </row>
    <row r="100">
      <c r="A100" s="1">
        <v>98.0</v>
      </c>
      <c r="B100" s="4" t="s">
        <v>108</v>
      </c>
      <c r="C100" s="4" t="str">
        <f>IFERROR(__xludf.DUMMYFUNCTION("GOOGLETRANSLATE(D:D,""auto"",""en"")"),"Mom and Dad after the crowd turned sprinkle sweet dog food")</f>
        <v>Mom and Dad after the crowd turned sprinkle sweet dog food</v>
      </c>
      <c r="D100" s="4" t="s">
        <v>177</v>
      </c>
      <c r="E100" s="4">
        <v>7456880.0</v>
      </c>
      <c r="F100" s="4">
        <v>49.0</v>
      </c>
      <c r="G100" s="4" t="s">
        <v>178</v>
      </c>
    </row>
    <row r="101">
      <c r="A101" s="1">
        <v>99.0</v>
      </c>
      <c r="B101" s="4" t="s">
        <v>108</v>
      </c>
      <c r="C101" s="4" t="str">
        <f>IFERROR(__xludf.DUMMYFUNCTION("GOOGLETRANSLATE(D:D,""auto"",""en"")"),"Zhang Yixing abroad to sing K")</f>
        <v>Zhang Yixing abroad to sing K</v>
      </c>
      <c r="D101" s="4" t="s">
        <v>16</v>
      </c>
      <c r="E101" s="4">
        <v>7353559.0</v>
      </c>
      <c r="F101" s="4">
        <v>50.0</v>
      </c>
      <c r="G101" s="4" t="s">
        <v>17</v>
      </c>
    </row>
    <row r="102">
      <c r="A102" s="1">
        <v>100.0</v>
      </c>
      <c r="B102" s="4" t="s">
        <v>179</v>
      </c>
      <c r="C102" s="4" t="str">
        <f>IFERROR(__xludf.DUMMYFUNCTION("GOOGLETRANSLATE(D:D,""auto"",""en"")"),"Zhu Ting responded Day Bing Gege hardcore confession")</f>
        <v>Zhu Ting responded Day Bing Gege hardcore confession</v>
      </c>
      <c r="D102" s="4" t="s">
        <v>180</v>
      </c>
      <c r="E102" s="4">
        <v>1.0626028E7</v>
      </c>
      <c r="F102" s="4">
        <v>1.0</v>
      </c>
      <c r="G102" s="4" t="s">
        <v>181</v>
      </c>
    </row>
    <row r="103">
      <c r="A103" s="1">
        <v>101.0</v>
      </c>
      <c r="B103" s="4" t="s">
        <v>179</v>
      </c>
      <c r="C103" s="4" t="str">
        <f>IFERROR(__xludf.DUMMYFUNCTION("GOOGLETRANSLATE(D:D,""auto"",""en"")"),"Tango alone")</f>
        <v>Tango alone</v>
      </c>
      <c r="D103" s="4" t="s">
        <v>127</v>
      </c>
      <c r="E103" s="4">
        <v>1.0329774E7</v>
      </c>
      <c r="F103" s="4">
        <v>2.0</v>
      </c>
      <c r="G103" s="4" t="s">
        <v>128</v>
      </c>
    </row>
    <row r="104">
      <c r="A104" s="1">
        <v>102.0</v>
      </c>
      <c r="B104" s="4" t="s">
        <v>179</v>
      </c>
      <c r="C104" s="4" t="str">
        <f>IFERROR(__xludf.DUMMYFUNCTION("GOOGLETRANSLATE(D:D,""auto"",""en"")"),"Guan Xiaotong wear Luhan sweater")</f>
        <v>Guan Xiaotong wear Luhan sweater</v>
      </c>
      <c r="D104" s="4" t="s">
        <v>135</v>
      </c>
      <c r="E104" s="4">
        <v>1.0143561E7</v>
      </c>
      <c r="F104" s="4">
        <v>3.0</v>
      </c>
      <c r="G104" s="4" t="s">
        <v>136</v>
      </c>
    </row>
    <row r="105">
      <c r="A105" s="1">
        <v>103.0</v>
      </c>
      <c r="B105" s="4" t="s">
        <v>179</v>
      </c>
      <c r="C105" s="4" t="str">
        <f>IFERROR(__xludf.DUMMYFUNCTION("GOOGLETRANSLATE(D:D,""auto"",""en"")"),"Luhan airborne vibrato save fondue Bureau")</f>
        <v>Luhan airborne vibrato save fondue Bureau</v>
      </c>
      <c r="D105" s="4" t="s">
        <v>182</v>
      </c>
      <c r="E105" s="4">
        <v>1.0038068E7</v>
      </c>
      <c r="F105" s="4">
        <v>4.0</v>
      </c>
      <c r="G105" s="4" t="s">
        <v>183</v>
      </c>
    </row>
    <row r="106">
      <c r="A106" s="1">
        <v>104.0</v>
      </c>
      <c r="B106" s="4" t="s">
        <v>179</v>
      </c>
      <c r="C106" s="4" t="str">
        <f>IFERROR(__xludf.DUMMYFUNCTION("GOOGLETRANSLATE(D:D,""auto"",""en"")"),"Mom and Dad after the crowd turned sprinkle sweet dog food")</f>
        <v>Mom and Dad after the crowd turned sprinkle sweet dog food</v>
      </c>
      <c r="D106" s="4" t="s">
        <v>177</v>
      </c>
      <c r="E106" s="4">
        <v>9794737.0</v>
      </c>
      <c r="F106" s="4">
        <v>5.0</v>
      </c>
      <c r="G106" s="4" t="s">
        <v>178</v>
      </c>
    </row>
    <row r="107">
      <c r="A107" s="1">
        <v>105.0</v>
      </c>
      <c r="B107" s="4" t="s">
        <v>179</v>
      </c>
      <c r="C107" s="4" t="str">
        <f>IFERROR(__xludf.DUMMYFUNCTION("GOOGLETRANSLATE(D:D,""auto"",""en"")"),"Xueying Zhang nail technology")</f>
        <v>Xueying Zhang nail technology</v>
      </c>
      <c r="D107" s="4" t="s">
        <v>184</v>
      </c>
      <c r="E107" s="4">
        <v>9540563.0</v>
      </c>
      <c r="F107" s="4">
        <v>6.0</v>
      </c>
      <c r="G107" s="4" t="s">
        <v>185</v>
      </c>
    </row>
    <row r="108">
      <c r="A108" s="1">
        <v>106.0</v>
      </c>
      <c r="B108" s="4" t="s">
        <v>179</v>
      </c>
      <c r="C108" s="4" t="str">
        <f>IFERROR(__xludf.DUMMYFUNCTION("GOOGLETRANSLATE(D:D,""auto"",""en"")"),"Liu Yuning I said that is my line")</f>
        <v>Liu Yuning I said that is my line</v>
      </c>
      <c r="D108" s="4" t="s">
        <v>111</v>
      </c>
      <c r="E108" s="4">
        <v>9314214.0</v>
      </c>
      <c r="F108" s="4">
        <v>7.0</v>
      </c>
      <c r="G108" s="4" t="s">
        <v>112</v>
      </c>
    </row>
    <row r="109">
      <c r="A109" s="1">
        <v>107.0</v>
      </c>
      <c r="B109" s="4" t="s">
        <v>179</v>
      </c>
      <c r="C109" s="4" t="str">
        <f>IFERROR(__xludf.DUMMYFUNCTION("GOOGLETRANSLATE(D:D,""auto"",""en"")"),"Zhang Ying Ying family was dismissed civil action")</f>
        <v>Zhang Ying Ying family was dismissed civil action</v>
      </c>
      <c r="D109" s="4" t="s">
        <v>113</v>
      </c>
      <c r="E109" s="4">
        <v>9116480.0</v>
      </c>
      <c r="F109" s="4">
        <v>8.0</v>
      </c>
      <c r="G109" s="4" t="s">
        <v>114</v>
      </c>
    </row>
    <row r="110">
      <c r="A110" s="1">
        <v>108.0</v>
      </c>
      <c r="B110" s="4" t="s">
        <v>179</v>
      </c>
      <c r="C110" s="4" t="str">
        <f>IFERROR(__xludf.DUMMYFUNCTION("GOOGLETRANSLATE(D:D,""auto"",""en"")"),"Kim Hee Chul MOMO admits affair")</f>
        <v>Kim Hee Chul MOMO admits affair</v>
      </c>
      <c r="D110" s="4" t="s">
        <v>109</v>
      </c>
      <c r="E110" s="4">
        <v>9075811.0</v>
      </c>
      <c r="F110" s="4">
        <v>9.0</v>
      </c>
      <c r="G110" s="4" t="s">
        <v>110</v>
      </c>
    </row>
    <row r="111">
      <c r="A111" s="1">
        <v>109.0</v>
      </c>
      <c r="B111" s="4" t="s">
        <v>179</v>
      </c>
      <c r="C111" s="4" t="str">
        <f>IFERROR(__xludf.DUMMYFUNCTION("GOOGLETRANSLATE(D:D,""auto"",""en"")"),"Zhang Ziyi two sub-viviparous")</f>
        <v>Zhang Ziyi two sub-viviparous</v>
      </c>
      <c r="D111" s="4" t="s">
        <v>186</v>
      </c>
      <c r="E111" s="4">
        <v>8979263.0</v>
      </c>
      <c r="F111" s="4">
        <v>10.0</v>
      </c>
      <c r="G111" s="4" t="s">
        <v>187</v>
      </c>
    </row>
    <row r="112">
      <c r="A112" s="1">
        <v>110.0</v>
      </c>
      <c r="B112" s="4" t="s">
        <v>179</v>
      </c>
      <c r="C112" s="4" t="str">
        <f>IFERROR(__xludf.DUMMYFUNCTION("GOOGLETRANSLATE(D:D,""auto"",""en"")"),"The stage is everywhere")</f>
        <v>The stage is everywhere</v>
      </c>
      <c r="D112" s="4" t="s">
        <v>188</v>
      </c>
      <c r="E112" s="4">
        <v>8976809.0</v>
      </c>
      <c r="F112" s="4">
        <v>11.0</v>
      </c>
      <c r="G112" s="4" t="s">
        <v>189</v>
      </c>
    </row>
    <row r="113">
      <c r="A113" s="1">
        <v>111.0</v>
      </c>
      <c r="B113" s="4" t="s">
        <v>179</v>
      </c>
      <c r="C113" s="4" t="str">
        <f>IFERROR(__xludf.DUMMYFUNCTION("GOOGLETRANSLATE(D:D,""auto"",""en"")"),"I quite tide country")</f>
        <v>I quite tide country</v>
      </c>
      <c r="D113" s="4" t="s">
        <v>190</v>
      </c>
      <c r="E113" s="4">
        <v>8927308.0</v>
      </c>
      <c r="F113" s="4">
        <v>12.0</v>
      </c>
      <c r="G113" s="4" t="s">
        <v>191</v>
      </c>
    </row>
    <row r="114">
      <c r="A114" s="1">
        <v>112.0</v>
      </c>
      <c r="B114" s="4" t="s">
        <v>179</v>
      </c>
      <c r="C114" s="4" t="str">
        <f>IFERROR(__xludf.DUMMYFUNCTION("GOOGLETRANSLATE(D:D,""auto"",""en"")"),"Paper folding pigs Taiyizhenren")</f>
        <v>Paper folding pigs Taiyizhenren</v>
      </c>
      <c r="D114" s="4" t="s">
        <v>192</v>
      </c>
      <c r="E114" s="4">
        <v>8877808.0</v>
      </c>
      <c r="F114" s="4">
        <v>13.0</v>
      </c>
      <c r="G114" s="4" t="s">
        <v>193</v>
      </c>
    </row>
    <row r="115">
      <c r="A115" s="1">
        <v>113.0</v>
      </c>
      <c r="B115" s="4" t="s">
        <v>179</v>
      </c>
      <c r="C115" s="4" t="str">
        <f>IFERROR(__xludf.DUMMYFUNCTION("GOOGLETRANSLATE(D:D,""auto"",""en"")"),"Returned four sons gathered vibrato")</f>
        <v>Returned four sons gathered vibrato</v>
      </c>
      <c r="D115" s="4" t="s">
        <v>194</v>
      </c>
      <c r="E115" s="4">
        <v>8499291.0</v>
      </c>
      <c r="F115" s="4">
        <v>14.0</v>
      </c>
      <c r="G115" s="4" t="s">
        <v>195</v>
      </c>
    </row>
    <row r="116">
      <c r="A116" s="1">
        <v>114.0</v>
      </c>
      <c r="B116" s="4" t="s">
        <v>179</v>
      </c>
      <c r="C116" s="4" t="str">
        <f>IFERROR(__xludf.DUMMYFUNCTION("GOOGLETRANSLATE(D:D,""auto"",""en"")"),"ETC balance of more than 20 million in response to President")</f>
        <v>ETC balance of more than 20 million in response to President</v>
      </c>
      <c r="D116" s="4" t="s">
        <v>196</v>
      </c>
      <c r="E116" s="4">
        <v>8453983.0</v>
      </c>
      <c r="F116" s="4">
        <v>15.0</v>
      </c>
      <c r="G116" s="4" t="s">
        <v>197</v>
      </c>
    </row>
    <row r="117">
      <c r="A117" s="1">
        <v>115.0</v>
      </c>
      <c r="B117" s="4" t="s">
        <v>179</v>
      </c>
      <c r="C117" s="4" t="str">
        <f>IFERROR(__xludf.DUMMYFUNCTION("GOOGLETRANSLATE(D:D,""auto"",""en"")"),"Xueying Zhang laughing long eye teeth modification")</f>
        <v>Xueying Zhang laughing long eye teeth modification</v>
      </c>
      <c r="D117" s="4" t="s">
        <v>198</v>
      </c>
      <c r="E117" s="4">
        <v>8312037.0</v>
      </c>
      <c r="F117" s="4">
        <v>16.0</v>
      </c>
      <c r="G117" s="4" t="s">
        <v>199</v>
      </c>
    </row>
    <row r="118">
      <c r="A118" s="1">
        <v>116.0</v>
      </c>
      <c r="B118" s="4" t="s">
        <v>179</v>
      </c>
      <c r="C118" s="4" t="str">
        <f>IFERROR(__xludf.DUMMYFUNCTION("GOOGLETRANSLATE(D:D,""auto"",""en"")"),"Sicong birthday party")</f>
        <v>Sicong birthday party</v>
      </c>
      <c r="D118" s="4" t="s">
        <v>200</v>
      </c>
      <c r="E118" s="4">
        <v>8257842.0</v>
      </c>
      <c r="F118" s="4">
        <v>17.0</v>
      </c>
      <c r="G118" s="4" t="s">
        <v>201</v>
      </c>
    </row>
    <row r="119">
      <c r="A119" s="1">
        <v>117.0</v>
      </c>
      <c r="B119" s="4" t="s">
        <v>179</v>
      </c>
      <c r="C119" s="4" t="str">
        <f>IFERROR(__xludf.DUMMYFUNCTION("GOOGLETRANSLATE(D:D,""auto"",""en"")"),"Xiaozhan darted surface bounding in")</f>
        <v>Xiaozhan darted surface bounding in</v>
      </c>
      <c r="D119" s="4" t="s">
        <v>202</v>
      </c>
      <c r="E119" s="4">
        <v>8143177.0</v>
      </c>
      <c r="F119" s="4">
        <v>18.0</v>
      </c>
      <c r="G119" s="4" t="s">
        <v>203</v>
      </c>
    </row>
    <row r="120">
      <c r="A120" s="1">
        <v>118.0</v>
      </c>
      <c r="B120" s="4" t="s">
        <v>179</v>
      </c>
      <c r="C120" s="4" t="str">
        <f>IFERROR(__xludf.DUMMYFUNCTION("GOOGLETRANSLATE(D:D,""auto"",""en"")"),"Show diffuse expression package cos")</f>
        <v>Show diffuse expression package cos</v>
      </c>
      <c r="D120" s="4" t="s">
        <v>204</v>
      </c>
      <c r="E120" s="4">
        <v>8054954.0</v>
      </c>
      <c r="F120" s="4">
        <v>19.0</v>
      </c>
      <c r="G120" s="4" t="s">
        <v>205</v>
      </c>
    </row>
    <row r="121">
      <c r="A121" s="1">
        <v>119.0</v>
      </c>
      <c r="B121" s="4" t="s">
        <v>179</v>
      </c>
      <c r="C121" s="4" t="str">
        <f>IFERROR(__xludf.DUMMYFUNCTION("GOOGLETRANSLATE(D:D,""auto"",""en"")"),"Tang Fei sent sixty thousand red envelopes to respond")</f>
        <v>Tang Fei sent sixty thousand red envelopes to respond</v>
      </c>
      <c r="D121" s="4" t="s">
        <v>206</v>
      </c>
      <c r="E121" s="4">
        <v>7966658.0</v>
      </c>
      <c r="F121" s="4">
        <v>20.0</v>
      </c>
      <c r="G121" s="4" t="s">
        <v>207</v>
      </c>
    </row>
    <row r="122">
      <c r="A122" s="1">
        <v>120.0</v>
      </c>
      <c r="B122" s="4" t="s">
        <v>179</v>
      </c>
      <c r="C122" s="4" t="str">
        <f>IFERROR(__xludf.DUMMYFUNCTION("GOOGLETRANSLATE(D:D,""auto"",""en"")"),"Xiaozhan own jokes laughed box")</f>
        <v>Xiaozhan own jokes laughed box</v>
      </c>
      <c r="D122" s="4" t="s">
        <v>121</v>
      </c>
      <c r="E122" s="4">
        <v>7919195.0</v>
      </c>
      <c r="F122" s="4">
        <v>21.0</v>
      </c>
      <c r="G122" s="4" t="s">
        <v>122</v>
      </c>
    </row>
    <row r="123">
      <c r="A123" s="1">
        <v>121.0</v>
      </c>
      <c r="B123" s="4" t="s">
        <v>179</v>
      </c>
      <c r="C123" s="4" t="str">
        <f>IFERROR(__xludf.DUMMYFUNCTION("GOOGLETRANSLATE(D:D,""auto"",""en"")"),"Deng Chao Sun Li thanks to find me in the open sea")</f>
        <v>Deng Chao Sun Li thanks to find me in the open sea</v>
      </c>
      <c r="D123" s="4" t="s">
        <v>208</v>
      </c>
      <c r="E123" s="4">
        <v>7906413.0</v>
      </c>
      <c r="F123" s="4">
        <v>22.0</v>
      </c>
      <c r="G123" s="4" t="s">
        <v>209</v>
      </c>
    </row>
    <row r="124">
      <c r="A124" s="1">
        <v>122.0</v>
      </c>
      <c r="B124" s="4" t="s">
        <v>179</v>
      </c>
      <c r="C124" s="4" t="str">
        <f>IFERROR(__xludf.DUMMYFUNCTION("GOOGLETRANSLATE(D:D,""auto"",""en"")"),"Swallowed AirPod doctors recommend self-discharge")</f>
        <v>Swallowed AirPod doctors recommend self-discharge</v>
      </c>
      <c r="D124" s="4" t="s">
        <v>210</v>
      </c>
      <c r="E124" s="4">
        <v>7882392.0</v>
      </c>
      <c r="F124" s="4">
        <v>23.0</v>
      </c>
      <c r="G124" s="4" t="s">
        <v>211</v>
      </c>
    </row>
    <row r="125">
      <c r="A125" s="1">
        <v>123.0</v>
      </c>
      <c r="B125" s="4" t="s">
        <v>179</v>
      </c>
      <c r="C125" s="4" t="str">
        <f>IFERROR(__xludf.DUMMYFUNCTION("GOOGLETRANSLATE(D:D,""auto"",""en"")"),"Iran's supreme leader said it would retaliate severely USA")</f>
        <v>Iran's supreme leader said it would retaliate severely USA</v>
      </c>
      <c r="D125" s="4" t="s">
        <v>212</v>
      </c>
      <c r="E125" s="4">
        <v>7811841.0</v>
      </c>
      <c r="F125" s="4">
        <v>24.0</v>
      </c>
      <c r="G125" s="4" t="s">
        <v>213</v>
      </c>
    </row>
    <row r="126">
      <c r="A126" s="1">
        <v>124.0</v>
      </c>
      <c r="B126" s="4" t="s">
        <v>179</v>
      </c>
      <c r="C126" s="4" t="str">
        <f>IFERROR(__xludf.DUMMYFUNCTION("GOOGLETRANSLATE(D:D,""auto"",""en"")"),"Du Jiang effort is not worth mentioning things")</f>
        <v>Du Jiang effort is not worth mentioning things</v>
      </c>
      <c r="D126" s="4" t="s">
        <v>214</v>
      </c>
      <c r="E126" s="4">
        <v>7698519.0</v>
      </c>
      <c r="F126" s="4">
        <v>25.0</v>
      </c>
      <c r="G126" s="4" t="s">
        <v>215</v>
      </c>
    </row>
    <row r="127">
      <c r="A127" s="1">
        <v>125.0</v>
      </c>
      <c r="B127" s="4" t="s">
        <v>179</v>
      </c>
      <c r="C127" s="4" t="str">
        <f>IFERROR(__xludf.DUMMYFUNCTION("GOOGLETRANSLATE(D:D,""auto"",""en"")"),"When your mother asks you home for dinner it")</f>
        <v>When your mother asks you home for dinner it</v>
      </c>
      <c r="D127" s="4" t="s">
        <v>216</v>
      </c>
      <c r="E127" s="4">
        <v>7543556.0</v>
      </c>
      <c r="F127" s="4">
        <v>26.0</v>
      </c>
      <c r="G127" s="4" t="s">
        <v>217</v>
      </c>
    </row>
    <row r="128">
      <c r="A128" s="1">
        <v>126.0</v>
      </c>
      <c r="B128" s="4" t="s">
        <v>179</v>
      </c>
      <c r="C128" s="4" t="str">
        <f>IFERROR(__xludf.DUMMYFUNCTION("GOOGLETRANSLATE(D:D,""auto"",""en"")"),"Jackie Chan praised Yang Yang very man")</f>
        <v>Jackie Chan praised Yang Yang very man</v>
      </c>
      <c r="D128" s="4" t="s">
        <v>218</v>
      </c>
      <c r="E128" s="4">
        <v>7529395.0</v>
      </c>
      <c r="F128" s="4">
        <v>27.0</v>
      </c>
      <c r="G128" s="4" t="s">
        <v>219</v>
      </c>
    </row>
    <row r="129">
      <c r="A129" s="1">
        <v>127.0</v>
      </c>
      <c r="B129" s="4" t="s">
        <v>179</v>
      </c>
      <c r="C129" s="4" t="str">
        <f>IFERROR(__xludf.DUMMYFUNCTION("GOOGLETRANSLATE(D:D,""auto"",""en"")"),"Doctors secretly cheating River game")</f>
        <v>Doctors secretly cheating River game</v>
      </c>
      <c r="D129" s="4" t="s">
        <v>220</v>
      </c>
      <c r="E129" s="4">
        <v>7503201.0</v>
      </c>
      <c r="F129" s="4">
        <v>28.0</v>
      </c>
      <c r="G129" s="4" t="s">
        <v>221</v>
      </c>
    </row>
    <row r="130">
      <c r="A130" s="1">
        <v>128.0</v>
      </c>
      <c r="B130" s="4" t="s">
        <v>179</v>
      </c>
      <c r="C130" s="4" t="str">
        <f>IFERROR(__xludf.DUMMYFUNCTION("GOOGLETRANSLATE(D:D,""auto"",""en"")"),"Zhang Yixing face scalped tickets")</f>
        <v>Zhang Yixing face scalped tickets</v>
      </c>
      <c r="D130" s="4" t="s">
        <v>222</v>
      </c>
      <c r="E130" s="4">
        <v>7431951.0</v>
      </c>
      <c r="F130" s="4">
        <v>29.0</v>
      </c>
      <c r="G130" s="4" t="s">
        <v>223</v>
      </c>
    </row>
    <row r="131">
      <c r="A131" s="1">
        <v>129.0</v>
      </c>
      <c r="B131" s="4" t="s">
        <v>179</v>
      </c>
      <c r="C131" s="4" t="str">
        <f>IFERROR(__xludf.DUMMYFUNCTION("GOOGLETRANSLATE(D:D,""auto"",""en"")"),"The driver illegally parked checked arrogant attitude")</f>
        <v>The driver illegally parked checked arrogant attitude</v>
      </c>
      <c r="D131" s="4" t="s">
        <v>224</v>
      </c>
      <c r="E131" s="4">
        <v>7399458.0</v>
      </c>
      <c r="F131" s="4">
        <v>30.0</v>
      </c>
      <c r="G131" s="4" t="s">
        <v>225</v>
      </c>
    </row>
    <row r="132">
      <c r="A132" s="1">
        <v>130.0</v>
      </c>
      <c r="B132" s="4" t="s">
        <v>179</v>
      </c>
      <c r="C132" s="4" t="str">
        <f>IFERROR(__xludf.DUMMYFUNCTION("GOOGLETRANSLATE(D:D,""auto"",""en"")"),"Starchaser mother for his son Liu Hao Ran")</f>
        <v>Starchaser mother for his son Liu Hao Ran</v>
      </c>
      <c r="D132" s="4" t="s">
        <v>226</v>
      </c>
      <c r="E132" s="4">
        <v>7389454.0</v>
      </c>
      <c r="F132" s="4">
        <v>31.0</v>
      </c>
      <c r="G132" s="4" t="s">
        <v>227</v>
      </c>
    </row>
    <row r="133">
      <c r="A133" s="1">
        <v>131.0</v>
      </c>
      <c r="B133" s="4" t="s">
        <v>179</v>
      </c>
      <c r="C133" s="4" t="str">
        <f>IFERROR(__xludf.DUMMYFUNCTION("GOOGLETRANSLATE(D:D,""auto"",""en"")"),"Yue Yunpeng girl singing bridge")</f>
        <v>Yue Yunpeng girl singing bridge</v>
      </c>
      <c r="D133" s="4" t="s">
        <v>228</v>
      </c>
      <c r="E133" s="4">
        <v>7291697.0</v>
      </c>
      <c r="F133" s="4">
        <v>32.0</v>
      </c>
      <c r="G133" s="4" t="s">
        <v>229</v>
      </c>
    </row>
    <row r="134">
      <c r="A134" s="1">
        <v>132.0</v>
      </c>
      <c r="B134" s="4" t="s">
        <v>179</v>
      </c>
      <c r="C134" s="4" t="str">
        <f>IFERROR(__xludf.DUMMYFUNCTION("GOOGLETRANSLATE(D:D,""auto"",""en"")"),"No ambulances were forced to install ETC toll")</f>
        <v>No ambulances were forced to install ETC toll</v>
      </c>
      <c r="D134" s="4" t="s">
        <v>230</v>
      </c>
      <c r="E134" s="4">
        <v>7276378.0</v>
      </c>
      <c r="F134" s="4">
        <v>33.0</v>
      </c>
      <c r="G134" s="4" t="s">
        <v>231</v>
      </c>
    </row>
    <row r="135">
      <c r="A135" s="1">
        <v>133.0</v>
      </c>
      <c r="B135" s="4" t="s">
        <v>179</v>
      </c>
      <c r="C135" s="4" t="str">
        <f>IFERROR(__xludf.DUMMYFUNCTION("GOOGLETRANSLATE(D:D,""auto"",""en"")"),"6-year-olds walking 60,000 steps mountain school")</f>
        <v>6-year-olds walking 60,000 steps mountain school</v>
      </c>
      <c r="D135" s="4" t="s">
        <v>232</v>
      </c>
      <c r="E135" s="4">
        <v>7219423.0</v>
      </c>
      <c r="F135" s="4">
        <v>34.0</v>
      </c>
      <c r="G135" s="4" t="s">
        <v>233</v>
      </c>
    </row>
    <row r="136">
      <c r="A136" s="1">
        <v>134.0</v>
      </c>
      <c r="B136" s="4" t="s">
        <v>179</v>
      </c>
      <c r="C136" s="4" t="str">
        <f>IFERROR(__xludf.DUMMYFUNCTION("GOOGLETRANSLATE(D:D,""auto"",""en"")"),"Doctors secretly cheating tug of war")</f>
        <v>Doctors secretly cheating tug of war</v>
      </c>
      <c r="D136" s="4" t="s">
        <v>234</v>
      </c>
      <c r="E136" s="4">
        <v>7182901.0</v>
      </c>
      <c r="F136" s="4">
        <v>35.0</v>
      </c>
      <c r="G136" s="4" t="s">
        <v>235</v>
      </c>
    </row>
    <row r="137">
      <c r="A137" s="1">
        <v>135.0</v>
      </c>
      <c r="B137" s="4" t="s">
        <v>179</v>
      </c>
      <c r="C137" s="4" t="str">
        <f>IFERROR(__xludf.DUMMYFUNCTION("GOOGLETRANSLATE(D:D,""auto"",""en"")"),"Luoyun Xi comb dreadlocks embroidery")</f>
        <v>Luoyun Xi comb dreadlocks embroidery</v>
      </c>
      <c r="D137" s="4" t="s">
        <v>236</v>
      </c>
      <c r="E137" s="4">
        <v>7135273.0</v>
      </c>
      <c r="F137" s="4">
        <v>36.0</v>
      </c>
      <c r="G137" s="4" t="s">
        <v>237</v>
      </c>
    </row>
    <row r="138">
      <c r="A138" s="1">
        <v>136.0</v>
      </c>
      <c r="B138" s="4" t="s">
        <v>179</v>
      </c>
      <c r="C138" s="4" t="str">
        <f>IFERROR(__xludf.DUMMYFUNCTION("GOOGLETRANSLATE(D:D,""auto"",""en"")"),"Coast Guard soldiers salute after tickets to the conductor")</f>
        <v>Coast Guard soldiers salute after tickets to the conductor</v>
      </c>
      <c r="D138" s="4" t="s">
        <v>238</v>
      </c>
      <c r="E138" s="4">
        <v>7134608.0</v>
      </c>
      <c r="F138" s="4">
        <v>37.0</v>
      </c>
      <c r="G138" s="4" t="s">
        <v>239</v>
      </c>
    </row>
    <row r="139">
      <c r="A139" s="1">
        <v>137.0</v>
      </c>
      <c r="B139" s="4" t="s">
        <v>179</v>
      </c>
      <c r="C139" s="4" t="str">
        <f>IFERROR(__xludf.DUMMYFUNCTION("GOOGLETRANSLATE(D:D,""auto"",""en"")"),"Du Haitao Wu Hsin quarrel due to four dollars and good")</f>
        <v>Du Haitao Wu Hsin quarrel due to four dollars and good</v>
      </c>
      <c r="D139" s="4" t="s">
        <v>240</v>
      </c>
      <c r="E139" s="4">
        <v>7047069.0</v>
      </c>
      <c r="F139" s="4">
        <v>38.0</v>
      </c>
      <c r="G139" s="4" t="s">
        <v>241</v>
      </c>
    </row>
    <row r="140">
      <c r="A140" s="1">
        <v>138.0</v>
      </c>
      <c r="B140" s="4" t="s">
        <v>179</v>
      </c>
      <c r="C140" s="4" t="str">
        <f>IFERROR(__xludf.DUMMYFUNCTION("GOOGLETRANSLATE(D:D,""auto"",""en"")"),"Wang Junkai Nortel ending premiere")</f>
        <v>Wang Junkai Nortel ending premiere</v>
      </c>
      <c r="D140" s="4" t="s">
        <v>147</v>
      </c>
      <c r="E140" s="4">
        <v>7022067.0</v>
      </c>
      <c r="F140" s="4">
        <v>39.0</v>
      </c>
      <c r="G140" s="4" t="s">
        <v>148</v>
      </c>
    </row>
    <row r="141">
      <c r="A141" s="1">
        <v>139.0</v>
      </c>
      <c r="B141" s="4" t="s">
        <v>179</v>
      </c>
      <c r="C141" s="4" t="str">
        <f>IFERROR(__xludf.DUMMYFUNCTION("GOOGLETRANSLATE(D:D,""auto"",""en"")"),"Sea stars mv release")</f>
        <v>Sea stars mv release</v>
      </c>
      <c r="D141" s="4" t="s">
        <v>143</v>
      </c>
      <c r="E141" s="4">
        <v>6996483.0</v>
      </c>
      <c r="F141" s="4">
        <v>40.0</v>
      </c>
      <c r="G141" s="4" t="s">
        <v>144</v>
      </c>
    </row>
    <row r="142">
      <c r="A142" s="1">
        <v>140.0</v>
      </c>
      <c r="B142" s="4" t="s">
        <v>179</v>
      </c>
      <c r="C142" s="4" t="str">
        <f>IFERROR(__xludf.DUMMYFUNCTION("GOOGLETRANSLATE(D:D,""auto"",""en"")"),"Police jumped into the water to save people lifted")</f>
        <v>Police jumped into the water to save people lifted</v>
      </c>
      <c r="D142" s="4" t="s">
        <v>242</v>
      </c>
      <c r="E142" s="4">
        <v>6938058.0</v>
      </c>
      <c r="F142" s="4">
        <v>41.0</v>
      </c>
      <c r="G142" s="4" t="s">
        <v>243</v>
      </c>
    </row>
    <row r="143">
      <c r="A143" s="1">
        <v>141.0</v>
      </c>
      <c r="B143" s="4" t="s">
        <v>179</v>
      </c>
      <c r="C143" s="4" t="str">
        <f>IFERROR(__xludf.DUMMYFUNCTION("GOOGLETRANSLATE(D:D,""auto"",""en"")"),"He Jiong, Xie Na hug across the sea")</f>
        <v>He Jiong, Xie Na hug across the sea</v>
      </c>
      <c r="D143" s="4" t="s">
        <v>244</v>
      </c>
      <c r="E143" s="4">
        <v>6928841.0</v>
      </c>
      <c r="F143" s="4">
        <v>42.0</v>
      </c>
      <c r="G143" s="4" t="s">
        <v>245</v>
      </c>
    </row>
    <row r="144">
      <c r="A144" s="1">
        <v>142.0</v>
      </c>
      <c r="B144" s="4" t="s">
        <v>179</v>
      </c>
      <c r="C144" s="4" t="str">
        <f>IFERROR(__xludf.DUMMYFUNCTION("GOOGLETRANSLATE(D:D,""auto"",""en"")"),"Luhan eat sowing")</f>
        <v>Luhan eat sowing</v>
      </c>
      <c r="D144" s="4" t="s">
        <v>34</v>
      </c>
      <c r="E144" s="4">
        <v>6882974.0</v>
      </c>
      <c r="F144" s="4">
        <v>43.0</v>
      </c>
      <c r="G144" s="4" t="s">
        <v>35</v>
      </c>
    </row>
    <row r="145">
      <c r="A145" s="1">
        <v>143.0</v>
      </c>
      <c r="B145" s="4" t="s">
        <v>179</v>
      </c>
      <c r="C145" s="4" t="str">
        <f>IFERROR(__xludf.DUMMYFUNCTION("GOOGLETRANSLATE(D:D,""auto"",""en"")"),"Guo unicorn to me than my dad fire")</f>
        <v>Guo unicorn to me than my dad fire</v>
      </c>
      <c r="D145" s="4" t="s">
        <v>246</v>
      </c>
      <c r="E145" s="4">
        <v>6879982.0</v>
      </c>
      <c r="F145" s="4">
        <v>44.0</v>
      </c>
      <c r="G145" s="4" t="s">
        <v>247</v>
      </c>
    </row>
    <row r="146">
      <c r="A146" s="1">
        <v>144.0</v>
      </c>
      <c r="B146" s="4" t="s">
        <v>179</v>
      </c>
      <c r="C146" s="4" t="str">
        <f>IFERROR(__xludf.DUMMYFUNCTION("GOOGLETRANSLATE(D:D,""auto"",""en"")"),"Potion brother and a dragon")</f>
        <v>Potion brother and a dragon</v>
      </c>
      <c r="D146" s="4" t="s">
        <v>248</v>
      </c>
      <c r="E146" s="4">
        <v>6836824.0</v>
      </c>
      <c r="F146" s="4">
        <v>45.0</v>
      </c>
      <c r="G146" s="4" t="s">
        <v>249</v>
      </c>
    </row>
    <row r="147">
      <c r="A147" s="1">
        <v>145.0</v>
      </c>
      <c r="B147" s="4" t="s">
        <v>179</v>
      </c>
      <c r="C147" s="4" t="str">
        <f>IFERROR(__xludf.DUMMYFUNCTION("GOOGLETRANSLATE(D:D,""auto"",""en"")"),"East Zupančič beat James to the west ticket king")</f>
        <v>East Zupančič beat James to the west ticket king</v>
      </c>
      <c r="D147" s="4" t="s">
        <v>250</v>
      </c>
      <c r="E147" s="4">
        <v>6817990.0</v>
      </c>
      <c r="F147" s="4">
        <v>46.0</v>
      </c>
      <c r="G147" s="4" t="s">
        <v>251</v>
      </c>
    </row>
    <row r="148">
      <c r="A148" s="1">
        <v>146.0</v>
      </c>
      <c r="B148" s="4" t="s">
        <v>179</v>
      </c>
      <c r="C148" s="4" t="str">
        <f>IFERROR(__xludf.DUMMYFUNCTION("GOOGLETRANSLATE(D:D,""auto"",""en"")"),"Yi Xi smelt one thousand inch head")</f>
        <v>Yi Xi smelt one thousand inch head</v>
      </c>
      <c r="D148" s="4" t="s">
        <v>252</v>
      </c>
      <c r="E148" s="4">
        <v>6784437.0</v>
      </c>
      <c r="F148" s="4">
        <v>47.0</v>
      </c>
      <c r="G148" s="4" t="s">
        <v>253</v>
      </c>
    </row>
    <row r="149">
      <c r="A149" s="1">
        <v>147.0</v>
      </c>
      <c r="B149" s="4" t="s">
        <v>179</v>
      </c>
      <c r="C149" s="4" t="str">
        <f>IFERROR(__xludf.DUMMYFUNCTION("GOOGLETRANSLATE(D:D,""auto"",""en"")"),"2020 pairs leap year")</f>
        <v>2020 pairs leap year</v>
      </c>
      <c r="D149" s="4" t="s">
        <v>254</v>
      </c>
      <c r="E149" s="4">
        <v>6739546.0</v>
      </c>
      <c r="F149" s="4">
        <v>48.0</v>
      </c>
      <c r="G149" s="4" t="s">
        <v>255</v>
      </c>
    </row>
    <row r="150">
      <c r="A150" s="1">
        <v>148.0</v>
      </c>
      <c r="B150" s="4" t="s">
        <v>179</v>
      </c>
      <c r="C150" s="4" t="str">
        <f>IFERROR(__xludf.DUMMYFUNCTION("GOOGLETRANSLATE(D:D,""auto"",""en"")"),"Wang Kai fake video won the case")</f>
        <v>Wang Kai fake video won the case</v>
      </c>
      <c r="D150" s="4" t="s">
        <v>256</v>
      </c>
      <c r="E150" s="4">
        <v>6693540.0</v>
      </c>
      <c r="F150" s="4">
        <v>49.0</v>
      </c>
      <c r="G150" s="4" t="s">
        <v>257</v>
      </c>
    </row>
    <row r="151">
      <c r="A151" s="1">
        <v>149.0</v>
      </c>
      <c r="B151" s="4" t="s">
        <v>179</v>
      </c>
      <c r="C151" s="4" t="str">
        <f>IFERROR(__xludf.DUMMYFUNCTION("GOOGLETRANSLATE(D:D,""auto"",""en"")"),"Why this change fast Kyung broadcast time")</f>
        <v>Why this change fast Kyung broadcast time</v>
      </c>
      <c r="D151" s="4" t="s">
        <v>115</v>
      </c>
      <c r="E151" s="4">
        <v>6651850.0</v>
      </c>
      <c r="F151" s="4">
        <v>50.0</v>
      </c>
      <c r="G151" s="4" t="s">
        <v>116</v>
      </c>
    </row>
    <row r="152">
      <c r="A152" s="1">
        <v>150.0</v>
      </c>
      <c r="B152" s="4" t="s">
        <v>258</v>
      </c>
      <c r="C152" s="4" t="str">
        <f>IFERROR(__xludf.DUMMYFUNCTION("GOOGLETRANSLATE(D:D,""auto"",""en"")"),"Trump said the US military air strikes to stop the war")</f>
        <v>Trump said the US military air strikes to stop the war</v>
      </c>
      <c r="D152" s="4" t="s">
        <v>259</v>
      </c>
      <c r="E152" s="4">
        <v>1.1157918E7</v>
      </c>
      <c r="F152" s="4">
        <v>1.0</v>
      </c>
      <c r="G152" s="4" t="s">
        <v>260</v>
      </c>
    </row>
    <row r="153">
      <c r="A153" s="1">
        <v>151.0</v>
      </c>
      <c r="B153" s="4" t="s">
        <v>258</v>
      </c>
      <c r="C153" s="4" t="str">
        <f>IFERROR(__xludf.DUMMYFUNCTION("GOOGLETRANSLATE(D:D,""auto"",""en"")"),"Zhang Yixing face scalped tickets")</f>
        <v>Zhang Yixing face scalped tickets</v>
      </c>
      <c r="D153" s="4" t="s">
        <v>222</v>
      </c>
      <c r="E153" s="4">
        <v>9976260.0</v>
      </c>
      <c r="F153" s="4">
        <v>2.0</v>
      </c>
      <c r="G153" s="4" t="s">
        <v>223</v>
      </c>
    </row>
    <row r="154">
      <c r="A154" s="1">
        <v>152.0</v>
      </c>
      <c r="B154" s="4" t="s">
        <v>258</v>
      </c>
      <c r="C154" s="4" t="str">
        <f>IFERROR(__xludf.DUMMYFUNCTION("GOOGLETRANSLATE(D:D,""auto"",""en"")"),"Xiaozhan darted surface bounding in")</f>
        <v>Xiaozhan darted surface bounding in</v>
      </c>
      <c r="D154" s="4" t="s">
        <v>202</v>
      </c>
      <c r="E154" s="4">
        <v>9770352.0</v>
      </c>
      <c r="F154" s="4">
        <v>3.0</v>
      </c>
      <c r="G154" s="4" t="s">
        <v>203</v>
      </c>
    </row>
    <row r="155">
      <c r="A155" s="1">
        <v>153.0</v>
      </c>
      <c r="B155" s="4" t="s">
        <v>258</v>
      </c>
      <c r="C155" s="4" t="str">
        <f>IFERROR(__xludf.DUMMYFUNCTION("GOOGLETRANSLATE(D:D,""auto"",""en"")"),"When your mother asks you home for dinner it")</f>
        <v>When your mother asks you home for dinner it</v>
      </c>
      <c r="D155" s="4" t="s">
        <v>216</v>
      </c>
      <c r="E155" s="4">
        <v>9552321.0</v>
      </c>
      <c r="F155" s="4">
        <v>4.0</v>
      </c>
      <c r="G155" s="4" t="s">
        <v>217</v>
      </c>
    </row>
    <row r="156">
      <c r="A156" s="1">
        <v>154.0</v>
      </c>
      <c r="B156" s="4" t="s">
        <v>258</v>
      </c>
      <c r="C156" s="4" t="str">
        <f>IFERROR(__xludf.DUMMYFUNCTION("GOOGLETRANSLATE(D:D,""auto"",""en"")"),"Potion brother and a dragon")</f>
        <v>Potion brother and a dragon</v>
      </c>
      <c r="D156" s="4" t="s">
        <v>248</v>
      </c>
      <c r="E156" s="4">
        <v>9298500.0</v>
      </c>
      <c r="F156" s="4">
        <v>5.0</v>
      </c>
      <c r="G156" s="4" t="s">
        <v>249</v>
      </c>
    </row>
    <row r="157">
      <c r="A157" s="1">
        <v>155.0</v>
      </c>
      <c r="B157" s="4" t="s">
        <v>258</v>
      </c>
      <c r="C157" s="4" t="str">
        <f>IFERROR(__xludf.DUMMYFUNCTION("GOOGLETRANSLATE(D:D,""auto"",""en"")"),"Iraqi militias raid team was 6 deaths")</f>
        <v>Iraqi militias raid team was 6 deaths</v>
      </c>
      <c r="D157" s="4" t="s">
        <v>261</v>
      </c>
      <c r="E157" s="4">
        <v>9092910.0</v>
      </c>
      <c r="F157" s="4">
        <v>6.0</v>
      </c>
      <c r="G157" s="4" t="s">
        <v>262</v>
      </c>
    </row>
    <row r="158">
      <c r="A158" s="1">
        <v>156.0</v>
      </c>
      <c r="B158" s="4" t="s">
        <v>258</v>
      </c>
      <c r="C158" s="4" t="str">
        <f>IFERROR(__xludf.DUMMYFUNCTION("GOOGLETRANSLATE(D:D,""auto"",""en"")"),"Ji 1162")</f>
        <v>Ji 1162</v>
      </c>
      <c r="D158" s="4" t="s">
        <v>263</v>
      </c>
      <c r="E158" s="4">
        <v>9030382.0</v>
      </c>
      <c r="F158" s="4">
        <v>7.0</v>
      </c>
      <c r="G158" s="4" t="s">
        <v>264</v>
      </c>
    </row>
    <row r="159">
      <c r="A159" s="1">
        <v>157.0</v>
      </c>
      <c r="B159" s="4" t="s">
        <v>258</v>
      </c>
      <c r="C159" s="4" t="str">
        <f>IFERROR(__xludf.DUMMYFUNCTION("GOOGLETRANSLATE(D:D,""auto"",""en"")"),"Returned four sons gathered vibrato")</f>
        <v>Returned four sons gathered vibrato</v>
      </c>
      <c r="D159" s="4" t="s">
        <v>194</v>
      </c>
      <c r="E159" s="4">
        <v>8890951.0</v>
      </c>
      <c r="F159" s="4">
        <v>8.0</v>
      </c>
      <c r="G159" s="4" t="s">
        <v>195</v>
      </c>
    </row>
    <row r="160">
      <c r="A160" s="1">
        <v>158.0</v>
      </c>
      <c r="B160" s="4" t="s">
        <v>258</v>
      </c>
      <c r="C160" s="4" t="str">
        <f>IFERROR(__xludf.DUMMYFUNCTION("GOOGLETRANSLATE(D:D,""auto"",""en"")"),"Jinfu Jiang Uruguay responded to prosecute ex-girlfriend")</f>
        <v>Jinfu Jiang Uruguay responded to prosecute ex-girlfriend</v>
      </c>
      <c r="D160" s="4" t="s">
        <v>265</v>
      </c>
      <c r="E160" s="4">
        <v>8884617.0</v>
      </c>
      <c r="F160" s="4">
        <v>9.0</v>
      </c>
      <c r="G160" s="4" t="s">
        <v>266</v>
      </c>
    </row>
    <row r="161">
      <c r="A161" s="1">
        <v>159.0</v>
      </c>
      <c r="B161" s="4" t="s">
        <v>258</v>
      </c>
      <c r="C161" s="4" t="str">
        <f>IFERROR(__xludf.DUMMYFUNCTION("GOOGLETRANSLATE(D:D,""auto"",""en"")"),"Tang Fei sent sixty thousand red envelopes to respond")</f>
        <v>Tang Fei sent sixty thousand red envelopes to respond</v>
      </c>
      <c r="D161" s="4" t="s">
        <v>206</v>
      </c>
      <c r="E161" s="4">
        <v>8844896.0</v>
      </c>
      <c r="F161" s="4">
        <v>10.0</v>
      </c>
      <c r="G161" s="4" t="s">
        <v>207</v>
      </c>
    </row>
    <row r="162">
      <c r="A162" s="1">
        <v>160.0</v>
      </c>
      <c r="B162" s="4" t="s">
        <v>258</v>
      </c>
      <c r="C162" s="4" t="str">
        <f>IFERROR(__xludf.DUMMYFUNCTION("GOOGLETRANSLATE(D:D,""auto"",""en"")"),"Zhou Zhennan champagne spicy chicken out of hand")</f>
        <v>Zhou Zhennan champagne spicy chicken out of hand</v>
      </c>
      <c r="D162" s="4" t="s">
        <v>267</v>
      </c>
      <c r="E162" s="4">
        <v>8663735.0</v>
      </c>
      <c r="F162" s="4">
        <v>11.0</v>
      </c>
      <c r="G162" s="4" t="s">
        <v>268</v>
      </c>
    </row>
    <row r="163">
      <c r="A163" s="1">
        <v>161.0</v>
      </c>
      <c r="B163" s="4" t="s">
        <v>258</v>
      </c>
      <c r="C163" s="4" t="str">
        <f>IFERROR(__xludf.DUMMYFUNCTION("GOOGLETRANSLATE(D:D,""auto"",""en"")"),"Yi Xi smelt one thousand inch head")</f>
        <v>Yi Xi smelt one thousand inch head</v>
      </c>
      <c r="D163" s="4" t="s">
        <v>252</v>
      </c>
      <c r="E163" s="4">
        <v>8628843.0</v>
      </c>
      <c r="F163" s="4">
        <v>12.0</v>
      </c>
      <c r="G163" s="4" t="s">
        <v>253</v>
      </c>
    </row>
    <row r="164">
      <c r="A164" s="1">
        <v>162.0</v>
      </c>
      <c r="B164" s="4" t="s">
        <v>258</v>
      </c>
      <c r="C164" s="4" t="str">
        <f>IFERROR(__xludf.DUMMYFUNCTION("GOOGLETRANSLATE(D:D,""auto"",""en"")"),"Year built Vientiane")</f>
        <v>Year built Vientiane</v>
      </c>
      <c r="D164" s="4" t="s">
        <v>269</v>
      </c>
      <c r="E164" s="4">
        <v>8516225.0</v>
      </c>
      <c r="F164" s="4">
        <v>13.0</v>
      </c>
      <c r="G164" s="4" t="s">
        <v>270</v>
      </c>
    </row>
    <row r="165">
      <c r="A165" s="1">
        <v>163.0</v>
      </c>
      <c r="B165" s="4" t="s">
        <v>258</v>
      </c>
      <c r="C165" s="4" t="str">
        <f>IFERROR(__xludf.DUMMYFUNCTION("GOOGLETRANSLATE(D:D,""auto"",""en"")"),"Reba take you to fly along the New Year")</f>
        <v>Reba take you to fly along the New Year</v>
      </c>
      <c r="D165" s="4" t="s">
        <v>271</v>
      </c>
      <c r="E165" s="4">
        <v>8459916.0</v>
      </c>
      <c r="F165" s="4">
        <v>14.0</v>
      </c>
      <c r="G165" s="4" t="s">
        <v>272</v>
      </c>
    </row>
    <row r="166">
      <c r="A166" s="1">
        <v>164.0</v>
      </c>
      <c r="B166" s="4" t="s">
        <v>258</v>
      </c>
      <c r="C166" s="4" t="str">
        <f>IFERROR(__xludf.DUMMYFUNCTION("GOOGLETRANSLATE(D:D,""auto"",""en"")"),"Luhan airborne vibrato save fondue Bureau")</f>
        <v>Luhan airborne vibrato save fondue Bureau</v>
      </c>
      <c r="D166" s="4" t="s">
        <v>182</v>
      </c>
      <c r="E166" s="4">
        <v>8434022.0</v>
      </c>
      <c r="F166" s="4">
        <v>15.0</v>
      </c>
      <c r="G166" s="4" t="s">
        <v>183</v>
      </c>
    </row>
    <row r="167">
      <c r="A167" s="1">
        <v>165.0</v>
      </c>
      <c r="B167" s="4" t="s">
        <v>258</v>
      </c>
      <c r="C167" s="4" t="str">
        <f>IFERROR(__xludf.DUMMYFUNCTION("GOOGLETRANSLATE(D:D,""auto"",""en"")"),"Wu Chun Jiro Wang party tune")</f>
        <v>Wu Chun Jiro Wang party tune</v>
      </c>
      <c r="D167" s="4" t="s">
        <v>273</v>
      </c>
      <c r="E167" s="4">
        <v>8110965.0</v>
      </c>
      <c r="F167" s="4">
        <v>16.0</v>
      </c>
      <c r="G167" s="4" t="s">
        <v>274</v>
      </c>
    </row>
    <row r="168">
      <c r="A168" s="1">
        <v>166.0</v>
      </c>
      <c r="B168" s="4" t="s">
        <v>258</v>
      </c>
      <c r="C168" s="4" t="str">
        <f>IFERROR(__xludf.DUMMYFUNCTION("GOOGLETRANSLATE(D:D,""auto"",""en"")"),"Zhang Yixing straight men's curly hair")</f>
        <v>Zhang Yixing straight men's curly hair</v>
      </c>
      <c r="D168" s="4" t="s">
        <v>275</v>
      </c>
      <c r="E168" s="4">
        <v>8042625.0</v>
      </c>
      <c r="F168" s="4">
        <v>17.0</v>
      </c>
      <c r="G168" s="4" t="s">
        <v>276</v>
      </c>
    </row>
    <row r="169">
      <c r="A169" s="1">
        <v>167.0</v>
      </c>
      <c r="B169" s="4" t="s">
        <v>258</v>
      </c>
      <c r="C169" s="4" t="str">
        <f>IFERROR(__xludf.DUMMYFUNCTION("GOOGLETRANSLATE(D:D,""auto"",""en"")"),"40-year-old Lee Dong-wook")</f>
        <v>40-year-old Lee Dong-wook</v>
      </c>
      <c r="D169" s="4" t="s">
        <v>277</v>
      </c>
      <c r="E169" s="4">
        <v>7962908.0</v>
      </c>
      <c r="F169" s="4">
        <v>18.0</v>
      </c>
      <c r="G169" s="4" t="s">
        <v>278</v>
      </c>
    </row>
    <row r="170">
      <c r="A170" s="1">
        <v>168.0</v>
      </c>
      <c r="B170" s="4" t="s">
        <v>258</v>
      </c>
      <c r="C170" s="4" t="str">
        <f>IFERROR(__xludf.DUMMYFUNCTION("GOOGLETRANSLATE(D:D,""auto"",""en"")"),"Iran's supreme leader said it would retaliate severely USA")</f>
        <v>Iran's supreme leader said it would retaliate severely USA</v>
      </c>
      <c r="D170" s="4" t="s">
        <v>212</v>
      </c>
      <c r="E170" s="4">
        <v>7851027.0</v>
      </c>
      <c r="F170" s="4">
        <v>19.0</v>
      </c>
      <c r="G170" s="4" t="s">
        <v>213</v>
      </c>
    </row>
    <row r="171">
      <c r="A171" s="1">
        <v>169.0</v>
      </c>
      <c r="B171" s="4" t="s">
        <v>258</v>
      </c>
      <c r="C171" s="4" t="str">
        <f>IFERROR(__xludf.DUMMYFUNCTION("GOOGLETRANSLATE(D:D,""auto"",""en"")"),"Jimmy Lin sing seventeen of the rainy season")</f>
        <v>Jimmy Lin sing seventeen of the rainy season</v>
      </c>
      <c r="D171" s="4" t="s">
        <v>279</v>
      </c>
      <c r="E171" s="4">
        <v>7760156.0</v>
      </c>
      <c r="F171" s="4">
        <v>20.0</v>
      </c>
      <c r="G171" s="4" t="s">
        <v>280</v>
      </c>
    </row>
    <row r="172">
      <c r="A172" s="1">
        <v>170.0</v>
      </c>
      <c r="B172" s="4" t="s">
        <v>258</v>
      </c>
      <c r="C172" s="4" t="str">
        <f>IFERROR(__xludf.DUMMYFUNCTION("GOOGLETRANSLATE(D:D,""auto"",""en"")"),"肖战 cappella")</f>
        <v>肖战 cappella</v>
      </c>
      <c r="D172" s="4" t="s">
        <v>281</v>
      </c>
      <c r="E172" s="4">
        <v>7627234.0</v>
      </c>
      <c r="F172" s="4">
        <v>21.0</v>
      </c>
      <c r="G172" s="4" t="s">
        <v>282</v>
      </c>
    </row>
    <row r="173">
      <c r="A173" s="1">
        <v>171.0</v>
      </c>
      <c r="B173" s="4" t="s">
        <v>258</v>
      </c>
      <c r="C173" s="4" t="str">
        <f>IFERROR(__xludf.DUMMYFUNCTION("GOOGLETRANSLATE(D:D,""auto"",""en"")"),"The last traces of the Yangtze River white sturgeon")</f>
        <v>The last traces of the Yangtze River white sturgeon</v>
      </c>
      <c r="D173" s="4" t="s">
        <v>283</v>
      </c>
      <c r="E173" s="4">
        <v>7543888.0</v>
      </c>
      <c r="F173" s="4">
        <v>22.0</v>
      </c>
      <c r="G173" s="4" t="s">
        <v>284</v>
      </c>
    </row>
    <row r="174">
      <c r="A174" s="1">
        <v>172.0</v>
      </c>
      <c r="B174" s="4" t="s">
        <v>258</v>
      </c>
      <c r="C174" s="4" t="str">
        <f>IFERROR(__xludf.DUMMYFUNCTION("GOOGLETRANSLATE(D:D,""auto"",""en"")"),"Little Zhou listen to my mother playing and singing")</f>
        <v>Little Zhou listen to my mother playing and singing</v>
      </c>
      <c r="D174" s="4" t="s">
        <v>285</v>
      </c>
      <c r="E174" s="4">
        <v>7450777.0</v>
      </c>
      <c r="F174" s="4">
        <v>23.0</v>
      </c>
      <c r="G174" s="4" t="s">
        <v>286</v>
      </c>
    </row>
    <row r="175">
      <c r="A175" s="1">
        <v>173.0</v>
      </c>
      <c r="B175" s="4" t="s">
        <v>258</v>
      </c>
      <c r="C175" s="4" t="str">
        <f>IFERROR(__xludf.DUMMYFUNCTION("GOOGLETRANSLATE(D:D,""auto"",""en"")"),"2020's first meteor shower")</f>
        <v>2020's first meteor shower</v>
      </c>
      <c r="D175" s="4" t="s">
        <v>287</v>
      </c>
      <c r="E175" s="4">
        <v>7372628.0</v>
      </c>
      <c r="F175" s="4">
        <v>24.0</v>
      </c>
      <c r="G175" s="4" t="s">
        <v>288</v>
      </c>
    </row>
    <row r="176">
      <c r="A176" s="1">
        <v>174.0</v>
      </c>
      <c r="B176" s="4" t="s">
        <v>258</v>
      </c>
      <c r="C176" s="4" t="str">
        <f>IFERROR(__xludf.DUMMYFUNCTION("GOOGLETRANSLATE(D:D,""auto"",""en"")"),"Wu Lei and his own handshake")</f>
        <v>Wu Lei and his own handshake</v>
      </c>
      <c r="D176" s="4" t="s">
        <v>289</v>
      </c>
      <c r="E176" s="4">
        <v>7166621.0</v>
      </c>
      <c r="F176" s="4">
        <v>25.0</v>
      </c>
      <c r="G176" s="4" t="s">
        <v>290</v>
      </c>
    </row>
    <row r="177">
      <c r="A177" s="1">
        <v>175.0</v>
      </c>
      <c r="B177" s="4" t="s">
        <v>258</v>
      </c>
      <c r="C177" s="4" t="str">
        <f>IFERROR(__xludf.DUMMYFUNCTION("GOOGLETRANSLATE(D:D,""auto"",""en"")"),"Air leakage star sanctions passenger information staff")</f>
        <v>Air leakage star sanctions passenger information staff</v>
      </c>
      <c r="D177" s="4" t="s">
        <v>291</v>
      </c>
      <c r="E177" s="4">
        <v>7082678.0</v>
      </c>
      <c r="F177" s="4">
        <v>26.0</v>
      </c>
      <c r="G177" s="4" t="s">
        <v>292</v>
      </c>
    </row>
    <row r="178">
      <c r="A178" s="1">
        <v>176.0</v>
      </c>
      <c r="B178" s="4" t="s">
        <v>258</v>
      </c>
      <c r="C178" s="4" t="str">
        <f>IFERROR(__xludf.DUMMYFUNCTION("GOOGLETRANSLATE(D:D,""auto"",""en"")"),"Angelababy imitate Wu Yifan recorded songs")</f>
        <v>Angelababy imitate Wu Yifan recorded songs</v>
      </c>
      <c r="D178" s="4" t="s">
        <v>293</v>
      </c>
      <c r="E178" s="4">
        <v>7051296.0</v>
      </c>
      <c r="F178" s="4">
        <v>27.0</v>
      </c>
      <c r="G178" s="4" t="s">
        <v>294</v>
      </c>
    </row>
    <row r="179">
      <c r="A179" s="1">
        <v>177.0</v>
      </c>
      <c r="B179" s="4" t="s">
        <v>258</v>
      </c>
      <c r="C179" s="4" t="str">
        <f>IFERROR(__xludf.DUMMYFUNCTION("GOOGLETRANSLATE(D:D,""auto"",""en"")"),"Bieber song")</f>
        <v>Bieber song</v>
      </c>
      <c r="D179" s="4" t="s">
        <v>295</v>
      </c>
      <c r="E179" s="4">
        <v>7041811.0</v>
      </c>
      <c r="F179" s="4">
        <v>28.0</v>
      </c>
      <c r="G179" s="4" t="s">
        <v>296</v>
      </c>
    </row>
    <row r="180">
      <c r="A180" s="1">
        <v>178.0</v>
      </c>
      <c r="B180" s="4" t="s">
        <v>258</v>
      </c>
      <c r="C180" s="4" t="str">
        <f>IFERROR(__xludf.DUMMYFUNCTION("GOOGLETRANSLATE(D:D,""auto"",""en"")"),"Jolin Tsai Deng purple chess same stage")</f>
        <v>Jolin Tsai Deng purple chess same stage</v>
      </c>
      <c r="D180" s="4" t="s">
        <v>297</v>
      </c>
      <c r="E180" s="4">
        <v>7027974.0</v>
      </c>
      <c r="F180" s="4">
        <v>29.0</v>
      </c>
      <c r="G180" s="4" t="s">
        <v>298</v>
      </c>
    </row>
    <row r="181">
      <c r="A181" s="1">
        <v>179.0</v>
      </c>
      <c r="B181" s="4" t="s">
        <v>258</v>
      </c>
      <c r="C181" s="4" t="str">
        <f>IFERROR(__xludf.DUMMYFUNCTION("GOOGLETRANSLATE(D:D,""auto"",""en"")"),"High speed 550 kilometers charge 3870 yuan")</f>
        <v>High speed 550 kilometers charge 3870 yuan</v>
      </c>
      <c r="D181" s="4" t="s">
        <v>299</v>
      </c>
      <c r="E181" s="4">
        <v>7027659.0</v>
      </c>
      <c r="F181" s="4">
        <v>30.0</v>
      </c>
      <c r="G181" s="4" t="s">
        <v>300</v>
      </c>
    </row>
    <row r="182">
      <c r="A182" s="1">
        <v>180.0</v>
      </c>
      <c r="B182" s="4" t="s">
        <v>258</v>
      </c>
      <c r="C182" s="4" t="str">
        <f>IFERROR(__xludf.DUMMYFUNCTION("GOOGLETRANSLATE(D:D,""auto"",""en"")"),"Cecilia wants to further cooperation and Yeh")</f>
        <v>Cecilia wants to further cooperation and Yeh</v>
      </c>
      <c r="D182" s="4" t="s">
        <v>301</v>
      </c>
      <c r="E182" s="4">
        <v>6952309.0</v>
      </c>
      <c r="F182" s="4">
        <v>31.0</v>
      </c>
      <c r="G182" s="4" t="s">
        <v>302</v>
      </c>
    </row>
    <row r="183">
      <c r="A183" s="1">
        <v>181.0</v>
      </c>
      <c r="B183" s="4" t="s">
        <v>258</v>
      </c>
      <c r="C183" s="4" t="str">
        <f>IFERROR(__xludf.DUMMYFUNCTION("GOOGLETRANSLATE(D:D,""auto"",""en"")"),"Ren Jialun eyes kill")</f>
        <v>Ren Jialun eyes kill</v>
      </c>
      <c r="D183" s="4" t="s">
        <v>303</v>
      </c>
      <c r="E183" s="4">
        <v>6947503.0</v>
      </c>
      <c r="F183" s="4">
        <v>32.0</v>
      </c>
      <c r="G183" s="4" t="s">
        <v>304</v>
      </c>
    </row>
    <row r="184">
      <c r="A184" s="1">
        <v>182.0</v>
      </c>
      <c r="B184" s="4" t="s">
        <v>258</v>
      </c>
      <c r="C184" s="4" t="str">
        <f>IFERROR(__xludf.DUMMYFUNCTION("GOOGLETRANSLATE(D:D,""auto"",""en"")"),"Picasso paintings worth 180 million yuan torn")</f>
        <v>Picasso paintings worth 180 million yuan torn</v>
      </c>
      <c r="D184" s="4" t="s">
        <v>305</v>
      </c>
      <c r="E184" s="4">
        <v>6836945.0</v>
      </c>
      <c r="F184" s="4">
        <v>33.0</v>
      </c>
      <c r="G184" s="4" t="s">
        <v>306</v>
      </c>
    </row>
    <row r="185">
      <c r="A185" s="1">
        <v>183.0</v>
      </c>
      <c r="B185" s="4" t="s">
        <v>258</v>
      </c>
      <c r="C185" s="4" t="str">
        <f>IFERROR(__xludf.DUMMYFUNCTION("GOOGLETRANSLATE(D:D,""auto"",""en"")"),"What is it like to go KTV Star")</f>
        <v>What is it like to go KTV Star</v>
      </c>
      <c r="D185" s="4" t="s">
        <v>307</v>
      </c>
      <c r="E185" s="4">
        <v>6810737.0</v>
      </c>
      <c r="F185" s="4">
        <v>34.0</v>
      </c>
      <c r="G185" s="4" t="s">
        <v>308</v>
      </c>
    </row>
    <row r="186">
      <c r="A186" s="1">
        <v>184.0</v>
      </c>
      <c r="B186" s="4" t="s">
        <v>258</v>
      </c>
      <c r="C186" s="4" t="str">
        <f>IFERROR(__xludf.DUMMYFUNCTION("GOOGLETRANSLATE(D:D,""auto"",""en"")"),"12 year-old boy saved the whole building residents")</f>
        <v>12 year-old boy saved the whole building residents</v>
      </c>
      <c r="D186" s="4" t="s">
        <v>309</v>
      </c>
      <c r="E186" s="4">
        <v>6725598.0</v>
      </c>
      <c r="F186" s="4">
        <v>35.0</v>
      </c>
      <c r="G186" s="4" t="s">
        <v>310</v>
      </c>
    </row>
    <row r="187">
      <c r="A187" s="1">
        <v>185.0</v>
      </c>
      <c r="B187" s="4" t="s">
        <v>258</v>
      </c>
      <c r="C187" s="4" t="str">
        <f>IFERROR(__xludf.DUMMYFUNCTION("GOOGLETRANSLATE(D:D,""auto"",""en"")"),"Washington on alert")</f>
        <v>Washington on alert</v>
      </c>
      <c r="D187" s="4" t="s">
        <v>311</v>
      </c>
      <c r="E187" s="4">
        <v>6710744.0</v>
      </c>
      <c r="F187" s="4">
        <v>36.0</v>
      </c>
      <c r="G187" s="4" t="s">
        <v>312</v>
      </c>
    </row>
    <row r="188">
      <c r="A188" s="1">
        <v>186.0</v>
      </c>
      <c r="B188" s="4" t="s">
        <v>258</v>
      </c>
      <c r="C188" s="4" t="str">
        <f>IFERROR(__xludf.DUMMYFUNCTION("GOOGLETRANSLATE(D:D,""auto"",""en"")"),"Slag pot shop set up scholarships for the school")</f>
        <v>Slag pot shop set up scholarships for the school</v>
      </c>
      <c r="D188" s="4" t="s">
        <v>313</v>
      </c>
      <c r="E188" s="4">
        <v>6546082.0</v>
      </c>
      <c r="F188" s="4">
        <v>37.0</v>
      </c>
      <c r="G188" s="4" t="s">
        <v>314</v>
      </c>
    </row>
    <row r="189">
      <c r="A189" s="1">
        <v>187.0</v>
      </c>
      <c r="B189" s="4" t="s">
        <v>258</v>
      </c>
      <c r="C189" s="4" t="str">
        <f>IFERROR(__xludf.DUMMYFUNCTION("GOOGLETRANSLATE(D:D,""auto"",""en"")"),"William Chan broke the news Zhongchu Xi can eat")</f>
        <v>William Chan broke the news Zhongchu Xi can eat</v>
      </c>
      <c r="D189" s="4" t="s">
        <v>315</v>
      </c>
      <c r="E189" s="4">
        <v>6488171.0</v>
      </c>
      <c r="F189" s="4">
        <v>38.0</v>
      </c>
      <c r="G189" s="4" t="s">
        <v>316</v>
      </c>
    </row>
    <row r="190">
      <c r="A190" s="1">
        <v>188.0</v>
      </c>
      <c r="B190" s="4" t="s">
        <v>258</v>
      </c>
      <c r="C190" s="4" t="str">
        <f>IFERROR(__xludf.DUMMYFUNCTION("GOOGLETRANSLATE(D:D,""auto"",""en"")"),"Small Thomas the opening 88 seconds deported")</f>
        <v>Small Thomas the opening 88 seconds deported</v>
      </c>
      <c r="D190" s="4" t="s">
        <v>317</v>
      </c>
      <c r="E190" s="4">
        <v>6487269.0</v>
      </c>
      <c r="F190" s="4">
        <v>39.0</v>
      </c>
      <c r="G190" s="4" t="s">
        <v>318</v>
      </c>
    </row>
    <row r="191">
      <c r="A191" s="1">
        <v>189.0</v>
      </c>
      <c r="B191" s="4" t="s">
        <v>258</v>
      </c>
      <c r="C191" s="4" t="str">
        <f>IFERROR(__xludf.DUMMYFUNCTION("GOOGLETRANSLATE(D:D,""auto"",""en"")"),"Li Landi cry")</f>
        <v>Li Landi cry</v>
      </c>
      <c r="D191" s="4" t="s">
        <v>319</v>
      </c>
      <c r="E191" s="4">
        <v>6458470.0</v>
      </c>
      <c r="F191" s="4">
        <v>40.0</v>
      </c>
      <c r="G191" s="4" t="s">
        <v>320</v>
      </c>
    </row>
    <row r="192">
      <c r="A192" s="1">
        <v>190.0</v>
      </c>
      <c r="B192" s="4" t="s">
        <v>258</v>
      </c>
      <c r="C192" s="4" t="str">
        <f>IFERROR(__xludf.DUMMYFUNCTION("GOOGLETRANSLATE(D:D,""auto"",""en"")"),"When asked how angry deer")</f>
        <v>When asked how angry deer</v>
      </c>
      <c r="D192" s="4" t="s">
        <v>321</v>
      </c>
      <c r="E192" s="4">
        <v>6385440.0</v>
      </c>
      <c r="F192" s="4">
        <v>41.0</v>
      </c>
      <c r="G192" s="4" t="s">
        <v>322</v>
      </c>
    </row>
    <row r="193">
      <c r="A193" s="1">
        <v>191.0</v>
      </c>
      <c r="B193" s="4" t="s">
        <v>258</v>
      </c>
      <c r="C193" s="4" t="str">
        <f>IFERROR(__xludf.DUMMYFUNCTION("GOOGLETRANSLATE(D:D,""auto"",""en"")"),"East Zupančič beat James to the west ticket king")</f>
        <v>East Zupančič beat James to the west ticket king</v>
      </c>
      <c r="D193" s="4" t="s">
        <v>250</v>
      </c>
      <c r="E193" s="4">
        <v>6319893.0</v>
      </c>
      <c r="F193" s="4">
        <v>42.0</v>
      </c>
      <c r="G193" s="4" t="s">
        <v>251</v>
      </c>
    </row>
    <row r="194">
      <c r="A194" s="1">
        <v>192.0</v>
      </c>
      <c r="B194" s="4" t="s">
        <v>258</v>
      </c>
      <c r="C194" s="4" t="str">
        <f>IFERROR(__xludf.DUMMYFUNCTION("GOOGLETRANSLATE(D:D,""auto"",""en"")"),"Pay talks of migrant workers a dollar a day to eat")</f>
        <v>Pay talks of migrant workers a dollar a day to eat</v>
      </c>
      <c r="D194" s="4" t="s">
        <v>323</v>
      </c>
      <c r="E194" s="4">
        <v>6312978.0</v>
      </c>
      <c r="F194" s="4">
        <v>43.0</v>
      </c>
      <c r="G194" s="4" t="s">
        <v>324</v>
      </c>
    </row>
    <row r="195">
      <c r="A195" s="1">
        <v>193.0</v>
      </c>
      <c r="B195" s="4" t="s">
        <v>258</v>
      </c>
      <c r="C195" s="4" t="str">
        <f>IFERROR(__xludf.DUMMYFUNCTION("GOOGLETRANSLATE(D:D,""auto"",""en"")"),"Wu Chun and Calvin Chen sun Jiro photo")</f>
        <v>Wu Chun and Calvin Chen sun Jiro photo</v>
      </c>
      <c r="D195" s="4" t="s">
        <v>325</v>
      </c>
      <c r="E195" s="4">
        <v>6293689.0</v>
      </c>
      <c r="F195" s="4">
        <v>44.0</v>
      </c>
      <c r="G195" s="4" t="s">
        <v>326</v>
      </c>
    </row>
    <row r="196">
      <c r="A196" s="1">
        <v>194.0</v>
      </c>
      <c r="B196" s="4" t="s">
        <v>258</v>
      </c>
      <c r="C196" s="4" t="str">
        <f>IFERROR(__xludf.DUMMYFUNCTION("GOOGLETRANSLATE(D:D,""auto"",""en"")"),"Andy Liu Hao Ran Wang Baoqiang same field Artist")</f>
        <v>Andy Liu Hao Ran Wang Baoqiang same field Artist</v>
      </c>
      <c r="D196" s="4" t="s">
        <v>327</v>
      </c>
      <c r="E196" s="4">
        <v>6276546.0</v>
      </c>
      <c r="F196" s="4">
        <v>45.0</v>
      </c>
      <c r="G196" s="4" t="s">
        <v>328</v>
      </c>
    </row>
    <row r="197">
      <c r="A197" s="1">
        <v>195.0</v>
      </c>
      <c r="B197" s="4" t="s">
        <v>258</v>
      </c>
      <c r="C197" s="4" t="str">
        <f>IFERROR(__xludf.DUMMYFUNCTION("GOOGLETRANSLATE(D:D,""auto"",""en"")"),"Zhao Liying Tucao fans fart rainbows")</f>
        <v>Zhao Liying Tucao fans fart rainbows</v>
      </c>
      <c r="D197" s="4" t="s">
        <v>329</v>
      </c>
      <c r="E197" s="4">
        <v>6265958.0</v>
      </c>
      <c r="F197" s="4">
        <v>46.0</v>
      </c>
      <c r="G197" s="4" t="s">
        <v>330</v>
      </c>
    </row>
    <row r="198">
      <c r="A198" s="1">
        <v>196.0</v>
      </c>
      <c r="B198" s="4" t="s">
        <v>258</v>
      </c>
      <c r="C198" s="4" t="str">
        <f>IFERROR(__xludf.DUMMYFUNCTION("GOOGLETRANSLATE(D:D,""auto"",""en"")"),"Paper folding pigs Taiyizhenren")</f>
        <v>Paper folding pigs Taiyizhenren</v>
      </c>
      <c r="D198" s="4" t="s">
        <v>192</v>
      </c>
      <c r="E198" s="4">
        <v>6263367.0</v>
      </c>
      <c r="F198" s="4">
        <v>47.0</v>
      </c>
      <c r="G198" s="4" t="s">
        <v>193</v>
      </c>
    </row>
    <row r="199">
      <c r="A199" s="1">
        <v>197.0</v>
      </c>
      <c r="B199" s="4" t="s">
        <v>258</v>
      </c>
      <c r="C199" s="4" t="str">
        <f>IFERROR(__xludf.DUMMYFUNCTION("GOOGLETRANSLATE(D:D,""auto"",""en"")"),"77-year-old professor of naked tax 82,080,000")</f>
        <v>77-year-old professor of naked tax 82,080,000</v>
      </c>
      <c r="D199" s="4" t="s">
        <v>331</v>
      </c>
      <c r="E199" s="4">
        <v>6242020.0</v>
      </c>
      <c r="F199" s="4">
        <v>48.0</v>
      </c>
      <c r="G199" s="4" t="s">
        <v>332</v>
      </c>
    </row>
    <row r="200">
      <c r="A200" s="1">
        <v>198.0</v>
      </c>
      <c r="B200" s="4" t="s">
        <v>258</v>
      </c>
      <c r="C200" s="4" t="str">
        <f>IFERROR(__xludf.DUMMYFUNCTION("GOOGLETRANSLATE(D:D,""auto"",""en"")"),"Han Ma Tianyu is held high")</f>
        <v>Han Ma Tianyu is held high</v>
      </c>
      <c r="D200" s="4" t="s">
        <v>333</v>
      </c>
      <c r="E200" s="4">
        <v>6187149.0</v>
      </c>
      <c r="F200" s="4">
        <v>49.0</v>
      </c>
      <c r="G200" s="4" t="s">
        <v>334</v>
      </c>
    </row>
    <row r="201">
      <c r="A201" s="1">
        <v>199.0</v>
      </c>
      <c r="B201" s="4" t="s">
        <v>258</v>
      </c>
      <c r="C201" s="4" t="str">
        <f>IFERROR(__xludf.DUMMYFUNCTION("GOOGLETRANSLATE(D:D,""auto"",""en"")"),"CBA coach of Jiangsu conflict with the fans a ticket")</f>
        <v>CBA coach of Jiangsu conflict with the fans a ticket</v>
      </c>
      <c r="D201" s="4" t="s">
        <v>335</v>
      </c>
      <c r="E201" s="4">
        <v>6045240.0</v>
      </c>
      <c r="F201" s="4">
        <v>50.0</v>
      </c>
      <c r="G201" s="4" t="s">
        <v>336</v>
      </c>
    </row>
    <row r="202">
      <c r="A202" s="1">
        <v>200.0</v>
      </c>
      <c r="B202" s="4" t="s">
        <v>337</v>
      </c>
      <c r="C202" s="4" t="str">
        <f>IFERROR(__xludf.DUMMYFUNCTION("GOOGLETRANSLATE(D:D,""auto"",""en"")"),"Wu Lei absolutely flat Barcelona")</f>
        <v>Wu Lei absolutely flat Barcelona</v>
      </c>
      <c r="D202" s="4" t="s">
        <v>338</v>
      </c>
      <c r="E202" s="4">
        <v>1.0159935E7</v>
      </c>
      <c r="F202" s="4">
        <v>1.0</v>
      </c>
      <c r="G202" s="4" t="s">
        <v>339</v>
      </c>
    </row>
    <row r="203">
      <c r="A203" s="1">
        <v>201.0</v>
      </c>
      <c r="B203" s="4" t="s">
        <v>337</v>
      </c>
      <c r="C203" s="4" t="str">
        <f>IFERROR(__xludf.DUMMYFUNCTION("GOOGLETRANSLATE(D:D,""auto"",""en"")"),"肖战 cappella")</f>
        <v>肖战 cappella</v>
      </c>
      <c r="D203" s="4" t="s">
        <v>281</v>
      </c>
      <c r="E203" s="4">
        <v>9935824.0</v>
      </c>
      <c r="F203" s="4">
        <v>2.0</v>
      </c>
      <c r="G203" s="4" t="s">
        <v>282</v>
      </c>
    </row>
    <row r="204">
      <c r="A204" s="1">
        <v>202.0</v>
      </c>
      <c r="B204" s="4" t="s">
        <v>337</v>
      </c>
      <c r="C204" s="4" t="str">
        <f>IFERROR(__xludf.DUMMYFUNCTION("GOOGLETRANSLATE(D:D,""auto"",""en"")"),"Lisa under the domestic scene")</f>
        <v>Lisa under the domestic scene</v>
      </c>
      <c r="D204" s="4" t="s">
        <v>340</v>
      </c>
      <c r="E204" s="4">
        <v>9667682.0</v>
      </c>
      <c r="F204" s="4">
        <v>3.0</v>
      </c>
      <c r="G204" s="4" t="s">
        <v>341</v>
      </c>
    </row>
    <row r="205">
      <c r="A205" s="1">
        <v>203.0</v>
      </c>
      <c r="B205" s="4" t="s">
        <v>337</v>
      </c>
      <c r="C205" s="4" t="str">
        <f>IFERROR(__xludf.DUMMYFUNCTION("GOOGLETRANSLATE(D:D,""auto"",""en"")"),"Dynasty sword finale")</f>
        <v>Dynasty sword finale</v>
      </c>
      <c r="D205" s="4" t="s">
        <v>342</v>
      </c>
      <c r="E205" s="4">
        <v>9445730.0</v>
      </c>
      <c r="F205" s="4">
        <v>4.0</v>
      </c>
      <c r="G205" s="4" t="s">
        <v>343</v>
      </c>
    </row>
    <row r="206">
      <c r="A206" s="1">
        <v>204.0</v>
      </c>
      <c r="B206" s="4" t="s">
        <v>337</v>
      </c>
      <c r="C206" s="4" t="str">
        <f>IFERROR(__xludf.DUMMYFUNCTION("GOOGLETRANSLATE(D:D,""auto"",""en"")"),"Raccoons are expression package scare")</f>
        <v>Raccoons are expression package scare</v>
      </c>
      <c r="D206" s="4" t="s">
        <v>344</v>
      </c>
      <c r="E206" s="4">
        <v>9222289.0</v>
      </c>
      <c r="F206" s="4">
        <v>5.0</v>
      </c>
      <c r="G206" s="4" t="s">
        <v>345</v>
      </c>
    </row>
    <row r="207">
      <c r="A207" s="1">
        <v>205.0</v>
      </c>
      <c r="B207" s="4" t="s">
        <v>337</v>
      </c>
      <c r="C207" s="4" t="str">
        <f>IFERROR(__xludf.DUMMYFUNCTION("GOOGLETRANSLATE(D:D,""auto"",""en"")"),"Lee now exit way")</f>
        <v>Lee now exit way</v>
      </c>
      <c r="D207" s="4" t="s">
        <v>346</v>
      </c>
      <c r="E207" s="4">
        <v>8955397.0</v>
      </c>
      <c r="F207" s="4">
        <v>6.0</v>
      </c>
      <c r="G207" s="4" t="s">
        <v>347</v>
      </c>
    </row>
    <row r="208">
      <c r="A208" s="1">
        <v>206.0</v>
      </c>
      <c r="B208" s="4" t="s">
        <v>337</v>
      </c>
      <c r="C208" s="4" t="str">
        <f>IFERROR(__xludf.DUMMYFUNCTION("GOOGLETRANSLATE(D:D,""auto"",""en"")"),"US embassy in Iraq and nearby air base attacked")</f>
        <v>US embassy in Iraq and nearby air base attacked</v>
      </c>
      <c r="D208" s="4" t="s">
        <v>348</v>
      </c>
      <c r="E208" s="4">
        <v>8738118.0</v>
      </c>
      <c r="F208" s="4">
        <v>7.0</v>
      </c>
      <c r="G208" s="4" t="s">
        <v>349</v>
      </c>
    </row>
    <row r="209">
      <c r="A209" s="1">
        <v>207.0</v>
      </c>
      <c r="B209" s="4" t="s">
        <v>337</v>
      </c>
      <c r="C209" s="4" t="str">
        <f>IFERROR(__xludf.DUMMYFUNCTION("GOOGLETRANSLATE(D:D,""auto"",""en"")"),"Spontaneous combustion Lexus driving")</f>
        <v>Spontaneous combustion Lexus driving</v>
      </c>
      <c r="D209" s="4" t="s">
        <v>350</v>
      </c>
      <c r="E209" s="4">
        <v>8567192.0</v>
      </c>
      <c r="F209" s="4">
        <v>8.0</v>
      </c>
      <c r="G209" s="4" t="s">
        <v>351</v>
      </c>
    </row>
    <row r="210">
      <c r="A210" s="1">
        <v>208.0</v>
      </c>
      <c r="B210" s="4" t="s">
        <v>337</v>
      </c>
      <c r="C210" s="4" t="str">
        <f>IFERROR(__xludf.DUMMYFUNCTION("GOOGLETRANSLATE(D:D,""auto"",""en"")"),"2020 Taiyuan first snow")</f>
        <v>2020 Taiyuan first snow</v>
      </c>
      <c r="D210" s="4" t="s">
        <v>352</v>
      </c>
      <c r="E210" s="4">
        <v>8486989.0</v>
      </c>
      <c r="F210" s="4">
        <v>9.0</v>
      </c>
      <c r="G210" s="4" t="s">
        <v>353</v>
      </c>
    </row>
    <row r="211">
      <c r="A211" s="1">
        <v>209.0</v>
      </c>
      <c r="B211" s="4" t="s">
        <v>337</v>
      </c>
      <c r="C211" s="4" t="str">
        <f>IFERROR(__xludf.DUMMYFUNCTION("GOOGLETRANSLATE(D:D,""auto"",""en"")"),"Zhou Zhennan champagne spicy chicken out of hand")</f>
        <v>Zhou Zhennan champagne spicy chicken out of hand</v>
      </c>
      <c r="D211" s="4" t="s">
        <v>267</v>
      </c>
      <c r="E211" s="4">
        <v>8385776.0</v>
      </c>
      <c r="F211" s="4">
        <v>10.0</v>
      </c>
      <c r="G211" s="4" t="s">
        <v>268</v>
      </c>
    </row>
    <row r="212">
      <c r="A212" s="1">
        <v>210.0</v>
      </c>
      <c r="B212" s="4" t="s">
        <v>337</v>
      </c>
      <c r="C212" s="4" t="str">
        <f>IFERROR(__xludf.DUMMYFUNCTION("GOOGLETRANSLATE(D:D,""auto"",""en"")"),"Chen Linong wear a wedding dress")</f>
        <v>Chen Linong wear a wedding dress</v>
      </c>
      <c r="D212" s="4" t="s">
        <v>354</v>
      </c>
      <c r="E212" s="4">
        <v>8381507.0</v>
      </c>
      <c r="F212" s="4">
        <v>11.0</v>
      </c>
      <c r="G212" s="4" t="s">
        <v>355</v>
      </c>
    </row>
    <row r="213">
      <c r="A213" s="1">
        <v>211.0</v>
      </c>
      <c r="B213" s="4" t="s">
        <v>337</v>
      </c>
      <c r="C213" s="4" t="str">
        <f>IFERROR(__xludf.DUMMYFUNCTION("GOOGLETRANSLATE(D:D,""auto"",""en"")"),"Zhang Yixing straight men's curly hair")</f>
        <v>Zhang Yixing straight men's curly hair</v>
      </c>
      <c r="D213" s="4" t="s">
        <v>275</v>
      </c>
      <c r="E213" s="4">
        <v>8349011.0</v>
      </c>
      <c r="F213" s="4">
        <v>12.0</v>
      </c>
      <c r="G213" s="4" t="s">
        <v>276</v>
      </c>
    </row>
    <row r="214">
      <c r="A214" s="1">
        <v>212.0</v>
      </c>
      <c r="B214" s="4" t="s">
        <v>337</v>
      </c>
      <c r="C214" s="4" t="str">
        <f>IFERROR(__xludf.DUMMYFUNCTION("GOOGLETRANSLATE(D:D,""auto"",""en"")"),"Year built Vientiane")</f>
        <v>Year built Vientiane</v>
      </c>
      <c r="D214" s="4" t="s">
        <v>269</v>
      </c>
      <c r="E214" s="4">
        <v>8204501.0</v>
      </c>
      <c r="F214" s="4">
        <v>13.0</v>
      </c>
      <c r="G214" s="4" t="s">
        <v>270</v>
      </c>
    </row>
    <row r="215">
      <c r="A215" s="1">
        <v>213.0</v>
      </c>
      <c r="B215" s="4" t="s">
        <v>337</v>
      </c>
      <c r="C215" s="4" t="str">
        <f>IFERROR(__xludf.DUMMYFUNCTION("GOOGLETRANSLATE(D:D,""auto"",""en"")"),"Jennie double tail")</f>
        <v>Jennie double tail</v>
      </c>
      <c r="D215" s="4" t="s">
        <v>356</v>
      </c>
      <c r="E215" s="4">
        <v>8197693.0</v>
      </c>
      <c r="F215" s="4">
        <v>14.0</v>
      </c>
      <c r="G215" s="4" t="s">
        <v>357</v>
      </c>
    </row>
    <row r="216">
      <c r="A216" s="1">
        <v>214.0</v>
      </c>
      <c r="B216" s="4" t="s">
        <v>337</v>
      </c>
      <c r="C216" s="4" t="str">
        <f>IFERROR(__xludf.DUMMYFUNCTION("GOOGLETRANSLATE(D:D,""auto"",""en"")"),"Boy cardiac arrest in case of crossing the successful rescue nurse")</f>
        <v>Boy cardiac arrest in case of crossing the successful rescue nurse</v>
      </c>
      <c r="D216" s="4" t="s">
        <v>358</v>
      </c>
      <c r="E216" s="4">
        <v>8093639.0</v>
      </c>
      <c r="F216" s="4">
        <v>15.0</v>
      </c>
      <c r="G216" s="4" t="s">
        <v>359</v>
      </c>
    </row>
    <row r="217">
      <c r="A217" s="1">
        <v>215.0</v>
      </c>
      <c r="B217" s="4" t="s">
        <v>337</v>
      </c>
      <c r="C217" s="4" t="str">
        <f>IFERROR(__xludf.DUMMYFUNCTION("GOOGLETRANSLATE(D:D,""auto"",""en"")"),"Shovel angrily smashing illegal parking Aunt response")</f>
        <v>Shovel angrily smashing illegal parking Aunt response</v>
      </c>
      <c r="D217" s="4" t="s">
        <v>360</v>
      </c>
      <c r="E217" s="4">
        <v>8032117.0</v>
      </c>
      <c r="F217" s="4">
        <v>16.0</v>
      </c>
      <c r="G217" s="4" t="s">
        <v>361</v>
      </c>
    </row>
    <row r="218">
      <c r="A218" s="1">
        <v>216.0</v>
      </c>
      <c r="B218" s="4" t="s">
        <v>337</v>
      </c>
      <c r="C218" s="4" t="str">
        <f>IFERROR(__xludf.DUMMYFUNCTION("GOOGLETRANSLATE(D:D,""auto"",""en"")"),"Reba take you to fly along the New Year")</f>
        <v>Reba take you to fly along the New Year</v>
      </c>
      <c r="D218" s="4" t="s">
        <v>271</v>
      </c>
      <c r="E218" s="4">
        <v>7983747.0</v>
      </c>
      <c r="F218" s="4">
        <v>17.0</v>
      </c>
      <c r="G218" s="4" t="s">
        <v>272</v>
      </c>
    </row>
    <row r="219">
      <c r="A219" s="1">
        <v>217.0</v>
      </c>
      <c r="B219" s="4" t="s">
        <v>337</v>
      </c>
      <c r="C219" s="4" t="str">
        <f>IFERROR(__xludf.DUMMYFUNCTION("GOOGLETRANSLATE(D:D,""auto"",""en"")"),"Morant copy Harden to God")</f>
        <v>Morant copy Harden to God</v>
      </c>
      <c r="D219" s="4" t="s">
        <v>362</v>
      </c>
      <c r="E219" s="4">
        <v>7972983.0</v>
      </c>
      <c r="F219" s="4">
        <v>18.0</v>
      </c>
      <c r="G219" s="4" t="s">
        <v>363</v>
      </c>
    </row>
    <row r="220">
      <c r="A220" s="1">
        <v>218.0</v>
      </c>
      <c r="B220" s="4" t="s">
        <v>337</v>
      </c>
      <c r="C220" s="4" t="str">
        <f>IFERROR(__xludf.DUMMYFUNCTION("GOOGLETRANSLATE(D:D,""auto"",""en"")"),"Wu Lei Li Tie to win glory for the Chinese football")</f>
        <v>Wu Lei Li Tie to win glory for the Chinese football</v>
      </c>
      <c r="D220" s="4" t="s">
        <v>364</v>
      </c>
      <c r="E220" s="4">
        <v>7931505.0</v>
      </c>
      <c r="F220" s="4">
        <v>19.0</v>
      </c>
      <c r="G220" s="4" t="s">
        <v>365</v>
      </c>
    </row>
    <row r="221">
      <c r="A221" s="1">
        <v>219.0</v>
      </c>
      <c r="B221" s="4" t="s">
        <v>337</v>
      </c>
      <c r="C221" s="4" t="str">
        <f>IFERROR(__xludf.DUMMYFUNCTION("GOOGLETRANSLATE(D:D,""auto"",""en"")"),"When the children were with dad")</f>
        <v>When the children were with dad</v>
      </c>
      <c r="D221" s="4" t="s">
        <v>366</v>
      </c>
      <c r="E221" s="4">
        <v>7873855.0</v>
      </c>
      <c r="F221" s="4">
        <v>20.0</v>
      </c>
      <c r="G221" s="4" t="s">
        <v>367</v>
      </c>
    </row>
    <row r="222">
      <c r="A222" s="1">
        <v>220.0</v>
      </c>
      <c r="B222" s="4" t="s">
        <v>337</v>
      </c>
      <c r="C222" s="4" t="str">
        <f>IFERROR(__xludf.DUMMYFUNCTION("GOOGLETRANSLATE(D:D,""auto"",""en"")"),"Carrefour Knight infighting")</f>
        <v>Carrefour Knight infighting</v>
      </c>
      <c r="D222" s="4" t="s">
        <v>368</v>
      </c>
      <c r="E222" s="4">
        <v>7692854.0</v>
      </c>
      <c r="F222" s="4">
        <v>21.0</v>
      </c>
      <c r="G222" s="4" t="s">
        <v>369</v>
      </c>
    </row>
    <row r="223">
      <c r="A223" s="1">
        <v>221.0</v>
      </c>
      <c r="B223" s="4" t="s">
        <v>337</v>
      </c>
      <c r="C223" s="4" t="str">
        <f>IFERROR(__xludf.DUMMYFUNCTION("GOOGLETRANSLATE(D:D,""auto"",""en"")"),"Dong and Wang Hailin Lin Tucao")</f>
        <v>Dong and Wang Hailin Lin Tucao</v>
      </c>
      <c r="D223" s="4" t="s">
        <v>370</v>
      </c>
      <c r="E223" s="4">
        <v>7655460.0</v>
      </c>
      <c r="F223" s="4">
        <v>22.0</v>
      </c>
      <c r="G223" s="4" t="s">
        <v>371</v>
      </c>
    </row>
    <row r="224">
      <c r="A224" s="1">
        <v>222.0</v>
      </c>
      <c r="B224" s="4" t="s">
        <v>337</v>
      </c>
      <c r="C224" s="4" t="str">
        <f>IFERROR(__xludf.DUMMYFUNCTION("GOOGLETRANSLATE(D:D,""auto"",""en"")"),"Embassy reminded Chinese citizens in the United States pay attention to safety")</f>
        <v>Embassy reminded Chinese citizens in the United States pay attention to safety</v>
      </c>
      <c r="D224" s="4" t="s">
        <v>372</v>
      </c>
      <c r="E224" s="4">
        <v>7504083.0</v>
      </c>
      <c r="F224" s="4">
        <v>23.0</v>
      </c>
      <c r="G224" s="4" t="s">
        <v>373</v>
      </c>
    </row>
    <row r="225">
      <c r="A225" s="1">
        <v>223.0</v>
      </c>
      <c r="B225" s="4" t="s">
        <v>337</v>
      </c>
      <c r="C225" s="4" t="str">
        <f>IFERROR(__xludf.DUMMYFUNCTION("GOOGLETRANSLATE(D:D,""auto"",""en"")"),"Annie down on one knee to marry Qin Hao")</f>
        <v>Annie down on one knee to marry Qin Hao</v>
      </c>
      <c r="D225" s="4" t="s">
        <v>374</v>
      </c>
      <c r="E225" s="4">
        <v>7363257.0</v>
      </c>
      <c r="F225" s="4">
        <v>24.0</v>
      </c>
      <c r="G225" s="4" t="s">
        <v>375</v>
      </c>
    </row>
    <row r="226">
      <c r="A226" s="1">
        <v>224.0</v>
      </c>
      <c r="B226" s="4" t="s">
        <v>337</v>
      </c>
      <c r="C226" s="4" t="str">
        <f>IFERROR(__xludf.DUMMYFUNCTION("GOOGLETRANSLATE(D:D,""auto"",""en"")"),"Trump said the US military air strikes to stop the war")</f>
        <v>Trump said the US military air strikes to stop the war</v>
      </c>
      <c r="D226" s="4" t="s">
        <v>259</v>
      </c>
      <c r="E226" s="4">
        <v>7321953.0</v>
      </c>
      <c r="F226" s="4">
        <v>25.0</v>
      </c>
      <c r="G226" s="4" t="s">
        <v>260</v>
      </c>
    </row>
    <row r="227">
      <c r="A227" s="1">
        <v>225.0</v>
      </c>
      <c r="B227" s="4" t="s">
        <v>337</v>
      </c>
      <c r="C227" s="4" t="str">
        <f>IFERROR(__xludf.DUMMYFUNCTION("GOOGLETRANSLATE(D:D,""auto"",""en"")"),"Leadership was urging people to drink alcohol poisoning caused death")</f>
        <v>Leadership was urging people to drink alcohol poisoning caused death</v>
      </c>
      <c r="D227" s="4" t="s">
        <v>376</v>
      </c>
      <c r="E227" s="4">
        <v>7318432.0</v>
      </c>
      <c r="F227" s="4">
        <v>26.0</v>
      </c>
      <c r="G227" s="4" t="s">
        <v>377</v>
      </c>
    </row>
    <row r="228">
      <c r="A228" s="1">
        <v>226.0</v>
      </c>
      <c r="B228" s="4" t="s">
        <v>337</v>
      </c>
      <c r="C228" s="4" t="str">
        <f>IFERROR(__xludf.DUMMYFUNCTION("GOOGLETRANSLATE(D:D,""auto"",""en"")"),"7 stools call Deng purple chess")</f>
        <v>7 stools call Deng purple chess</v>
      </c>
      <c r="D228" s="4" t="s">
        <v>378</v>
      </c>
      <c r="E228" s="4">
        <v>7308169.0</v>
      </c>
      <c r="F228" s="4">
        <v>27.0</v>
      </c>
      <c r="G228" s="4" t="s">
        <v>379</v>
      </c>
    </row>
    <row r="229">
      <c r="A229" s="1">
        <v>227.0</v>
      </c>
      <c r="B229" s="4" t="s">
        <v>337</v>
      </c>
      <c r="C229" s="4" t="str">
        <f>IFERROR(__xludf.DUMMYFUNCTION("GOOGLETRANSLATE(D:D,""auto"",""en"")"),"Zheng Shuang UN speech vlog")</f>
        <v>Zheng Shuang UN speech vlog</v>
      </c>
      <c r="D229" s="4" t="s">
        <v>380</v>
      </c>
      <c r="E229" s="4">
        <v>7277304.0</v>
      </c>
      <c r="F229" s="4">
        <v>28.0</v>
      </c>
      <c r="G229" s="4" t="s">
        <v>381</v>
      </c>
    </row>
    <row r="230">
      <c r="A230" s="1">
        <v>228.0</v>
      </c>
      <c r="B230" s="4" t="s">
        <v>337</v>
      </c>
      <c r="C230" s="4" t="str">
        <f>IFERROR(__xludf.DUMMYFUNCTION("GOOGLETRANSLATE(D:D,""auto"",""en"")"),"Pombo according to Tucao hot rolling")</f>
        <v>Pombo according to Tucao hot rolling</v>
      </c>
      <c r="D230" s="4" t="s">
        <v>382</v>
      </c>
      <c r="E230" s="4">
        <v>7214832.0</v>
      </c>
      <c r="F230" s="4">
        <v>29.0</v>
      </c>
      <c r="G230" s="4" t="s">
        <v>383</v>
      </c>
    </row>
    <row r="231">
      <c r="A231" s="1">
        <v>229.0</v>
      </c>
      <c r="B231" s="4" t="s">
        <v>337</v>
      </c>
      <c r="C231" s="4" t="str">
        <f>IFERROR(__xludf.DUMMYFUNCTION("GOOGLETRANSLATE(D:D,""auto"",""en"")"),"When your mother asks you home for dinner it")</f>
        <v>When your mother asks you home for dinner it</v>
      </c>
      <c r="D231" s="4" t="s">
        <v>216</v>
      </c>
      <c r="E231" s="4">
        <v>7124206.0</v>
      </c>
      <c r="F231" s="4">
        <v>30.0</v>
      </c>
      <c r="G231" s="4" t="s">
        <v>217</v>
      </c>
    </row>
    <row r="232">
      <c r="A232" s="1">
        <v>230.0</v>
      </c>
      <c r="B232" s="4" t="s">
        <v>337</v>
      </c>
      <c r="C232" s="4" t="str">
        <f>IFERROR(__xludf.DUMMYFUNCTION("GOOGLETRANSLATE(D:D,""auto"",""en"")"),"Zhengzhou snow")</f>
        <v>Zhengzhou snow</v>
      </c>
      <c r="D232" s="4" t="s">
        <v>384</v>
      </c>
      <c r="E232" s="4">
        <v>7118288.0</v>
      </c>
      <c r="F232" s="4">
        <v>31.0</v>
      </c>
      <c r="G232" s="4" t="s">
        <v>385</v>
      </c>
    </row>
    <row r="233">
      <c r="A233" s="1">
        <v>231.0</v>
      </c>
      <c r="B233" s="4" t="s">
        <v>337</v>
      </c>
      <c r="C233" s="4" t="str">
        <f>IFERROR(__xludf.DUMMYFUNCTION("GOOGLETRANSLATE(D:D,""auto"",""en"")"),"Jinfu Jiang Uruguay responded to prosecute ex-girlfriend")</f>
        <v>Jinfu Jiang Uruguay responded to prosecute ex-girlfriend</v>
      </c>
      <c r="D233" s="4" t="s">
        <v>265</v>
      </c>
      <c r="E233" s="4">
        <v>7099570.0</v>
      </c>
      <c r="F233" s="4">
        <v>32.0</v>
      </c>
      <c r="G233" s="4" t="s">
        <v>266</v>
      </c>
    </row>
    <row r="234">
      <c r="A234" s="1">
        <v>232.0</v>
      </c>
      <c r="B234" s="4" t="s">
        <v>337</v>
      </c>
      <c r="C234" s="4" t="str">
        <f>IFERROR(__xludf.DUMMYFUNCTION("GOOGLETRANSLATE(D:D,""auto"",""en"")"),"Chongqing Bang Bang to carry the goods to carry out a suite")</f>
        <v>Chongqing Bang Bang to carry the goods to carry out a suite</v>
      </c>
      <c r="D234" s="4" t="s">
        <v>386</v>
      </c>
      <c r="E234" s="4">
        <v>7034187.0</v>
      </c>
      <c r="F234" s="4">
        <v>33.0</v>
      </c>
      <c r="G234" s="4" t="s">
        <v>387</v>
      </c>
    </row>
    <row r="235">
      <c r="A235" s="1">
        <v>233.0</v>
      </c>
      <c r="B235" s="4" t="s">
        <v>337</v>
      </c>
      <c r="C235" s="4" t="str">
        <f>IFERROR(__xludf.DUMMYFUNCTION("GOOGLETRANSLATE(D:D,""auto"",""en"")"),"Chinatown Holmes 3 Roadshow")</f>
        <v>Chinatown Holmes 3 Roadshow</v>
      </c>
      <c r="D235" s="4" t="s">
        <v>388</v>
      </c>
      <c r="E235" s="4">
        <v>6971244.0</v>
      </c>
      <c r="F235" s="4">
        <v>34.0</v>
      </c>
      <c r="G235" s="4" t="s">
        <v>389</v>
      </c>
    </row>
    <row r="236">
      <c r="A236" s="1">
        <v>234.0</v>
      </c>
      <c r="B236" s="4" t="s">
        <v>337</v>
      </c>
      <c r="C236" s="4" t="str">
        <f>IFERROR(__xludf.DUMMYFUNCTION("GOOGLETRANSLATE(D:D,""auto"",""en"")"),"Wu Lei and his own handshake")</f>
        <v>Wu Lei and his own handshake</v>
      </c>
      <c r="D236" s="4" t="s">
        <v>289</v>
      </c>
      <c r="E236" s="4">
        <v>6939095.0</v>
      </c>
      <c r="F236" s="4">
        <v>35.0</v>
      </c>
      <c r="G236" s="4" t="s">
        <v>290</v>
      </c>
    </row>
    <row r="237">
      <c r="A237" s="1">
        <v>235.0</v>
      </c>
      <c r="B237" s="4" t="s">
        <v>337</v>
      </c>
      <c r="C237" s="4" t="str">
        <f>IFERROR(__xludf.DUMMYFUNCTION("GOOGLETRANSLATE(D:D,""auto"",""en"")"),"Zhao Liying Tucao fans fart rainbows")</f>
        <v>Zhao Liying Tucao fans fart rainbows</v>
      </c>
      <c r="D237" s="4" t="s">
        <v>329</v>
      </c>
      <c r="E237" s="4">
        <v>6874009.0</v>
      </c>
      <c r="F237" s="4">
        <v>36.0</v>
      </c>
      <c r="G237" s="4" t="s">
        <v>330</v>
      </c>
    </row>
    <row r="238">
      <c r="A238" s="1">
        <v>236.0</v>
      </c>
      <c r="B238" s="4" t="s">
        <v>337</v>
      </c>
      <c r="C238" s="4" t="str">
        <f>IFERROR(__xludf.DUMMYFUNCTION("GOOGLETRANSLATE(D:D,""auto"",""en"")"),"Li Landi cry")</f>
        <v>Li Landi cry</v>
      </c>
      <c r="D238" s="4" t="s">
        <v>319</v>
      </c>
      <c r="E238" s="4">
        <v>6807236.0</v>
      </c>
      <c r="F238" s="4">
        <v>37.0</v>
      </c>
      <c r="G238" s="4" t="s">
        <v>320</v>
      </c>
    </row>
    <row r="239">
      <c r="A239" s="1">
        <v>237.0</v>
      </c>
      <c r="B239" s="4" t="s">
        <v>337</v>
      </c>
      <c r="C239" s="4" t="str">
        <f>IFERROR(__xludf.DUMMYFUNCTION("GOOGLETRANSLATE(D:D,""auto"",""en"")"),"Deng purple chess comment Luhan")</f>
        <v>Deng purple chess comment Luhan</v>
      </c>
      <c r="D239" s="4" t="s">
        <v>390</v>
      </c>
      <c r="E239" s="4">
        <v>6797119.0</v>
      </c>
      <c r="F239" s="4">
        <v>38.0</v>
      </c>
      <c r="G239" s="4" t="s">
        <v>391</v>
      </c>
    </row>
    <row r="240">
      <c r="A240" s="1">
        <v>238.0</v>
      </c>
      <c r="B240" s="4" t="s">
        <v>337</v>
      </c>
      <c r="C240" s="4" t="str">
        <f>IFERROR(__xludf.DUMMYFUNCTION("GOOGLETRANSLATE(D:D,""auto"",""en"")"),"Australia fires")</f>
        <v>Australia fires</v>
      </c>
      <c r="D240" s="4" t="s">
        <v>392</v>
      </c>
      <c r="E240" s="4">
        <v>6758279.0</v>
      </c>
      <c r="F240" s="4">
        <v>39.0</v>
      </c>
      <c r="G240" s="4" t="s">
        <v>393</v>
      </c>
    </row>
    <row r="241">
      <c r="A241" s="1">
        <v>239.0</v>
      </c>
      <c r="B241" s="4" t="s">
        <v>337</v>
      </c>
      <c r="C241" s="4" t="str">
        <f>IFERROR(__xludf.DUMMYFUNCTION("GOOGLETRANSLATE(D:D,""auto"",""en"")"),"Amber recalls Shirley")</f>
        <v>Amber recalls Shirley</v>
      </c>
      <c r="D241" s="4" t="s">
        <v>394</v>
      </c>
      <c r="E241" s="4">
        <v>6747685.0</v>
      </c>
      <c r="F241" s="4">
        <v>40.0</v>
      </c>
      <c r="G241" s="4" t="s">
        <v>395</v>
      </c>
    </row>
    <row r="242">
      <c r="A242" s="1">
        <v>240.0</v>
      </c>
      <c r="B242" s="4" t="s">
        <v>337</v>
      </c>
      <c r="C242" s="4" t="str">
        <f>IFERROR(__xludf.DUMMYFUNCTION("GOOGLETRANSLATE(D:D,""auto"",""en"")"),"Air leakage star sanctions passenger information staff")</f>
        <v>Air leakage star sanctions passenger information staff</v>
      </c>
      <c r="D242" s="4" t="s">
        <v>291</v>
      </c>
      <c r="E242" s="4">
        <v>6696525.0</v>
      </c>
      <c r="F242" s="4">
        <v>41.0</v>
      </c>
      <c r="G242" s="4" t="s">
        <v>292</v>
      </c>
    </row>
    <row r="243">
      <c r="A243" s="1">
        <v>241.0</v>
      </c>
      <c r="B243" s="4" t="s">
        <v>337</v>
      </c>
      <c r="C243" s="4" t="str">
        <f>IFERROR(__xludf.DUMMYFUNCTION("GOOGLETRANSLATE(D:D,""auto"",""en"")"),"In 2020 Blizzard warning")</f>
        <v>In 2020 Blizzard warning</v>
      </c>
      <c r="D243" s="4" t="s">
        <v>396</v>
      </c>
      <c r="E243" s="4">
        <v>6643739.0</v>
      </c>
      <c r="F243" s="4">
        <v>42.0</v>
      </c>
      <c r="G243" s="4" t="s">
        <v>397</v>
      </c>
    </row>
    <row r="244">
      <c r="A244" s="1">
        <v>242.0</v>
      </c>
      <c r="B244" s="4" t="s">
        <v>337</v>
      </c>
      <c r="C244" s="4" t="str">
        <f>IFERROR(__xludf.DUMMYFUNCTION("GOOGLETRANSLATE(D:D,""auto"",""en"")"),"2020 Blizzard warning")</f>
        <v>2020 Blizzard warning</v>
      </c>
      <c r="D244" s="4" t="s">
        <v>398</v>
      </c>
      <c r="E244" s="4">
        <v>6527713.0</v>
      </c>
      <c r="F244" s="4">
        <v>43.0</v>
      </c>
      <c r="G244" s="4" t="s">
        <v>399</v>
      </c>
    </row>
    <row r="245">
      <c r="A245" s="1">
        <v>243.0</v>
      </c>
      <c r="B245" s="4" t="s">
        <v>337</v>
      </c>
      <c r="C245" s="4" t="str">
        <f>IFERROR(__xludf.DUMMYFUNCTION("GOOGLETRANSLATE(D:D,""auto"",""en"")"),"Adele lost")</f>
        <v>Adele lost</v>
      </c>
      <c r="D245" s="4" t="s">
        <v>400</v>
      </c>
      <c r="E245" s="4">
        <v>6493222.0</v>
      </c>
      <c r="F245" s="4">
        <v>44.0</v>
      </c>
      <c r="G245" s="4" t="s">
        <v>401</v>
      </c>
    </row>
    <row r="246">
      <c r="A246" s="1">
        <v>244.0</v>
      </c>
      <c r="B246" s="4" t="s">
        <v>337</v>
      </c>
      <c r="C246" s="4" t="str">
        <f>IFERROR(__xludf.DUMMYFUNCTION("GOOGLETRANSLATE(D:D,""auto"",""en"")"),"Zheng Shuang Review")</f>
        <v>Zheng Shuang Review</v>
      </c>
      <c r="D246" s="4" t="s">
        <v>402</v>
      </c>
      <c r="E246" s="4">
        <v>6440078.0</v>
      </c>
      <c r="F246" s="4">
        <v>45.0</v>
      </c>
      <c r="G246" s="4" t="s">
        <v>403</v>
      </c>
    </row>
    <row r="247">
      <c r="A247" s="1">
        <v>245.0</v>
      </c>
      <c r="B247" s="4" t="s">
        <v>337</v>
      </c>
      <c r="C247" s="4" t="str">
        <f>IFERROR(__xludf.DUMMYFUNCTION("GOOGLETRANSLATE(D:D,""auto"",""en"")"),"State influx of foreigners in the eyes of a single product")</f>
        <v>State influx of foreigners in the eyes of a single product</v>
      </c>
      <c r="D247" s="4" t="s">
        <v>404</v>
      </c>
      <c r="E247" s="4">
        <v>6421860.0</v>
      </c>
      <c r="F247" s="4">
        <v>46.0</v>
      </c>
      <c r="G247" s="4" t="s">
        <v>405</v>
      </c>
    </row>
    <row r="248">
      <c r="A248" s="1">
        <v>246.0</v>
      </c>
      <c r="B248" s="4" t="s">
        <v>337</v>
      </c>
      <c r="C248" s="4" t="str">
        <f>IFERROR(__xludf.DUMMYFUNCTION("GOOGLETRANSLATE(D:D,""auto"",""en"")"),"Tang Fei sent sixty thousand red envelopes to respond")</f>
        <v>Tang Fei sent sixty thousand red envelopes to respond</v>
      </c>
      <c r="D248" s="4" t="s">
        <v>206</v>
      </c>
      <c r="E248" s="4">
        <v>6356715.0</v>
      </c>
      <c r="F248" s="4">
        <v>47.0</v>
      </c>
      <c r="G248" s="4" t="s">
        <v>207</v>
      </c>
    </row>
    <row r="249">
      <c r="A249" s="1">
        <v>247.0</v>
      </c>
      <c r="B249" s="4" t="s">
        <v>337</v>
      </c>
      <c r="C249" s="4" t="str">
        <f>IFERROR(__xludf.DUMMYFUNCTION("GOOGLETRANSLATE(D:D,""auto"",""en"")"),"CBA coach of Jiangsu conflict with the fans a ticket")</f>
        <v>CBA coach of Jiangsu conflict with the fans a ticket</v>
      </c>
      <c r="D249" s="4" t="s">
        <v>335</v>
      </c>
      <c r="E249" s="4">
        <v>6328601.0</v>
      </c>
      <c r="F249" s="4">
        <v>48.0</v>
      </c>
      <c r="G249" s="4" t="s">
        <v>336</v>
      </c>
    </row>
    <row r="250">
      <c r="A250" s="1">
        <v>248.0</v>
      </c>
      <c r="B250" s="4" t="s">
        <v>337</v>
      </c>
      <c r="C250" s="4" t="str">
        <f>IFERROR(__xludf.DUMMYFUNCTION("GOOGLETRANSLATE(D:D,""auto"",""en"")"),"Carter leap in four years")</f>
        <v>Carter leap in four years</v>
      </c>
      <c r="D250" s="4" t="s">
        <v>406</v>
      </c>
      <c r="E250" s="4">
        <v>6314855.0</v>
      </c>
      <c r="F250" s="4">
        <v>49.0</v>
      </c>
      <c r="G250" s="4" t="s">
        <v>407</v>
      </c>
    </row>
    <row r="251">
      <c r="A251" s="1">
        <v>249.0</v>
      </c>
      <c r="B251" s="4" t="s">
        <v>337</v>
      </c>
      <c r="C251" s="4" t="str">
        <f>IFERROR(__xludf.DUMMYFUNCTION("GOOGLETRANSLATE(D:D,""auto"",""en"")"),"United States more than 70 anti-war demonstrations held in the city")</f>
        <v>United States more than 70 anti-war demonstrations held in the city</v>
      </c>
      <c r="D251" s="4" t="s">
        <v>408</v>
      </c>
      <c r="E251" s="4">
        <v>6309411.0</v>
      </c>
      <c r="F251" s="4">
        <v>50.0</v>
      </c>
      <c r="G251" s="4" t="s">
        <v>409</v>
      </c>
    </row>
    <row r="252">
      <c r="A252" s="1">
        <v>250.0</v>
      </c>
      <c r="B252" s="4" t="s">
        <v>410</v>
      </c>
      <c r="C252" s="4" t="str">
        <f>IFERROR(__xludf.DUMMYFUNCTION("GOOGLETRANSLATE(D:D,""auto"",""en"")"),"Shovel angrily smashing illegal parking Aunt response")</f>
        <v>Shovel angrily smashing illegal parking Aunt response</v>
      </c>
      <c r="D252" s="4" t="s">
        <v>360</v>
      </c>
      <c r="E252" s="4">
        <v>1.3048151E7</v>
      </c>
      <c r="F252" s="4">
        <v>1.0</v>
      </c>
      <c r="G252" s="4" t="s">
        <v>361</v>
      </c>
    </row>
    <row r="253">
      <c r="A253" s="1">
        <v>251.0</v>
      </c>
      <c r="B253" s="4" t="s">
        <v>410</v>
      </c>
      <c r="C253" s="4" t="str">
        <f>IFERROR(__xludf.DUMMYFUNCTION("GOOGLETRANSLATE(D:D,""auto"",""en"")"),"Zhou Erke love")</f>
        <v>Zhou Erke love</v>
      </c>
      <c r="D253" s="4" t="s">
        <v>411</v>
      </c>
      <c r="E253" s="4">
        <v>1.2319158E7</v>
      </c>
      <c r="F253" s="4">
        <v>2.0</v>
      </c>
      <c r="G253" s="4" t="s">
        <v>412</v>
      </c>
    </row>
    <row r="254">
      <c r="A254" s="1">
        <v>252.0</v>
      </c>
      <c r="B254" s="4" t="s">
        <v>410</v>
      </c>
      <c r="C254" s="4" t="str">
        <f>IFERROR(__xludf.DUMMYFUNCTION("GOOGLETRANSLATE(D:D,""auto"",""en"")"),"When Li Jiaqi met Han")</f>
        <v>When Li Jiaqi met Han</v>
      </c>
      <c r="D254" s="4" t="s">
        <v>413</v>
      </c>
      <c r="E254" s="4">
        <v>8915988.0</v>
      </c>
      <c r="F254" s="4">
        <v>3.0</v>
      </c>
      <c r="G254" s="4" t="s">
        <v>414</v>
      </c>
    </row>
    <row r="255">
      <c r="A255" s="1">
        <v>253.0</v>
      </c>
      <c r="B255" s="4" t="s">
        <v>410</v>
      </c>
      <c r="C255" s="4" t="str">
        <f>IFERROR(__xludf.DUMMYFUNCTION("GOOGLETRANSLATE(D:D,""auto"",""en"")"),"7 stools call Deng purple chess")</f>
        <v>7 stools call Deng purple chess</v>
      </c>
      <c r="D255" s="4" t="s">
        <v>378</v>
      </c>
      <c r="E255" s="4">
        <v>8672299.0</v>
      </c>
      <c r="F255" s="4">
        <v>4.0</v>
      </c>
      <c r="G255" s="4" t="s">
        <v>379</v>
      </c>
    </row>
    <row r="256">
      <c r="A256" s="1">
        <v>254.0</v>
      </c>
      <c r="B256" s="4" t="s">
        <v>410</v>
      </c>
      <c r="C256" s="4" t="str">
        <f>IFERROR(__xludf.DUMMYFUNCTION("GOOGLETRANSLATE(D:D,""auto"",""en"")"),"Xiaozhan silver hair styling")</f>
        <v>Xiaozhan silver hair styling</v>
      </c>
      <c r="D256" s="4" t="s">
        <v>415</v>
      </c>
      <c r="E256" s="4">
        <v>8625855.0</v>
      </c>
      <c r="F256" s="4">
        <v>5.0</v>
      </c>
      <c r="G256" s="4" t="s">
        <v>416</v>
      </c>
    </row>
    <row r="257">
      <c r="A257" s="1">
        <v>255.0</v>
      </c>
      <c r="B257" s="4" t="s">
        <v>410</v>
      </c>
      <c r="C257" s="4" t="str">
        <f>IFERROR(__xludf.DUMMYFUNCTION("GOOGLETRANSLATE(D:D,""auto"",""en"")"),"Jolin Tsai concert liable drunk man downtown market")</f>
        <v>Jolin Tsai concert liable drunk man downtown market</v>
      </c>
      <c r="D257" s="4" t="s">
        <v>417</v>
      </c>
      <c r="E257" s="4">
        <v>8588258.0</v>
      </c>
      <c r="F257" s="4">
        <v>6.0</v>
      </c>
      <c r="G257" s="4" t="s">
        <v>418</v>
      </c>
    </row>
    <row r="258">
      <c r="A258" s="1">
        <v>256.0</v>
      </c>
      <c r="B258" s="4" t="s">
        <v>410</v>
      </c>
      <c r="C258" s="4" t="str">
        <f>IFERROR(__xludf.DUMMYFUNCTION("GOOGLETRANSLATE(D:D,""auto"",""en"")"),"Chen Linong wear a wedding dress")</f>
        <v>Chen Linong wear a wedding dress</v>
      </c>
      <c r="D258" s="4" t="s">
        <v>354</v>
      </c>
      <c r="E258" s="4">
        <v>8435815.0</v>
      </c>
      <c r="F258" s="4">
        <v>7.0</v>
      </c>
      <c r="G258" s="4" t="s">
        <v>355</v>
      </c>
    </row>
    <row r="259">
      <c r="A259" s="1">
        <v>257.0</v>
      </c>
      <c r="B259" s="4" t="s">
        <v>410</v>
      </c>
      <c r="C259" s="4" t="str">
        <f>IFERROR(__xludf.DUMMYFUNCTION("GOOGLETRANSLATE(D:D,""auto"",""en"")"),"Jennie double tail")</f>
        <v>Jennie double tail</v>
      </c>
      <c r="D259" s="4" t="s">
        <v>356</v>
      </c>
      <c r="E259" s="4">
        <v>8229902.0</v>
      </c>
      <c r="F259" s="4">
        <v>8.0</v>
      </c>
      <c r="G259" s="4" t="s">
        <v>357</v>
      </c>
    </row>
    <row r="260">
      <c r="A260" s="1">
        <v>258.0</v>
      </c>
      <c r="B260" s="4" t="s">
        <v>410</v>
      </c>
      <c r="C260" s="4" t="str">
        <f>IFERROR(__xludf.DUMMYFUNCTION("GOOGLETRANSLATE(D:D,""auto"",""en"")"),"Celina Jade sidelines Han kissing scenes")</f>
        <v>Celina Jade sidelines Han kissing scenes</v>
      </c>
      <c r="D260" s="4" t="s">
        <v>419</v>
      </c>
      <c r="E260" s="4">
        <v>8203500.0</v>
      </c>
      <c r="F260" s="4">
        <v>9.0</v>
      </c>
      <c r="G260" s="4" t="s">
        <v>420</v>
      </c>
    </row>
    <row r="261">
      <c r="A261" s="1">
        <v>259.0</v>
      </c>
      <c r="B261" s="4" t="s">
        <v>410</v>
      </c>
      <c r="C261" s="4" t="str">
        <f>IFERROR(__xludf.DUMMYFUNCTION("GOOGLETRANSLATE(D:D,""auto"",""en"")"),"Major General body was transported back to Iran")</f>
        <v>Major General body was transported back to Iran</v>
      </c>
      <c r="D261" s="4" t="s">
        <v>421</v>
      </c>
      <c r="E261" s="4">
        <v>7990234.0</v>
      </c>
      <c r="F261" s="4">
        <v>10.0</v>
      </c>
      <c r="G261" s="4" t="s">
        <v>422</v>
      </c>
    </row>
    <row r="262">
      <c r="A262" s="1">
        <v>260.0</v>
      </c>
      <c r="B262" s="4" t="s">
        <v>410</v>
      </c>
      <c r="C262" s="4" t="str">
        <f>IFERROR(__xludf.DUMMYFUNCTION("GOOGLETRANSLATE(D:D,""auto"",""en"")"),"Lee now exit way")</f>
        <v>Lee now exit way</v>
      </c>
      <c r="D262" s="4" t="s">
        <v>346</v>
      </c>
      <c r="E262" s="4">
        <v>7815413.0</v>
      </c>
      <c r="F262" s="4">
        <v>11.0</v>
      </c>
      <c r="G262" s="4" t="s">
        <v>347</v>
      </c>
    </row>
    <row r="263">
      <c r="A263" s="1">
        <v>261.0</v>
      </c>
      <c r="B263" s="4" t="s">
        <v>410</v>
      </c>
      <c r="C263" s="4" t="str">
        <f>IFERROR(__xludf.DUMMYFUNCTION("GOOGLETRANSLATE(D:D,""auto"",""en"")"),"Xiaozhan Liu Yuning karting")</f>
        <v>Xiaozhan Liu Yuning karting</v>
      </c>
      <c r="D263" s="4" t="s">
        <v>423</v>
      </c>
      <c r="E263" s="4">
        <v>7666575.0</v>
      </c>
      <c r="F263" s="4">
        <v>12.0</v>
      </c>
      <c r="G263" s="4" t="s">
        <v>424</v>
      </c>
    </row>
    <row r="264">
      <c r="A264" s="1">
        <v>262.0</v>
      </c>
      <c r="B264" s="4" t="s">
        <v>410</v>
      </c>
      <c r="C264" s="4" t="str">
        <f>IFERROR(__xludf.DUMMYFUNCTION("GOOGLETRANSLATE(D:D,""auto"",""en"")"),"Deng purple chess deep V dress")</f>
        <v>Deng purple chess deep V dress</v>
      </c>
      <c r="D264" s="4" t="s">
        <v>425</v>
      </c>
      <c r="E264" s="4">
        <v>7589501.0</v>
      </c>
      <c r="F264" s="4">
        <v>13.0</v>
      </c>
      <c r="G264" s="4" t="s">
        <v>426</v>
      </c>
    </row>
    <row r="265">
      <c r="A265" s="1">
        <v>263.0</v>
      </c>
      <c r="B265" s="4" t="s">
        <v>410</v>
      </c>
      <c r="C265" s="4" t="str">
        <f>IFERROR(__xludf.DUMMYFUNCTION("GOOGLETRANSLATE(D:D,""auto"",""en"")"),"Blue Ying Ying was delayed acting singer")</f>
        <v>Blue Ying Ying was delayed acting singer</v>
      </c>
      <c r="D265" s="4" t="s">
        <v>427</v>
      </c>
      <c r="E265" s="4">
        <v>7571107.0</v>
      </c>
      <c r="F265" s="4">
        <v>14.0</v>
      </c>
      <c r="G265" s="4" t="s">
        <v>428</v>
      </c>
    </row>
    <row r="266">
      <c r="A266" s="1">
        <v>264.0</v>
      </c>
      <c r="B266" s="4" t="s">
        <v>410</v>
      </c>
      <c r="C266" s="4" t="str">
        <f>IFERROR(__xludf.DUMMYFUNCTION("GOOGLETRANSLATE(D:D,""auto"",""en"")"),"The stage is everywhere")</f>
        <v>The stage is everywhere</v>
      </c>
      <c r="D266" s="4" t="s">
        <v>188</v>
      </c>
      <c r="E266" s="4">
        <v>7543502.0</v>
      </c>
      <c r="F266" s="4">
        <v>15.0</v>
      </c>
      <c r="G266" s="4" t="s">
        <v>189</v>
      </c>
    </row>
    <row r="267">
      <c r="A267" s="1">
        <v>265.0</v>
      </c>
      <c r="B267" s="4" t="s">
        <v>410</v>
      </c>
      <c r="C267" s="4" t="str">
        <f>IFERROR(__xludf.DUMMYFUNCTION("GOOGLETRANSLATE(D:D,""auto"",""en"")"),"Shake inCity year ending ceremony")</f>
        <v>Shake inCity year ending ceremony</v>
      </c>
      <c r="D267" s="4" t="s">
        <v>429</v>
      </c>
      <c r="E267" s="4">
        <v>7503705.0</v>
      </c>
      <c r="F267" s="4">
        <v>16.0</v>
      </c>
      <c r="G267" s="4" t="s">
        <v>430</v>
      </c>
    </row>
    <row r="268">
      <c r="A268" s="1">
        <v>266.0</v>
      </c>
      <c r="B268" s="4" t="s">
        <v>410</v>
      </c>
      <c r="C268" s="4" t="str">
        <f>IFERROR(__xludf.DUMMYFUNCTION("GOOGLETRANSLATE(D:D,""auto"",""en"")"),"Carrefour Knight infighting")</f>
        <v>Carrefour Knight infighting</v>
      </c>
      <c r="D268" s="4" t="s">
        <v>368</v>
      </c>
      <c r="E268" s="4">
        <v>7476943.0</v>
      </c>
      <c r="F268" s="4">
        <v>17.0</v>
      </c>
      <c r="G268" s="4" t="s">
        <v>369</v>
      </c>
    </row>
    <row r="269">
      <c r="A269" s="1">
        <v>267.0</v>
      </c>
      <c r="B269" s="4" t="s">
        <v>410</v>
      </c>
      <c r="C269" s="4" t="str">
        <f>IFERROR(__xludf.DUMMYFUNCTION("GOOGLETRANSLATE(D:D,""auto"",""en"")"),"Sean Sun is Batui hair hostess")</f>
        <v>Sean Sun is Batui hair hostess</v>
      </c>
      <c r="D269" s="4" t="s">
        <v>431</v>
      </c>
      <c r="E269" s="4">
        <v>7433743.0</v>
      </c>
      <c r="F269" s="4">
        <v>18.0</v>
      </c>
      <c r="G269" s="4" t="s">
        <v>432</v>
      </c>
    </row>
    <row r="270">
      <c r="A270" s="1">
        <v>268.0</v>
      </c>
      <c r="B270" s="4" t="s">
        <v>410</v>
      </c>
      <c r="C270" s="4" t="str">
        <f>IFERROR(__xludf.DUMMYFUNCTION("GOOGLETRANSLATE(D:D,""auto"",""en"")"),"Dear uniformed officer declared")</f>
        <v>Dear uniformed officer declared</v>
      </c>
      <c r="D270" s="4" t="s">
        <v>433</v>
      </c>
      <c r="E270" s="4">
        <v>7398531.0</v>
      </c>
      <c r="F270" s="4">
        <v>19.0</v>
      </c>
      <c r="G270" s="4" t="s">
        <v>434</v>
      </c>
    </row>
    <row r="271">
      <c r="A271" s="1">
        <v>269.0</v>
      </c>
      <c r="B271" s="4" t="s">
        <v>410</v>
      </c>
      <c r="C271" s="4" t="str">
        <f>IFERROR(__xludf.DUMMYFUNCTION("GOOGLETRANSLATE(D:D,""auto"",""en"")"),"High-speed rail occasional Xu Zheng")</f>
        <v>High-speed rail occasional Xu Zheng</v>
      </c>
      <c r="D271" s="4" t="s">
        <v>435</v>
      </c>
      <c r="E271" s="4">
        <v>7306507.0</v>
      </c>
      <c r="F271" s="4">
        <v>20.0</v>
      </c>
      <c r="G271" s="4" t="s">
        <v>436</v>
      </c>
    </row>
    <row r="272">
      <c r="A272" s="1">
        <v>270.0</v>
      </c>
      <c r="B272" s="4" t="s">
        <v>410</v>
      </c>
      <c r="C272" s="4" t="str">
        <f>IFERROR(__xludf.DUMMYFUNCTION("GOOGLETRANSLATE(D:D,""auto"",""en"")"),"Xiaozhan Angela cry")</f>
        <v>Xiaozhan Angela cry</v>
      </c>
      <c r="D272" s="4" t="s">
        <v>437</v>
      </c>
      <c r="E272" s="4">
        <v>7301102.0</v>
      </c>
      <c r="F272" s="4">
        <v>21.0</v>
      </c>
      <c r="G272" s="4" t="s">
        <v>438</v>
      </c>
    </row>
    <row r="273">
      <c r="A273" s="1">
        <v>271.0</v>
      </c>
      <c r="B273" s="4" t="s">
        <v>410</v>
      </c>
      <c r="C273" s="4" t="str">
        <f>IFERROR(__xludf.DUMMYFUNCTION("GOOGLETRANSLATE(D:D,""auto"",""en"")"),"Lisa under the domestic scene")</f>
        <v>Lisa under the domestic scene</v>
      </c>
      <c r="D273" s="4" t="s">
        <v>340</v>
      </c>
      <c r="E273" s="4">
        <v>7263473.0</v>
      </c>
      <c r="F273" s="4">
        <v>22.0</v>
      </c>
      <c r="G273" s="4" t="s">
        <v>341</v>
      </c>
    </row>
    <row r="274">
      <c r="A274" s="1">
        <v>272.0</v>
      </c>
      <c r="B274" s="4" t="s">
        <v>410</v>
      </c>
      <c r="C274" s="4" t="str">
        <f>IFERROR(__xludf.DUMMYFUNCTION("GOOGLETRANSLATE(D:D,""auto"",""en"")"),"National Fire pull Song Competition")</f>
        <v>National Fire pull Song Competition</v>
      </c>
      <c r="D274" s="4" t="s">
        <v>439</v>
      </c>
      <c r="E274" s="4">
        <v>7216029.0</v>
      </c>
      <c r="F274" s="4">
        <v>23.0</v>
      </c>
      <c r="G274" s="4" t="s">
        <v>440</v>
      </c>
    </row>
    <row r="275">
      <c r="A275" s="1">
        <v>273.0</v>
      </c>
      <c r="B275" s="4" t="s">
        <v>410</v>
      </c>
      <c r="C275" s="4" t="str">
        <f>IFERROR(__xludf.DUMMYFUNCTION("GOOGLETRANSLATE(D:D,""auto"",""en"")"),"Iran announced its withdrawal from the Iranian nuclear deal")</f>
        <v>Iran announced its withdrawal from the Iranian nuclear deal</v>
      </c>
      <c r="D275" s="4" t="s">
        <v>441</v>
      </c>
      <c r="E275" s="4">
        <v>7107642.0</v>
      </c>
      <c r="F275" s="4">
        <v>24.0</v>
      </c>
      <c r="G275" s="4" t="s">
        <v>442</v>
      </c>
    </row>
    <row r="276">
      <c r="A276" s="1">
        <v>274.0</v>
      </c>
      <c r="B276" s="4" t="s">
        <v>410</v>
      </c>
      <c r="C276" s="4" t="str">
        <f>IFERROR(__xludf.DUMMYFUNCTION("GOOGLETRANSLATE(D:D,""auto"",""en"")"),"Zheng Shuang Review")</f>
        <v>Zheng Shuang Review</v>
      </c>
      <c r="D276" s="4" t="s">
        <v>402</v>
      </c>
      <c r="E276" s="4">
        <v>7084746.0</v>
      </c>
      <c r="F276" s="4">
        <v>25.0</v>
      </c>
      <c r="G276" s="4" t="s">
        <v>403</v>
      </c>
    </row>
    <row r="277">
      <c r="A277" s="1">
        <v>275.0</v>
      </c>
      <c r="B277" s="4" t="s">
        <v>410</v>
      </c>
      <c r="C277" s="4" t="str">
        <f>IFERROR(__xludf.DUMMYFUNCTION("GOOGLETRANSLATE(D:D,""auto"",""en"")"),"When foreigners encounter foreigners in China")</f>
        <v>When foreigners encounter foreigners in China</v>
      </c>
      <c r="D277" s="4" t="s">
        <v>443</v>
      </c>
      <c r="E277" s="4">
        <v>6768632.0</v>
      </c>
      <c r="F277" s="4">
        <v>26.0</v>
      </c>
      <c r="G277" s="4" t="s">
        <v>444</v>
      </c>
    </row>
    <row r="278">
      <c r="A278" s="1">
        <v>276.0</v>
      </c>
      <c r="B278" s="4" t="s">
        <v>410</v>
      </c>
      <c r="C278" s="4" t="str">
        <f>IFERROR(__xludf.DUMMYFUNCTION("GOOGLETRANSLATE(D:D,""auto"",""en"")"),"Trump US troops will not leave Iraq")</f>
        <v>Trump US troops will not leave Iraq</v>
      </c>
      <c r="D278" s="4" t="s">
        <v>445</v>
      </c>
      <c r="E278" s="4">
        <v>6714648.0</v>
      </c>
      <c r="F278" s="4">
        <v>27.0</v>
      </c>
      <c r="G278" s="4" t="s">
        <v>446</v>
      </c>
    </row>
    <row r="279">
      <c r="A279" s="1">
        <v>277.0</v>
      </c>
      <c r="B279" s="4" t="s">
        <v>410</v>
      </c>
      <c r="C279" s="4" t="str">
        <f>IFERROR(__xludf.DUMMYFUNCTION("GOOGLETRANSLATE(D:D,""auto"",""en"")"),"Kan Kiyoko fancy exaggerated John")</f>
        <v>Kan Kiyoko fancy exaggerated John</v>
      </c>
      <c r="D279" s="4" t="s">
        <v>447</v>
      </c>
      <c r="E279" s="4">
        <v>6689250.0</v>
      </c>
      <c r="F279" s="4">
        <v>28.0</v>
      </c>
      <c r="G279" s="4" t="s">
        <v>448</v>
      </c>
    </row>
    <row r="280">
      <c r="A280" s="1">
        <v>278.0</v>
      </c>
      <c r="B280" s="4" t="s">
        <v>410</v>
      </c>
      <c r="C280" s="4" t="str">
        <f>IFERROR(__xludf.DUMMYFUNCTION("GOOGLETRANSLATE(D:D,""auto"",""en"")"),"Mother was caught stealing clothes shopkeeper pro arm for mercy")</f>
        <v>Mother was caught stealing clothes shopkeeper pro arm for mercy</v>
      </c>
      <c r="D280" s="4" t="s">
        <v>449</v>
      </c>
      <c r="E280" s="4">
        <v>6657016.0</v>
      </c>
      <c r="F280" s="4">
        <v>29.0</v>
      </c>
      <c r="G280" s="4" t="s">
        <v>450</v>
      </c>
    </row>
    <row r="281">
      <c r="A281" s="1">
        <v>279.0</v>
      </c>
      <c r="B281" s="4" t="s">
        <v>410</v>
      </c>
      <c r="C281" s="4" t="str">
        <f>IFERROR(__xludf.DUMMYFUNCTION("GOOGLETRANSLATE(D:D,""auto"",""en"")"),"Armed group wedding on New Year sprinkle sugar")</f>
        <v>Armed group wedding on New Year sprinkle sugar</v>
      </c>
      <c r="D281" s="4" t="s">
        <v>451</v>
      </c>
      <c r="E281" s="4">
        <v>6582149.0</v>
      </c>
      <c r="F281" s="4">
        <v>30.0</v>
      </c>
      <c r="G281" s="4" t="s">
        <v>452</v>
      </c>
    </row>
    <row r="282">
      <c r="A282" s="1">
        <v>280.0</v>
      </c>
      <c r="B282" s="4" t="s">
        <v>410</v>
      </c>
      <c r="C282" s="4" t="str">
        <f>IFERROR(__xludf.DUMMYFUNCTION("GOOGLETRANSLATE(D:D,""auto"",""en"")"),"权志 Dragon Nana Komatsu")</f>
        <v>权志 Dragon Nana Komatsu</v>
      </c>
      <c r="D282" s="4" t="s">
        <v>453</v>
      </c>
      <c r="E282" s="4">
        <v>6569314.0</v>
      </c>
      <c r="F282" s="4">
        <v>31.0</v>
      </c>
      <c r="G282" s="4" t="s">
        <v>454</v>
      </c>
    </row>
    <row r="283">
      <c r="A283" s="1">
        <v>281.0</v>
      </c>
      <c r="B283" s="4" t="s">
        <v>410</v>
      </c>
      <c r="C283" s="4" t="str">
        <f>IFERROR(__xludf.DUMMYFUNCTION("GOOGLETRANSLATE(D:D,""auto"",""en"")"),"White little sister to save myself legend")</f>
        <v>White little sister to save myself legend</v>
      </c>
      <c r="D283" s="4" t="s">
        <v>455</v>
      </c>
      <c r="E283" s="4">
        <v>6539207.0</v>
      </c>
      <c r="F283" s="4">
        <v>32.0</v>
      </c>
      <c r="G283" s="4" t="s">
        <v>456</v>
      </c>
    </row>
    <row r="284">
      <c r="A284" s="1">
        <v>282.0</v>
      </c>
      <c r="B284" s="4" t="s">
        <v>410</v>
      </c>
      <c r="C284" s="4" t="str">
        <f>IFERROR(__xludf.DUMMYFUNCTION("GOOGLETRANSLATE(D:D,""auto"",""en"")"),"Golden Globe")</f>
        <v>Golden Globe</v>
      </c>
      <c r="D284" s="4" t="s">
        <v>457</v>
      </c>
      <c r="E284" s="4">
        <v>6535088.0</v>
      </c>
      <c r="F284" s="4">
        <v>33.0</v>
      </c>
      <c r="G284" s="4" t="s">
        <v>458</v>
      </c>
    </row>
    <row r="285">
      <c r="A285" s="1">
        <v>283.0</v>
      </c>
      <c r="B285" s="4" t="s">
        <v>410</v>
      </c>
      <c r="C285" s="4" t="str">
        <f>IFERROR(__xludf.DUMMYFUNCTION("GOOGLETRANSLATE(D:D,""auto"",""en"")"),"Aunt should aid Chaoyang garbage")</f>
        <v>Aunt should aid Chaoyang garbage</v>
      </c>
      <c r="D285" s="4" t="s">
        <v>459</v>
      </c>
      <c r="E285" s="4">
        <v>6446778.0</v>
      </c>
      <c r="F285" s="4">
        <v>34.0</v>
      </c>
      <c r="G285" s="4" t="s">
        <v>460</v>
      </c>
    </row>
    <row r="286">
      <c r="A286" s="1">
        <v>284.0</v>
      </c>
      <c r="B286" s="4" t="s">
        <v>410</v>
      </c>
      <c r="C286" s="4" t="str">
        <f>IFERROR(__xludf.DUMMYFUNCTION("GOOGLETRANSLATE(D:D,""auto"",""en"")"),"Wu called the Wendy Zhang Lei, let Shige")</f>
        <v>Wu called the Wendy Zhang Lei, let Shige</v>
      </c>
      <c r="D286" s="4" t="s">
        <v>461</v>
      </c>
      <c r="E286" s="4">
        <v>6370178.0</v>
      </c>
      <c r="F286" s="4">
        <v>35.0</v>
      </c>
      <c r="G286" s="4" t="s">
        <v>462</v>
      </c>
    </row>
    <row r="287">
      <c r="A287" s="1">
        <v>285.0</v>
      </c>
      <c r="B287" s="4" t="s">
        <v>410</v>
      </c>
      <c r="C287" s="4" t="str">
        <f>IFERROR(__xludf.DUMMYFUNCTION("GOOGLETRANSLATE(D:D,""auto"",""en"")"),"Disney's version of the red on Long Sa")</f>
        <v>Disney's version of the red on Long Sa</v>
      </c>
      <c r="D287" s="4" t="s">
        <v>463</v>
      </c>
      <c r="E287" s="4">
        <v>6368562.0</v>
      </c>
      <c r="F287" s="4">
        <v>36.0</v>
      </c>
      <c r="G287" s="4" t="s">
        <v>464</v>
      </c>
    </row>
    <row r="288">
      <c r="A288" s="1">
        <v>286.0</v>
      </c>
      <c r="B288" s="4" t="s">
        <v>410</v>
      </c>
      <c r="C288" s="4" t="str">
        <f>IFERROR(__xludf.DUMMYFUNCTION("GOOGLETRANSLATE(D:D,""auto"",""en"")"),"Ma is the principal of the school CEO")</f>
        <v>Ma is the principal of the school CEO</v>
      </c>
      <c r="D288" s="4" t="s">
        <v>465</v>
      </c>
      <c r="E288" s="4">
        <v>6299562.0</v>
      </c>
      <c r="F288" s="4">
        <v>37.0</v>
      </c>
      <c r="G288" s="4" t="s">
        <v>466</v>
      </c>
    </row>
    <row r="289">
      <c r="A289" s="1">
        <v>287.0</v>
      </c>
      <c r="B289" s="4" t="s">
        <v>410</v>
      </c>
      <c r="C289" s="4" t="str">
        <f>IFERROR(__xludf.DUMMYFUNCTION("GOOGLETRANSLATE(D:D,""auto"",""en"")"),"Wang Han has lost son Mu Mu")</f>
        <v>Wang Han has lost son Mu Mu</v>
      </c>
      <c r="D289" s="4" t="s">
        <v>467</v>
      </c>
      <c r="E289" s="4">
        <v>6233069.0</v>
      </c>
      <c r="F289" s="4">
        <v>38.0</v>
      </c>
      <c r="G289" s="4" t="s">
        <v>468</v>
      </c>
    </row>
    <row r="290">
      <c r="A290" s="1">
        <v>288.0</v>
      </c>
      <c r="B290" s="4" t="s">
        <v>410</v>
      </c>
      <c r="C290" s="4" t="str">
        <f>IFERROR(__xludf.DUMMYFUNCTION("GOOGLETRANSLATE(D:D,""auto"",""en"")"),"Wuhan rule out pneumonia of unknown causes SARS pathogen")</f>
        <v>Wuhan rule out pneumonia of unknown causes SARS pathogen</v>
      </c>
      <c r="D290" s="4" t="s">
        <v>469</v>
      </c>
      <c r="E290" s="4">
        <v>6184980.0</v>
      </c>
      <c r="F290" s="4">
        <v>39.0</v>
      </c>
      <c r="G290" s="4" t="s">
        <v>470</v>
      </c>
    </row>
    <row r="291">
      <c r="A291" s="1">
        <v>289.0</v>
      </c>
      <c r="B291" s="4" t="s">
        <v>410</v>
      </c>
      <c r="C291" s="4" t="str">
        <f>IFERROR(__xludf.DUMMYFUNCTION("GOOGLETRANSLATE(D:D,""auto"",""en"")"),"Zhou Zhennan wearing glasses eyelid")</f>
        <v>Zhou Zhennan wearing glasses eyelid</v>
      </c>
      <c r="D291" s="4" t="s">
        <v>471</v>
      </c>
      <c r="E291" s="4">
        <v>6159570.0</v>
      </c>
      <c r="F291" s="4">
        <v>40.0</v>
      </c>
      <c r="G291" s="4" t="s">
        <v>472</v>
      </c>
    </row>
    <row r="292">
      <c r="A292" s="1">
        <v>290.0</v>
      </c>
      <c r="B292" s="4" t="s">
        <v>410</v>
      </c>
      <c r="C292" s="4" t="str">
        <f>IFERROR(__xludf.DUMMYFUNCTION("GOOGLETRANSLATE(D:D,""auto"",""en"")"),"Australia fires")</f>
        <v>Australia fires</v>
      </c>
      <c r="D292" s="4" t="s">
        <v>392</v>
      </c>
      <c r="E292" s="4">
        <v>6088778.0</v>
      </c>
      <c r="F292" s="4">
        <v>41.0</v>
      </c>
      <c r="G292" s="4" t="s">
        <v>393</v>
      </c>
    </row>
    <row r="293">
      <c r="A293" s="1">
        <v>291.0</v>
      </c>
      <c r="B293" s="4" t="s">
        <v>410</v>
      </c>
      <c r="C293" s="4" t="str">
        <f>IFERROR(__xludf.DUMMYFUNCTION("GOOGLETRANSLATE(D:D,""auto"",""en"")"),"Lin Yun children Chinese Intermediate examination")</f>
        <v>Lin Yun children Chinese Intermediate examination</v>
      </c>
      <c r="D293" s="4" t="s">
        <v>473</v>
      </c>
      <c r="E293" s="4">
        <v>6073243.0</v>
      </c>
      <c r="F293" s="4">
        <v>42.0</v>
      </c>
      <c r="G293" s="4" t="s">
        <v>474</v>
      </c>
    </row>
    <row r="294">
      <c r="A294" s="1">
        <v>292.0</v>
      </c>
      <c r="B294" s="4" t="s">
        <v>410</v>
      </c>
      <c r="C294" s="4" t="str">
        <f>IFERROR(__xludf.DUMMYFUNCTION("GOOGLETRANSLATE(D:D,""auto"",""en"")"),"Zhejiang Jinhua fire four firefighters were pressed")</f>
        <v>Zhejiang Jinhua fire four firefighters were pressed</v>
      </c>
      <c r="D294" s="4" t="s">
        <v>475</v>
      </c>
      <c r="E294" s="4">
        <v>6042127.0</v>
      </c>
      <c r="F294" s="4">
        <v>43.0</v>
      </c>
      <c r="G294" s="4" t="s">
        <v>476</v>
      </c>
    </row>
    <row r="295">
      <c r="A295" s="1">
        <v>293.0</v>
      </c>
      <c r="B295" s="4" t="s">
        <v>410</v>
      </c>
      <c r="C295" s="4" t="str">
        <f>IFERROR(__xludf.DUMMYFUNCTION("GOOGLETRANSLATE(D:D,""auto"",""en"")"),"Forbidden City 600 birthday of the first snow")</f>
        <v>Forbidden City 600 birthday of the first snow</v>
      </c>
      <c r="D295" s="4" t="s">
        <v>477</v>
      </c>
      <c r="E295" s="4">
        <v>5946014.0</v>
      </c>
      <c r="F295" s="4">
        <v>44.0</v>
      </c>
      <c r="G295" s="4" t="s">
        <v>478</v>
      </c>
    </row>
    <row r="296">
      <c r="A296" s="1">
        <v>294.0</v>
      </c>
      <c r="B296" s="4" t="s">
        <v>410</v>
      </c>
      <c r="C296" s="4" t="str">
        <f>IFERROR(__xludf.DUMMYFUNCTION("GOOGLETRANSLATE(D:D,""auto"",""en"")"),"Qindie snowball fight with the kids happy")</f>
        <v>Qindie snowball fight with the kids happy</v>
      </c>
      <c r="D296" s="4" t="s">
        <v>479</v>
      </c>
      <c r="E296" s="4">
        <v>5939215.0</v>
      </c>
      <c r="F296" s="4">
        <v>45.0</v>
      </c>
      <c r="G296" s="4" t="s">
        <v>480</v>
      </c>
    </row>
    <row r="297">
      <c r="A297" s="1">
        <v>295.0</v>
      </c>
      <c r="B297" s="4" t="s">
        <v>410</v>
      </c>
      <c r="C297" s="4" t="str">
        <f>IFERROR(__xludf.DUMMYFUNCTION("GOOGLETRANSLATE(D:D,""auto"",""en"")"),"Spontaneous combustion Lexus driving")</f>
        <v>Spontaneous combustion Lexus driving</v>
      </c>
      <c r="D297" s="4" t="s">
        <v>350</v>
      </c>
      <c r="E297" s="4">
        <v>5933951.0</v>
      </c>
      <c r="F297" s="4">
        <v>46.0</v>
      </c>
      <c r="G297" s="4" t="s">
        <v>351</v>
      </c>
    </row>
    <row r="298">
      <c r="A298" s="1">
        <v>296.0</v>
      </c>
      <c r="B298" s="4" t="s">
        <v>410</v>
      </c>
      <c r="C298" s="4" t="str">
        <f>IFERROR(__xludf.DUMMYFUNCTION("GOOGLETRANSLATE(D:D,""auto"",""en"")"),"United States more than 70 anti-war demonstrations held in the city")</f>
        <v>United States more than 70 anti-war demonstrations held in the city</v>
      </c>
      <c r="D298" s="4" t="s">
        <v>408</v>
      </c>
      <c r="E298" s="4">
        <v>5917499.0</v>
      </c>
      <c r="F298" s="4">
        <v>47.0</v>
      </c>
      <c r="G298" s="4" t="s">
        <v>409</v>
      </c>
    </row>
    <row r="299">
      <c r="A299" s="1">
        <v>297.0</v>
      </c>
      <c r="B299" s="4" t="s">
        <v>410</v>
      </c>
      <c r="C299" s="4" t="str">
        <f>IFERROR(__xludf.DUMMYFUNCTION("GOOGLETRANSLATE(D:D,""auto"",""en"")"),"Hacken Lee Zhou deep immortal chorus")</f>
        <v>Hacken Lee Zhou deep immortal chorus</v>
      </c>
      <c r="D299" s="4" t="s">
        <v>481</v>
      </c>
      <c r="E299" s="4">
        <v>5910896.0</v>
      </c>
      <c r="F299" s="4">
        <v>48.0</v>
      </c>
      <c r="G299" s="4" t="s">
        <v>482</v>
      </c>
    </row>
    <row r="300">
      <c r="A300" s="1">
        <v>298.0</v>
      </c>
      <c r="B300" s="4" t="s">
        <v>410</v>
      </c>
      <c r="C300" s="4" t="str">
        <f>IFERROR(__xludf.DUMMYFUNCTION("GOOGLETRANSLATE(D:D,""auto"",""en"")"),"Lakers single-game 20 shots")</f>
        <v>Lakers single-game 20 shots</v>
      </c>
      <c r="D300" s="4" t="s">
        <v>483</v>
      </c>
      <c r="E300" s="4">
        <v>5860473.0</v>
      </c>
      <c r="F300" s="4">
        <v>49.0</v>
      </c>
      <c r="G300" s="4" t="s">
        <v>484</v>
      </c>
    </row>
    <row r="301">
      <c r="A301" s="1">
        <v>299.0</v>
      </c>
      <c r="B301" s="4" t="s">
        <v>410</v>
      </c>
      <c r="C301" s="4" t="str">
        <f>IFERROR(__xludf.DUMMYFUNCTION("GOOGLETRANSLATE(D:D,""auto"",""en"")"),"Snow outpost transfer")</f>
        <v>Snow outpost transfer</v>
      </c>
      <c r="D301" s="4" t="s">
        <v>485</v>
      </c>
      <c r="E301" s="4">
        <v>5788393.0</v>
      </c>
      <c r="F301" s="4">
        <v>50.0</v>
      </c>
      <c r="G301" s="4" t="s">
        <v>486</v>
      </c>
    </row>
    <row r="302">
      <c r="A302" s="1">
        <v>300.0</v>
      </c>
      <c r="B302" s="4" t="s">
        <v>487</v>
      </c>
      <c r="C302" s="4" t="str">
        <f>IFERROR(__xludf.DUMMYFUNCTION("GOOGLETRANSLATE(D:D,""auto"",""en"")"),"Jilin policewoman Ju Zi passed away in his sleep")</f>
        <v>Jilin policewoman Ju Zi passed away in his sleep</v>
      </c>
      <c r="D302" s="4" t="s">
        <v>488</v>
      </c>
      <c r="E302" s="4">
        <v>1.880927E7</v>
      </c>
      <c r="F302" s="4">
        <v>1.0</v>
      </c>
      <c r="G302" s="4" t="s">
        <v>489</v>
      </c>
    </row>
    <row r="303">
      <c r="A303" s="1">
        <v>301.0</v>
      </c>
      <c r="B303" s="4" t="s">
        <v>487</v>
      </c>
      <c r="C303" s="4" t="str">
        <f>IFERROR(__xludf.DUMMYFUNCTION("GOOGLETRANSLATE(D:D,""auto"",""en"")"),"Zhou Erke love")</f>
        <v>Zhou Erke love</v>
      </c>
      <c r="D303" s="4" t="s">
        <v>411</v>
      </c>
      <c r="E303" s="4">
        <v>1.3475791E7</v>
      </c>
      <c r="F303" s="4">
        <v>2.0</v>
      </c>
      <c r="G303" s="4" t="s">
        <v>412</v>
      </c>
    </row>
    <row r="304">
      <c r="A304" s="1">
        <v>302.0</v>
      </c>
      <c r="B304" s="4" t="s">
        <v>487</v>
      </c>
      <c r="C304" s="4" t="str">
        <f>IFERROR(__xludf.DUMMYFUNCTION("GOOGLETRANSLATE(D:D,""auto"",""en"")"),"Bing Gege's Shoe marching more handsome")</f>
        <v>Bing Gege's Shoe marching more handsome</v>
      </c>
      <c r="D304" s="4" t="s">
        <v>490</v>
      </c>
      <c r="E304" s="4">
        <v>1.2910216E7</v>
      </c>
      <c r="F304" s="4">
        <v>3.0</v>
      </c>
      <c r="G304" s="4" t="s">
        <v>491</v>
      </c>
    </row>
    <row r="305">
      <c r="A305" s="1">
        <v>303.0</v>
      </c>
      <c r="B305" s="4" t="s">
        <v>487</v>
      </c>
      <c r="C305" s="4" t="str">
        <f>IFERROR(__xludf.DUMMYFUNCTION("GOOGLETRANSLATE(D:D,""auto"",""en"")"),"Guangzhou subsidence lost contact with a person found")</f>
        <v>Guangzhou subsidence lost contact with a person found</v>
      </c>
      <c r="D305" s="4" t="s">
        <v>492</v>
      </c>
      <c r="E305" s="4">
        <v>1.0386934E7</v>
      </c>
      <c r="F305" s="4">
        <v>4.0</v>
      </c>
      <c r="G305" s="4" t="s">
        <v>493</v>
      </c>
    </row>
    <row r="306">
      <c r="A306" s="1">
        <v>304.0</v>
      </c>
      <c r="B306" s="4" t="s">
        <v>487</v>
      </c>
      <c r="C306" s="4" t="str">
        <f>IFERROR(__xludf.DUMMYFUNCTION("GOOGLETRANSLATE(D:D,""auto"",""en"")"),"Xiao Zhan Wang Kai Zhang Ruoyun asleep")</f>
        <v>Xiao Zhan Wang Kai Zhang Ruoyun asleep</v>
      </c>
      <c r="D306" s="4" t="s">
        <v>494</v>
      </c>
      <c r="E306" s="4">
        <v>1.0101963E7</v>
      </c>
      <c r="F306" s="4">
        <v>5.0</v>
      </c>
      <c r="G306" s="4" t="s">
        <v>495</v>
      </c>
    </row>
    <row r="307">
      <c r="A307" s="1">
        <v>305.0</v>
      </c>
      <c r="B307" s="4" t="s">
        <v>487</v>
      </c>
      <c r="C307" s="4" t="str">
        <f>IFERROR(__xludf.DUMMYFUNCTION("GOOGLETRANSLATE(D:D,""auto"",""en"")"),"Australian firefighters rebuked Prime Minister")</f>
        <v>Australian firefighters rebuked Prime Minister</v>
      </c>
      <c r="D307" s="4" t="s">
        <v>496</v>
      </c>
      <c r="E307" s="4">
        <v>1.0082929E7</v>
      </c>
      <c r="F307" s="4">
        <v>6.0</v>
      </c>
      <c r="G307" s="4" t="s">
        <v>497</v>
      </c>
    </row>
    <row r="308">
      <c r="A308" s="1">
        <v>306.0</v>
      </c>
      <c r="B308" s="4" t="s">
        <v>487</v>
      </c>
      <c r="C308" s="4" t="str">
        <f>IFERROR(__xludf.DUMMYFUNCTION("GOOGLETRANSLATE(D:D,""auto"",""en"")"),"White little sister to save myself legend")</f>
        <v>White little sister to save myself legend</v>
      </c>
      <c r="D308" s="4" t="s">
        <v>455</v>
      </c>
      <c r="E308" s="4">
        <v>1.0075983E7</v>
      </c>
      <c r="F308" s="4">
        <v>7.0</v>
      </c>
      <c r="G308" s="4" t="s">
        <v>456</v>
      </c>
    </row>
    <row r="309">
      <c r="A309" s="1">
        <v>307.0</v>
      </c>
      <c r="B309" s="4" t="s">
        <v>487</v>
      </c>
      <c r="C309" s="4" t="str">
        <f>IFERROR(__xludf.DUMMYFUNCTION("GOOGLETRANSLATE(D:D,""auto"",""en"")"),"Uncle sweep out the snow train")</f>
        <v>Uncle sweep out the snow train</v>
      </c>
      <c r="D309" s="4" t="s">
        <v>498</v>
      </c>
      <c r="E309" s="4">
        <v>9866951.0</v>
      </c>
      <c r="F309" s="4">
        <v>8.0</v>
      </c>
      <c r="G309" s="4" t="s">
        <v>499</v>
      </c>
    </row>
    <row r="310">
      <c r="A310" s="1">
        <v>308.0</v>
      </c>
      <c r="B310" s="4" t="s">
        <v>487</v>
      </c>
      <c r="C310" s="4" t="str">
        <f>IFERROR(__xludf.DUMMYFUNCTION("GOOGLETRANSLATE(D:D,""auto"",""en"")"),"Lin Yun children Chinese Intermediate examination")</f>
        <v>Lin Yun children Chinese Intermediate examination</v>
      </c>
      <c r="D310" s="4" t="s">
        <v>473</v>
      </c>
      <c r="E310" s="4">
        <v>9796444.0</v>
      </c>
      <c r="F310" s="4">
        <v>9.0</v>
      </c>
      <c r="G310" s="4" t="s">
        <v>474</v>
      </c>
    </row>
    <row r="311">
      <c r="A311" s="1">
        <v>309.0</v>
      </c>
      <c r="B311" s="4" t="s">
        <v>487</v>
      </c>
      <c r="C311" s="4" t="str">
        <f>IFERROR(__xludf.DUMMYFUNCTION("GOOGLETRANSLATE(D:D,""auto"",""en"")"),"Zhu Yilong who have exclamation point")</f>
        <v>Zhu Yilong who have exclamation point</v>
      </c>
      <c r="D311" s="4" t="s">
        <v>500</v>
      </c>
      <c r="E311" s="4">
        <v>9629137.0</v>
      </c>
      <c r="F311" s="4">
        <v>10.0</v>
      </c>
      <c r="G311" s="4" t="s">
        <v>501</v>
      </c>
    </row>
    <row r="312">
      <c r="A312" s="1">
        <v>310.0</v>
      </c>
      <c r="B312" s="4" t="s">
        <v>487</v>
      </c>
      <c r="C312" s="4" t="str">
        <f>IFERROR(__xludf.DUMMYFUNCTION("GOOGLETRANSLATE(D:D,""auto"",""en"")"),"National Fire pull Song Competition")</f>
        <v>National Fire pull Song Competition</v>
      </c>
      <c r="D312" s="4" t="s">
        <v>439</v>
      </c>
      <c r="E312" s="4">
        <v>9616628.0</v>
      </c>
      <c r="F312" s="4">
        <v>11.0</v>
      </c>
      <c r="G312" s="4" t="s">
        <v>440</v>
      </c>
    </row>
    <row r="313">
      <c r="A313" s="1">
        <v>311.0</v>
      </c>
      <c r="B313" s="4" t="s">
        <v>487</v>
      </c>
      <c r="C313" s="4" t="str">
        <f>IFERROR(__xludf.DUMMYFUNCTION("GOOGLETRANSLATE(D:D,""auto"",""en"")"),"After WPC Ju Zi death overtime disease outbreak")</f>
        <v>After WPC Ju Zi death overtime disease outbreak</v>
      </c>
      <c r="D313" s="4" t="s">
        <v>502</v>
      </c>
      <c r="E313" s="4">
        <v>9404648.0</v>
      </c>
      <c r="F313" s="4">
        <v>12.0</v>
      </c>
      <c r="G313" s="4" t="s">
        <v>503</v>
      </c>
    </row>
    <row r="314">
      <c r="A314" s="1">
        <v>312.0</v>
      </c>
      <c r="B314" s="4" t="s">
        <v>487</v>
      </c>
      <c r="C314" s="4" t="str">
        <f>IFERROR(__xludf.DUMMYFUNCTION("GOOGLETRANSLATE(D:D,""auto"",""en"")"),"When Nazha reading your annual bill")</f>
        <v>When Nazha reading your annual bill</v>
      </c>
      <c r="D314" s="4" t="s">
        <v>504</v>
      </c>
      <c r="E314" s="4">
        <v>9322814.0</v>
      </c>
      <c r="F314" s="4">
        <v>13.0</v>
      </c>
      <c r="G314" s="4" t="s">
        <v>505</v>
      </c>
    </row>
    <row r="315">
      <c r="A315" s="1">
        <v>313.0</v>
      </c>
      <c r="B315" s="4" t="s">
        <v>487</v>
      </c>
      <c r="C315" s="4" t="str">
        <f>IFERROR(__xludf.DUMMYFUNCTION("GOOGLETRANSLATE(D:D,""auto"",""en"")"),"Huangzai Tao Wang Yanlin topless as spa")</f>
        <v>Huangzai Tao Wang Yanlin topless as spa</v>
      </c>
      <c r="D315" s="4" t="s">
        <v>506</v>
      </c>
      <c r="E315" s="4">
        <v>9136865.0</v>
      </c>
      <c r="F315" s="4">
        <v>14.0</v>
      </c>
      <c r="G315" s="4" t="s">
        <v>507</v>
      </c>
    </row>
    <row r="316">
      <c r="A316" s="1">
        <v>314.0</v>
      </c>
      <c r="B316" s="4" t="s">
        <v>487</v>
      </c>
      <c r="C316" s="4" t="str">
        <f>IFERROR(__xludf.DUMMYFUNCTION("GOOGLETRANSLATE(D:D,""auto"",""en"")"),"Xiaozhan acceptable upper limit princess hold")</f>
        <v>Xiaozhan acceptable upper limit princess hold</v>
      </c>
      <c r="D316" s="4" t="s">
        <v>508</v>
      </c>
      <c r="E316" s="4">
        <v>8930694.0</v>
      </c>
      <c r="F316" s="4">
        <v>15.0</v>
      </c>
      <c r="G316" s="4" t="s">
        <v>509</v>
      </c>
    </row>
    <row r="317">
      <c r="A317" s="1">
        <v>315.0</v>
      </c>
      <c r="B317" s="4" t="s">
        <v>487</v>
      </c>
      <c r="C317" s="4" t="str">
        <f>IFERROR(__xludf.DUMMYFUNCTION("GOOGLETRANSLATE(D:D,""auto"",""en"")"),"Zhao Liying blue veil")</f>
        <v>Zhao Liying blue veil</v>
      </c>
      <c r="D317" s="4" t="s">
        <v>510</v>
      </c>
      <c r="E317" s="4">
        <v>8905279.0</v>
      </c>
      <c r="F317" s="4">
        <v>16.0</v>
      </c>
      <c r="G317" s="4" t="s">
        <v>511</v>
      </c>
    </row>
    <row r="318">
      <c r="A318" s="1">
        <v>316.0</v>
      </c>
      <c r="B318" s="4" t="s">
        <v>487</v>
      </c>
      <c r="C318" s="4" t="str">
        <f>IFERROR(__xludf.DUMMYFUNCTION("GOOGLETRANSLATE(D:D,""auto"",""en"")"),"Contemporary young New Year too hard")</f>
        <v>Contemporary young New Year too hard</v>
      </c>
      <c r="D318" s="4" t="s">
        <v>512</v>
      </c>
      <c r="E318" s="4">
        <v>8772764.0</v>
      </c>
      <c r="F318" s="4">
        <v>17.0</v>
      </c>
      <c r="G318" s="4" t="s">
        <v>513</v>
      </c>
    </row>
    <row r="319">
      <c r="A319" s="1">
        <v>317.0</v>
      </c>
      <c r="B319" s="4" t="s">
        <v>487</v>
      </c>
      <c r="C319" s="4" t="str">
        <f>IFERROR(__xludf.DUMMYFUNCTION("GOOGLETRANSLATE(D:D,""auto"",""en"")"),"Year red envelopes red storied")</f>
        <v>Year red envelopes red storied</v>
      </c>
      <c r="D319" s="4" t="s">
        <v>514</v>
      </c>
      <c r="E319" s="4">
        <v>8715624.0</v>
      </c>
      <c r="F319" s="4">
        <v>18.0</v>
      </c>
      <c r="G319" s="4" t="s">
        <v>515</v>
      </c>
    </row>
    <row r="320">
      <c r="A320" s="1">
        <v>318.0</v>
      </c>
      <c r="B320" s="4" t="s">
        <v>487</v>
      </c>
      <c r="C320" s="4" t="str">
        <f>IFERROR(__xludf.DUMMYFUNCTION("GOOGLETRANSLATE(D:D,""auto"",""en"")"),"Huating too dicey surprise ending")</f>
        <v>Huating too dicey surprise ending</v>
      </c>
      <c r="D320" s="4" t="s">
        <v>516</v>
      </c>
      <c r="E320" s="4">
        <v>8685781.0</v>
      </c>
      <c r="F320" s="4">
        <v>19.0</v>
      </c>
      <c r="G320" s="4" t="s">
        <v>517</v>
      </c>
    </row>
    <row r="321">
      <c r="A321" s="1">
        <v>319.0</v>
      </c>
      <c r="B321" s="4" t="s">
        <v>487</v>
      </c>
      <c r="C321" s="4" t="str">
        <f>IFERROR(__xludf.DUMMYFUNCTION("GOOGLETRANSLATE(D:D,""auto"",""en"")"),"Chemistry teacher in public confession Ma")</f>
        <v>Chemistry teacher in public confession Ma</v>
      </c>
      <c r="D321" s="4" t="s">
        <v>518</v>
      </c>
      <c r="E321" s="4">
        <v>8658484.0</v>
      </c>
      <c r="F321" s="4">
        <v>20.0</v>
      </c>
      <c r="G321" s="4" t="s">
        <v>519</v>
      </c>
    </row>
    <row r="322">
      <c r="A322" s="1">
        <v>320.0</v>
      </c>
      <c r="B322" s="4" t="s">
        <v>487</v>
      </c>
      <c r="C322" s="4" t="str">
        <f>IFERROR(__xludf.DUMMYFUNCTION("GOOGLETRANSLATE(D:D,""auto"",""en"")"),"Australia 180 people arrested for arson fires")</f>
        <v>Australia 180 people arrested for arson fires</v>
      </c>
      <c r="D322" s="4" t="s">
        <v>520</v>
      </c>
      <c r="E322" s="4">
        <v>8649543.0</v>
      </c>
      <c r="F322" s="4">
        <v>21.0</v>
      </c>
      <c r="G322" s="4" t="s">
        <v>521</v>
      </c>
    </row>
    <row r="323">
      <c r="A323" s="1">
        <v>321.0</v>
      </c>
      <c r="B323" s="4" t="s">
        <v>487</v>
      </c>
      <c r="C323" s="4" t="str">
        <f>IFERROR(__xludf.DUMMYFUNCTION("GOOGLETRANSLATE(D:D,""auto"",""en"")"),"权志 Dragon Nana Komatsu")</f>
        <v>权志 Dragon Nana Komatsu</v>
      </c>
      <c r="D323" s="4" t="s">
        <v>453</v>
      </c>
      <c r="E323" s="4">
        <v>8375604.0</v>
      </c>
      <c r="F323" s="4">
        <v>22.0</v>
      </c>
      <c r="G323" s="4" t="s">
        <v>454</v>
      </c>
    </row>
    <row r="324">
      <c r="A324" s="1">
        <v>322.0</v>
      </c>
      <c r="B324" s="4" t="s">
        <v>487</v>
      </c>
      <c r="C324" s="4" t="str">
        <f>IFERROR(__xludf.DUMMYFUNCTION("GOOGLETRANSLATE(D:D,""auto"",""en"")"),"Deng purple chess deep V dress")</f>
        <v>Deng purple chess deep V dress</v>
      </c>
      <c r="D324" s="4" t="s">
        <v>425</v>
      </c>
      <c r="E324" s="4">
        <v>8330252.0</v>
      </c>
      <c r="F324" s="4">
        <v>23.0</v>
      </c>
      <c r="G324" s="4" t="s">
        <v>426</v>
      </c>
    </row>
    <row r="325">
      <c r="A325" s="1">
        <v>323.0</v>
      </c>
      <c r="B325" s="4" t="s">
        <v>487</v>
      </c>
      <c r="C325" s="4" t="str">
        <f>IFERROR(__xludf.DUMMYFUNCTION("GOOGLETRANSLATE(D:D,""auto"",""en"")"),"Mei Ting foot aircraft display")</f>
        <v>Mei Ting foot aircraft display</v>
      </c>
      <c r="D325" s="4" t="s">
        <v>522</v>
      </c>
      <c r="E325" s="4">
        <v>8111052.0</v>
      </c>
      <c r="F325" s="4">
        <v>24.0</v>
      </c>
      <c r="G325" s="4" t="s">
        <v>523</v>
      </c>
    </row>
    <row r="326">
      <c r="A326" s="1">
        <v>324.0</v>
      </c>
      <c r="B326" s="4" t="s">
        <v>487</v>
      </c>
      <c r="C326" s="4" t="str">
        <f>IFERROR(__xludf.DUMMYFUNCTION("GOOGLETRANSLATE(D:D,""auto"",""en"")"),"When the parents return home secretly reaction")</f>
        <v>When the parents return home secretly reaction</v>
      </c>
      <c r="D326" s="4" t="s">
        <v>524</v>
      </c>
      <c r="E326" s="4">
        <v>8101077.0</v>
      </c>
      <c r="F326" s="4">
        <v>25.0</v>
      </c>
      <c r="G326" s="4" t="s">
        <v>525</v>
      </c>
    </row>
    <row r="327">
      <c r="A327" s="1">
        <v>325.0</v>
      </c>
      <c r="B327" s="4" t="s">
        <v>487</v>
      </c>
      <c r="C327" s="4" t="str">
        <f>IFERROR(__xludf.DUMMYFUNCTION("GOOGLETRANSLATE(D:D,""auto"",""en"")"),"Shanxi men's 10 year-end reunion missing children")</f>
        <v>Shanxi men's 10 year-end reunion missing children</v>
      </c>
      <c r="D327" s="4" t="s">
        <v>526</v>
      </c>
      <c r="E327" s="4">
        <v>8071704.0</v>
      </c>
      <c r="F327" s="4">
        <v>26.0</v>
      </c>
      <c r="G327" s="4" t="s">
        <v>527</v>
      </c>
    </row>
    <row r="328">
      <c r="A328" s="1">
        <v>326.0</v>
      </c>
      <c r="B328" s="4" t="s">
        <v>487</v>
      </c>
      <c r="C328" s="4" t="str">
        <f>IFERROR(__xludf.DUMMYFUNCTION("GOOGLETRANSLATE(D:D,""auto"",""en"")"),"Song Joey Ethan")</f>
        <v>Song Joey Ethan</v>
      </c>
      <c r="D328" s="4" t="s">
        <v>528</v>
      </c>
      <c r="E328" s="4">
        <v>7871519.0</v>
      </c>
      <c r="F328" s="4">
        <v>27.0</v>
      </c>
      <c r="G328" s="4" t="s">
        <v>529</v>
      </c>
    </row>
    <row r="329">
      <c r="A329" s="1">
        <v>327.0</v>
      </c>
      <c r="B329" s="4" t="s">
        <v>487</v>
      </c>
      <c r="C329" s="4" t="str">
        <f>IFERROR(__xludf.DUMMYFUNCTION("GOOGLETRANSLATE(D:D,""auto"",""en"")"),"Xiaozhan Liu Yuning karting")</f>
        <v>Xiaozhan Liu Yuning karting</v>
      </c>
      <c r="D329" s="4" t="s">
        <v>423</v>
      </c>
      <c r="E329" s="4">
        <v>7749650.0</v>
      </c>
      <c r="F329" s="4">
        <v>28.0</v>
      </c>
      <c r="G329" s="4" t="s">
        <v>424</v>
      </c>
    </row>
    <row r="330">
      <c r="A330" s="1">
        <v>328.0</v>
      </c>
      <c r="B330" s="4" t="s">
        <v>487</v>
      </c>
      <c r="C330" s="4" t="str">
        <f>IFERROR(__xludf.DUMMYFUNCTION("GOOGLETRANSLATE(D:D,""auto"",""en"")"),"Iran's supreme leader, Major General crying on funeral")</f>
        <v>Iran's supreme leader, Major General crying on funeral</v>
      </c>
      <c r="D330" s="4" t="s">
        <v>530</v>
      </c>
      <c r="E330" s="4">
        <v>7683792.0</v>
      </c>
      <c r="F330" s="4">
        <v>29.0</v>
      </c>
      <c r="G330" s="4" t="s">
        <v>531</v>
      </c>
    </row>
    <row r="331">
      <c r="A331" s="1">
        <v>329.0</v>
      </c>
      <c r="B331" s="4" t="s">
        <v>487</v>
      </c>
      <c r="C331" s="4" t="str">
        <f>IFERROR(__xludf.DUMMYFUNCTION("GOOGLETRANSLATE(D:D,""auto"",""en"")"),"Song Joey party denied the affair with Ethan")</f>
        <v>Song Joey party denied the affair with Ethan</v>
      </c>
      <c r="D331" s="4" t="s">
        <v>532</v>
      </c>
      <c r="E331" s="4">
        <v>7672861.0</v>
      </c>
      <c r="F331" s="4">
        <v>30.0</v>
      </c>
      <c r="G331" s="4" t="s">
        <v>533</v>
      </c>
    </row>
    <row r="332">
      <c r="A332" s="1">
        <v>330.0</v>
      </c>
      <c r="B332" s="4" t="s">
        <v>487</v>
      </c>
      <c r="C332" s="4" t="str">
        <f>IFERROR(__xludf.DUMMYFUNCTION("GOOGLETRANSLATE(D:D,""auto"",""en"")"),"Luhan eat hot pot shabu grapes")</f>
        <v>Luhan eat hot pot shabu grapes</v>
      </c>
      <c r="D332" s="4" t="s">
        <v>534</v>
      </c>
      <c r="E332" s="4">
        <v>7657031.0</v>
      </c>
      <c r="F332" s="4">
        <v>31.0</v>
      </c>
      <c r="G332" s="4" t="s">
        <v>535</v>
      </c>
    </row>
    <row r="333">
      <c r="A333" s="1">
        <v>331.0</v>
      </c>
      <c r="B333" s="4" t="s">
        <v>487</v>
      </c>
      <c r="C333" s="4" t="str">
        <f>IFERROR(__xludf.DUMMYFUNCTION("GOOGLETRANSLATE(D:D,""auto"",""en"")"),"Over 20,000 deaths in fires koala")</f>
        <v>Over 20,000 deaths in fires koala</v>
      </c>
      <c r="D333" s="4" t="s">
        <v>536</v>
      </c>
      <c r="E333" s="4">
        <v>7449157.0</v>
      </c>
      <c r="F333" s="4">
        <v>32.0</v>
      </c>
      <c r="G333" s="4" t="s">
        <v>537</v>
      </c>
    </row>
    <row r="334">
      <c r="A334" s="1">
        <v>332.0</v>
      </c>
      <c r="B334" s="4" t="s">
        <v>487</v>
      </c>
      <c r="C334" s="4" t="str">
        <f>IFERROR(__xludf.DUMMYFUNCTION("GOOGLETRANSLATE(D:D,""auto"",""en"")"),"Iran will be the US military as a terrorist organization")</f>
        <v>Iran will be the US military as a terrorist organization</v>
      </c>
      <c r="D334" s="4" t="s">
        <v>538</v>
      </c>
      <c r="E334" s="4">
        <v>7383676.0</v>
      </c>
      <c r="F334" s="4">
        <v>33.0</v>
      </c>
      <c r="G334" s="4" t="s">
        <v>539</v>
      </c>
    </row>
    <row r="335">
      <c r="A335" s="1">
        <v>333.0</v>
      </c>
      <c r="B335" s="4" t="s">
        <v>487</v>
      </c>
      <c r="C335" s="4" t="str">
        <f>IFERROR(__xludf.DUMMYFUNCTION("GOOGLETRANSLATE(D:D,""auto"",""en"")"),"Black Guide forcing visitors refused to refund the money")</f>
        <v>Black Guide forcing visitors refused to refund the money</v>
      </c>
      <c r="D335" s="4" t="s">
        <v>540</v>
      </c>
      <c r="E335" s="4">
        <v>7333592.0</v>
      </c>
      <c r="F335" s="4">
        <v>34.0</v>
      </c>
      <c r="G335" s="4" t="s">
        <v>541</v>
      </c>
    </row>
    <row r="336">
      <c r="A336" s="1">
        <v>334.0</v>
      </c>
      <c r="B336" s="4" t="s">
        <v>487</v>
      </c>
      <c r="C336" s="4" t="str">
        <f>IFERROR(__xludf.DUMMYFUNCTION("GOOGLETRANSLATE(D:D,""auto"",""en"")"),"Australia will shoot 10,000 camels")</f>
        <v>Australia will shoot 10,000 camels</v>
      </c>
      <c r="D336" s="4" t="s">
        <v>542</v>
      </c>
      <c r="E336" s="4">
        <v>7315967.0</v>
      </c>
      <c r="F336" s="4">
        <v>35.0</v>
      </c>
      <c r="G336" s="4" t="s">
        <v>543</v>
      </c>
    </row>
    <row r="337">
      <c r="A337" s="1">
        <v>335.0</v>
      </c>
      <c r="B337" s="4" t="s">
        <v>487</v>
      </c>
      <c r="C337" s="4" t="str">
        <f>IFERROR(__xludf.DUMMYFUNCTION("GOOGLETRANSLATE(D:D,""auto"",""en"")"),"Jolin Tsai concert liable drunk man downtown market")</f>
        <v>Jolin Tsai concert liable drunk man downtown market</v>
      </c>
      <c r="D337" s="4" t="s">
        <v>417</v>
      </c>
      <c r="E337" s="4">
        <v>7237096.0</v>
      </c>
      <c r="F337" s="4">
        <v>36.0</v>
      </c>
      <c r="G337" s="4" t="s">
        <v>418</v>
      </c>
    </row>
    <row r="338">
      <c r="A338" s="1">
        <v>336.0</v>
      </c>
      <c r="B338" s="4" t="s">
        <v>487</v>
      </c>
      <c r="C338" s="4" t="str">
        <f>IFERROR(__xludf.DUMMYFUNCTION("GOOGLETRANSLATE(D:D,""auto"",""en"")"),"Luhan state so what I do with you")</f>
        <v>Luhan state so what I do with you</v>
      </c>
      <c r="D338" s="4" t="s">
        <v>544</v>
      </c>
      <c r="E338" s="4">
        <v>7176498.0</v>
      </c>
      <c r="F338" s="4">
        <v>37.0</v>
      </c>
      <c r="G338" s="4" t="s">
        <v>545</v>
      </c>
    </row>
    <row r="339">
      <c r="A339" s="1">
        <v>337.0</v>
      </c>
      <c r="B339" s="4" t="s">
        <v>487</v>
      </c>
      <c r="C339" s="4" t="str">
        <f>IFERROR(__xludf.DUMMYFUNCTION("GOOGLETRANSLATE(D:D,""auto"",""en"")"),"Huangzi Tao is considered to be bulletproof Cadet Corps members")</f>
        <v>Huangzi Tao is considered to be bulletproof Cadet Corps members</v>
      </c>
      <c r="D339" s="4" t="s">
        <v>546</v>
      </c>
      <c r="E339" s="4">
        <v>7173174.0</v>
      </c>
      <c r="F339" s="4">
        <v>38.0</v>
      </c>
      <c r="G339" s="4" t="s">
        <v>547</v>
      </c>
    </row>
    <row r="340">
      <c r="A340" s="1">
        <v>338.0</v>
      </c>
      <c r="B340" s="4" t="s">
        <v>487</v>
      </c>
      <c r="C340" s="4" t="str">
        <f>IFERROR(__xludf.DUMMYFUNCTION("GOOGLETRANSLATE(D:D,""auto"",""en"")"),"Iranian Foreign Minister propaganda Trump Twitter")</f>
        <v>Iranian Foreign Minister propaganda Trump Twitter</v>
      </c>
      <c r="D340" s="4" t="s">
        <v>548</v>
      </c>
      <c r="E340" s="4">
        <v>7039318.0</v>
      </c>
      <c r="F340" s="4">
        <v>39.0</v>
      </c>
      <c r="G340" s="4" t="s">
        <v>549</v>
      </c>
    </row>
    <row r="341">
      <c r="A341" s="1">
        <v>339.0</v>
      </c>
      <c r="B341" s="4" t="s">
        <v>487</v>
      </c>
      <c r="C341" s="4" t="str">
        <f>IFERROR(__xludf.DUMMYFUNCTION("GOOGLETRANSLATE(D:D,""auto"",""en"")"),"20,000 tons of frozen pork will be put on the central reserve")</f>
        <v>20,000 tons of frozen pork will be put on the central reserve</v>
      </c>
      <c r="D341" s="4" t="s">
        <v>550</v>
      </c>
      <c r="E341" s="4">
        <v>6979531.0</v>
      </c>
      <c r="F341" s="4">
        <v>40.0</v>
      </c>
      <c r="G341" s="4" t="s">
        <v>551</v>
      </c>
    </row>
    <row r="342">
      <c r="A342" s="1">
        <v>340.0</v>
      </c>
      <c r="B342" s="4" t="s">
        <v>487</v>
      </c>
      <c r="C342" s="4" t="str">
        <f>IFERROR(__xludf.DUMMYFUNCTION("GOOGLETRANSLATE(D:D,""auto"",""en"")"),"Celina Jade sidelines Han kissing scenes")</f>
        <v>Celina Jade sidelines Han kissing scenes</v>
      </c>
      <c r="D342" s="4" t="s">
        <v>419</v>
      </c>
      <c r="E342" s="4">
        <v>6891841.0</v>
      </c>
      <c r="F342" s="4">
        <v>41.0</v>
      </c>
      <c r="G342" s="4" t="s">
        <v>420</v>
      </c>
    </row>
    <row r="343">
      <c r="A343" s="1">
        <v>341.0</v>
      </c>
      <c r="B343" s="4" t="s">
        <v>487</v>
      </c>
      <c r="C343" s="4" t="str">
        <f>IFERROR(__xludf.DUMMYFUNCTION("GOOGLETRANSLATE(D:D,""auto"",""en"")"),"Mei Ting apology")</f>
        <v>Mei Ting apology</v>
      </c>
      <c r="D343" s="4" t="s">
        <v>552</v>
      </c>
      <c r="E343" s="4">
        <v>6860138.0</v>
      </c>
      <c r="F343" s="4">
        <v>42.0</v>
      </c>
      <c r="G343" s="4" t="s">
        <v>553</v>
      </c>
    </row>
    <row r="344">
      <c r="A344" s="1">
        <v>342.0</v>
      </c>
      <c r="B344" s="4" t="s">
        <v>487</v>
      </c>
      <c r="C344" s="4" t="str">
        <f>IFERROR(__xludf.DUMMYFUNCTION("GOOGLETRANSLATE(D:D,""auto"",""en"")"),"Firefighter snow scratching and scrambling toward the garage")</f>
        <v>Firefighter snow scratching and scrambling toward the garage</v>
      </c>
      <c r="D344" s="4" t="s">
        <v>554</v>
      </c>
      <c r="E344" s="4">
        <v>6835776.0</v>
      </c>
      <c r="F344" s="4">
        <v>43.0</v>
      </c>
      <c r="G344" s="4" t="s">
        <v>555</v>
      </c>
    </row>
    <row r="345">
      <c r="A345" s="1">
        <v>343.0</v>
      </c>
      <c r="B345" s="4" t="s">
        <v>487</v>
      </c>
      <c r="C345" s="4" t="str">
        <f>IFERROR(__xludf.DUMMYFUNCTION("GOOGLETRANSLATE(D:D,""auto"",""en"")"),"Give children trapped firefighters mask")</f>
        <v>Give children trapped firefighters mask</v>
      </c>
      <c r="D345" s="4" t="s">
        <v>556</v>
      </c>
      <c r="E345" s="4">
        <v>6777657.0</v>
      </c>
      <c r="F345" s="4">
        <v>44.0</v>
      </c>
      <c r="G345" s="4" t="s">
        <v>557</v>
      </c>
    </row>
    <row r="346">
      <c r="A346" s="1">
        <v>344.0</v>
      </c>
      <c r="B346" s="4" t="s">
        <v>487</v>
      </c>
      <c r="C346" s="4" t="str">
        <f>IFERROR(__xludf.DUMMYFUNCTION("GOOGLETRANSLATE(D:D,""auto"",""en"")"),"Guangdong blocked passage of fire engines to a maximum penalty of 50 000")</f>
        <v>Guangdong blocked passage of fire engines to a maximum penalty of 50 000</v>
      </c>
      <c r="D346" s="4" t="s">
        <v>558</v>
      </c>
      <c r="E346" s="4">
        <v>6695573.0</v>
      </c>
      <c r="F346" s="4">
        <v>45.0</v>
      </c>
      <c r="G346" s="4" t="s">
        <v>559</v>
      </c>
    </row>
    <row r="347">
      <c r="A347" s="1">
        <v>345.0</v>
      </c>
      <c r="B347" s="4" t="s">
        <v>487</v>
      </c>
      <c r="C347" s="4" t="str">
        <f>IFERROR(__xludf.DUMMYFUNCTION("GOOGLETRANSLATE(D:D,""auto"",""en"")"),"Iraq's parliament decided to end the US military presence")</f>
        <v>Iraq's parliament decided to end the US military presence</v>
      </c>
      <c r="D347" s="4" t="s">
        <v>560</v>
      </c>
      <c r="E347" s="4">
        <v>6695113.0</v>
      </c>
      <c r="F347" s="4">
        <v>46.0</v>
      </c>
      <c r="G347" s="4" t="s">
        <v>561</v>
      </c>
    </row>
    <row r="348">
      <c r="A348" s="1">
        <v>346.0</v>
      </c>
      <c r="B348" s="4" t="s">
        <v>487</v>
      </c>
      <c r="C348" s="4" t="str">
        <f>IFERROR(__xludf.DUMMYFUNCTION("GOOGLETRANSLATE(D:D,""auto"",""en"")"),"Xiaozhan takeaway brother")</f>
        <v>Xiaozhan takeaway brother</v>
      </c>
      <c r="D348" s="4" t="s">
        <v>562</v>
      </c>
      <c r="E348" s="4">
        <v>6672313.0</v>
      </c>
      <c r="F348" s="4">
        <v>47.0</v>
      </c>
      <c r="G348" s="4" t="s">
        <v>563</v>
      </c>
    </row>
    <row r="349">
      <c r="A349" s="1">
        <v>347.0</v>
      </c>
      <c r="B349" s="4" t="s">
        <v>487</v>
      </c>
      <c r="C349" s="4" t="str">
        <f>IFERROR(__xludf.DUMMYFUNCTION("GOOGLETRANSLATE(D:D,""auto"",""en"")"),"Firefighters rescued drowning woman too rude")</f>
        <v>Firefighters rescued drowning woman too rude</v>
      </c>
      <c r="D349" s="4" t="s">
        <v>564</v>
      </c>
      <c r="E349" s="4">
        <v>6659226.0</v>
      </c>
      <c r="F349" s="4">
        <v>48.0</v>
      </c>
      <c r="G349" s="4" t="s">
        <v>565</v>
      </c>
    </row>
    <row r="350">
      <c r="A350" s="1">
        <v>348.0</v>
      </c>
      <c r="B350" s="4" t="s">
        <v>487</v>
      </c>
      <c r="C350" s="4" t="str">
        <f>IFERROR(__xludf.DUMMYFUNCTION("GOOGLETRANSLATE(D:D,""auto"",""en"")"),"Modern version Qingyu years")</f>
        <v>Modern version Qingyu years</v>
      </c>
      <c r="D350" s="4" t="s">
        <v>566</v>
      </c>
      <c r="E350" s="4">
        <v>6612163.0</v>
      </c>
      <c r="F350" s="4">
        <v>49.0</v>
      </c>
      <c r="G350" s="4" t="s">
        <v>567</v>
      </c>
    </row>
    <row r="351">
      <c r="A351" s="1">
        <v>349.0</v>
      </c>
      <c r="B351" s="4" t="s">
        <v>487</v>
      </c>
      <c r="C351" s="4" t="str">
        <f>IFERROR(__xludf.DUMMYFUNCTION("GOOGLETRANSLATE(D:D,""auto"",""en"")"),"Sean Sun is Batui hair hostess")</f>
        <v>Sean Sun is Batui hair hostess</v>
      </c>
      <c r="D351" s="4" t="s">
        <v>431</v>
      </c>
      <c r="E351" s="4">
        <v>6572094.0</v>
      </c>
      <c r="F351" s="4">
        <v>50.0</v>
      </c>
      <c r="G351" s="4" t="s">
        <v>432</v>
      </c>
    </row>
    <row r="352">
      <c r="A352" s="1">
        <v>350.0</v>
      </c>
      <c r="B352" s="4" t="s">
        <v>568</v>
      </c>
      <c r="C352" s="4" t="str">
        <f>IFERROR(__xludf.DUMMYFUNCTION("GOOGLETRANSLATE(D:D,""auto"",""en"")"),"ZhouDongYu wearing masks to accept the award")</f>
        <v>ZhouDongYu wearing masks to accept the award</v>
      </c>
      <c r="D352" s="4" t="s">
        <v>569</v>
      </c>
      <c r="E352" s="4">
        <v>1.1227893E7</v>
      </c>
      <c r="F352" s="4">
        <v>1.0</v>
      </c>
      <c r="G352" s="4" t="s">
        <v>570</v>
      </c>
    </row>
    <row r="353">
      <c r="A353" s="1">
        <v>351.0</v>
      </c>
      <c r="B353" s="4" t="s">
        <v>568</v>
      </c>
      <c r="C353" s="4" t="str">
        <f>IFERROR(__xludf.DUMMYFUNCTION("GOOGLETRANSLATE(D:D,""auto"",""en"")"),"Xiao Zhan Wang Kai Zhang Ruoyun asleep")</f>
        <v>Xiao Zhan Wang Kai Zhang Ruoyun asleep</v>
      </c>
      <c r="D353" s="4" t="s">
        <v>494</v>
      </c>
      <c r="E353" s="4">
        <v>1.0974432E7</v>
      </c>
      <c r="F353" s="4">
        <v>2.0</v>
      </c>
      <c r="G353" s="4" t="s">
        <v>495</v>
      </c>
    </row>
    <row r="354">
      <c r="A354" s="1">
        <v>352.0</v>
      </c>
      <c r="B354" s="4" t="s">
        <v>568</v>
      </c>
      <c r="C354" s="4" t="str">
        <f>IFERROR(__xludf.DUMMYFUNCTION("GOOGLETRANSLATE(D:D,""auto"",""en"")"),"Uncle sweep out the snow train")</f>
        <v>Uncle sweep out the snow train</v>
      </c>
      <c r="D354" s="4" t="s">
        <v>498</v>
      </c>
      <c r="E354" s="4">
        <v>1.0704903E7</v>
      </c>
      <c r="F354" s="4">
        <v>3.0</v>
      </c>
      <c r="G354" s="4" t="s">
        <v>499</v>
      </c>
    </row>
    <row r="355">
      <c r="A355" s="1">
        <v>353.0</v>
      </c>
      <c r="B355" s="4" t="s">
        <v>568</v>
      </c>
      <c r="C355" s="4" t="str">
        <f>IFERROR(__xludf.DUMMYFUNCTION("GOOGLETRANSLATE(D:D,""auto"",""en"")"),"Luo Yunxi eyebrow kill")</f>
        <v>Luo Yunxi eyebrow kill</v>
      </c>
      <c r="D355" s="4" t="s">
        <v>571</v>
      </c>
      <c r="E355" s="4">
        <v>1.0453794E7</v>
      </c>
      <c r="F355" s="4">
        <v>4.0</v>
      </c>
      <c r="G355" s="4" t="s">
        <v>572</v>
      </c>
    </row>
    <row r="356">
      <c r="A356" s="1">
        <v>354.0</v>
      </c>
      <c r="B356" s="4" t="s">
        <v>568</v>
      </c>
      <c r="C356" s="4" t="str">
        <f>IFERROR(__xludf.DUMMYFUNCTION("GOOGLETRANSLATE(D:D,""auto"",""en"")"),"Shanxi men's 10 year-end reunion missing children")</f>
        <v>Shanxi men's 10 year-end reunion missing children</v>
      </c>
      <c r="D356" s="4" t="s">
        <v>526</v>
      </c>
      <c r="E356" s="4">
        <v>1.0252782E7</v>
      </c>
      <c r="F356" s="4">
        <v>5.0</v>
      </c>
      <c r="G356" s="4" t="s">
        <v>527</v>
      </c>
    </row>
    <row r="357">
      <c r="A357" s="1">
        <v>355.0</v>
      </c>
      <c r="B357" s="4" t="s">
        <v>568</v>
      </c>
      <c r="C357" s="4" t="str">
        <f>IFERROR(__xludf.DUMMYFUNCTION("GOOGLETRANSLATE(D:D,""auto"",""en"")"),"Dilly Reba Huang Jingyu")</f>
        <v>Dilly Reba Huang Jingyu</v>
      </c>
      <c r="D357" s="4" t="s">
        <v>573</v>
      </c>
      <c r="E357" s="4">
        <v>9876108.0</v>
      </c>
      <c r="F357" s="4">
        <v>6.0</v>
      </c>
      <c r="G357" s="4" t="s">
        <v>574</v>
      </c>
    </row>
    <row r="358">
      <c r="A358" s="1">
        <v>356.0</v>
      </c>
      <c r="B358" s="4" t="s">
        <v>568</v>
      </c>
      <c r="C358" s="4" t="str">
        <f>IFERROR(__xludf.DUMMYFUNCTION("GOOGLETRANSLATE(D:D,""auto"",""en"")"),"US forces in Iraq, the attack on air base")</f>
        <v>US forces in Iraq, the attack on air base</v>
      </c>
      <c r="D358" s="4" t="s">
        <v>575</v>
      </c>
      <c r="E358" s="4">
        <v>9825697.0</v>
      </c>
      <c r="F358" s="4">
        <v>7.0</v>
      </c>
      <c r="G358" s="4" t="s">
        <v>576</v>
      </c>
    </row>
    <row r="359">
      <c r="A359" s="1">
        <v>357.0</v>
      </c>
      <c r="B359" s="4" t="s">
        <v>568</v>
      </c>
      <c r="C359" s="4" t="str">
        <f>IFERROR(__xludf.DUMMYFUNCTION("GOOGLETRANSLATE(D:D,""auto"",""en"")"),"Bing Gege's Shoe marching more handsome")</f>
        <v>Bing Gege's Shoe marching more handsome</v>
      </c>
      <c r="D359" s="4" t="s">
        <v>490</v>
      </c>
      <c r="E359" s="4">
        <v>9660373.0</v>
      </c>
      <c r="F359" s="4">
        <v>8.0</v>
      </c>
      <c r="G359" s="4" t="s">
        <v>491</v>
      </c>
    </row>
    <row r="360">
      <c r="A360" s="1">
        <v>358.0</v>
      </c>
      <c r="B360" s="4" t="s">
        <v>568</v>
      </c>
      <c r="C360" s="4" t="str">
        <f>IFERROR(__xludf.DUMMYFUNCTION("GOOGLETRANSLATE(D:D,""auto"",""en"")"),"Xiaozhan takeaway brother")</f>
        <v>Xiaozhan takeaway brother</v>
      </c>
      <c r="D360" s="4" t="s">
        <v>562</v>
      </c>
      <c r="E360" s="4">
        <v>9612516.0</v>
      </c>
      <c r="F360" s="4">
        <v>9.0</v>
      </c>
      <c r="G360" s="4" t="s">
        <v>563</v>
      </c>
    </row>
    <row r="361">
      <c r="A361" s="1">
        <v>359.0</v>
      </c>
      <c r="B361" s="4" t="s">
        <v>568</v>
      </c>
      <c r="C361" s="4" t="str">
        <f>IFERROR(__xludf.DUMMYFUNCTION("GOOGLETRANSLATE(D:D,""auto"",""en"")"),"Yi Xi smelt one thousand because the test did not catch Awards")</f>
        <v>Yi Xi smelt one thousand because the test did not catch Awards</v>
      </c>
      <c r="D361" s="4" t="s">
        <v>577</v>
      </c>
      <c r="E361" s="4">
        <v>9605581.0</v>
      </c>
      <c r="F361" s="4">
        <v>10.0</v>
      </c>
      <c r="G361" s="4" t="s">
        <v>578</v>
      </c>
    </row>
    <row r="362">
      <c r="A362" s="1">
        <v>360.0</v>
      </c>
      <c r="B362" s="4" t="s">
        <v>568</v>
      </c>
      <c r="C362" s="4" t="str">
        <f>IFERROR(__xludf.DUMMYFUNCTION("GOOGLETRANSLATE(D:D,""auto"",""en"")"),"Xiaozhan buy ear")</f>
        <v>Xiaozhan buy ear</v>
      </c>
      <c r="D362" s="4" t="s">
        <v>579</v>
      </c>
      <c r="E362" s="4">
        <v>9372304.0</v>
      </c>
      <c r="F362" s="4">
        <v>11.0</v>
      </c>
      <c r="G362" s="4" t="s">
        <v>580</v>
      </c>
    </row>
    <row r="363">
      <c r="A363" s="1">
        <v>361.0</v>
      </c>
      <c r="B363" s="4" t="s">
        <v>568</v>
      </c>
      <c r="C363" s="4" t="str">
        <f>IFERROR(__xludf.DUMMYFUNCTION("GOOGLETRANSLATE(D:D,""auto"",""en"")"),"When the parents return home secretly reaction")</f>
        <v>When the parents return home secretly reaction</v>
      </c>
      <c r="D363" s="4" t="s">
        <v>524</v>
      </c>
      <c r="E363" s="4">
        <v>9244551.0</v>
      </c>
      <c r="F363" s="4">
        <v>12.0</v>
      </c>
      <c r="G363" s="4" t="s">
        <v>525</v>
      </c>
    </row>
    <row r="364">
      <c r="A364" s="1">
        <v>362.0</v>
      </c>
      <c r="B364" s="4" t="s">
        <v>568</v>
      </c>
      <c r="C364" s="4" t="str">
        <f>IFERROR(__xludf.DUMMYFUNCTION("GOOGLETRANSLATE(D:D,""auto"",""en"")"),"Song Joey party denied the affair with Ethan")</f>
        <v>Song Joey party denied the affair with Ethan</v>
      </c>
      <c r="D364" s="4" t="s">
        <v>532</v>
      </c>
      <c r="E364" s="4">
        <v>9231228.0</v>
      </c>
      <c r="F364" s="4">
        <v>13.0</v>
      </c>
      <c r="G364" s="4" t="s">
        <v>533</v>
      </c>
    </row>
    <row r="365">
      <c r="A365" s="1">
        <v>363.0</v>
      </c>
      <c r="B365" s="4" t="s">
        <v>568</v>
      </c>
      <c r="C365" s="4" t="str">
        <f>IFERROR(__xludf.DUMMYFUNCTION("GOOGLETRANSLATE(D:D,""auto"",""en"")"),"Love apartment there will be no sequel")</f>
        <v>Love apartment there will be no sequel</v>
      </c>
      <c r="D365" s="4" t="s">
        <v>581</v>
      </c>
      <c r="E365" s="4">
        <v>9134119.0</v>
      </c>
      <c r="F365" s="4">
        <v>14.0</v>
      </c>
      <c r="G365" s="4" t="s">
        <v>582</v>
      </c>
    </row>
    <row r="366">
      <c r="A366" s="1">
        <v>364.0</v>
      </c>
      <c r="B366" s="4" t="s">
        <v>568</v>
      </c>
      <c r="C366" s="4" t="str">
        <f>IFERROR(__xludf.DUMMYFUNCTION("GOOGLETRANSLATE(D:D,""auto"",""en"")"),"Contemporary young New Year too hard")</f>
        <v>Contemporary young New Year too hard</v>
      </c>
      <c r="D366" s="4" t="s">
        <v>512</v>
      </c>
      <c r="E366" s="4">
        <v>9128953.0</v>
      </c>
      <c r="F366" s="4">
        <v>15.0</v>
      </c>
      <c r="G366" s="4" t="s">
        <v>513</v>
      </c>
    </row>
    <row r="367">
      <c r="A367" s="1">
        <v>365.0</v>
      </c>
      <c r="B367" s="4" t="s">
        <v>568</v>
      </c>
      <c r="C367" s="4" t="str">
        <f>IFERROR(__xludf.DUMMYFUNCTION("GOOGLETRANSLATE(D:D,""auto"",""en"")"),"Luhan state so what I do with you")</f>
        <v>Luhan state so what I do with you</v>
      </c>
      <c r="D367" s="4" t="s">
        <v>544</v>
      </c>
      <c r="E367" s="4">
        <v>9028371.0</v>
      </c>
      <c r="F367" s="4">
        <v>16.0</v>
      </c>
      <c r="G367" s="4" t="s">
        <v>545</v>
      </c>
    </row>
    <row r="368">
      <c r="A368" s="1">
        <v>366.0</v>
      </c>
      <c r="B368" s="4" t="s">
        <v>568</v>
      </c>
      <c r="C368" s="4" t="str">
        <f>IFERROR(__xludf.DUMMYFUNCTION("GOOGLETRANSLATE(D:D,""auto"",""en"")"),"He tours with her daughter Chen Disney")</f>
        <v>He tours with her daughter Chen Disney</v>
      </c>
      <c r="D368" s="4" t="s">
        <v>583</v>
      </c>
      <c r="E368" s="4">
        <v>9013355.0</v>
      </c>
      <c r="F368" s="4">
        <v>17.0</v>
      </c>
      <c r="G368" s="4" t="s">
        <v>584</v>
      </c>
    </row>
    <row r="369">
      <c r="A369" s="1">
        <v>367.0</v>
      </c>
      <c r="B369" s="4" t="s">
        <v>568</v>
      </c>
      <c r="C369" s="4" t="str">
        <f>IFERROR(__xludf.DUMMYFUNCTION("GOOGLETRANSLATE(D:D,""auto"",""en"")"),"Slaughtered cows kneel users crowdfunding release")</f>
        <v>Slaughtered cows kneel users crowdfunding release</v>
      </c>
      <c r="D369" s="4" t="s">
        <v>585</v>
      </c>
      <c r="E369" s="4">
        <v>8930149.0</v>
      </c>
      <c r="F369" s="4">
        <v>18.0</v>
      </c>
      <c r="G369" s="4" t="s">
        <v>586</v>
      </c>
    </row>
    <row r="370">
      <c r="A370" s="1">
        <v>368.0</v>
      </c>
      <c r="B370" s="4" t="s">
        <v>568</v>
      </c>
      <c r="C370" s="4" t="str">
        <f>IFERROR(__xludf.DUMMYFUNCTION("GOOGLETRANSLATE(D:D,""auto"",""en"")"),"Year red envelopes red storied")</f>
        <v>Year red envelopes red storied</v>
      </c>
      <c r="D370" s="4" t="s">
        <v>514</v>
      </c>
      <c r="E370" s="4">
        <v>8890302.0</v>
      </c>
      <c r="F370" s="4">
        <v>19.0</v>
      </c>
      <c r="G370" s="4" t="s">
        <v>515</v>
      </c>
    </row>
    <row r="371">
      <c r="A371" s="1">
        <v>369.0</v>
      </c>
      <c r="B371" s="4" t="s">
        <v>568</v>
      </c>
      <c r="C371" s="4" t="str">
        <f>IFERROR(__xludf.DUMMYFUNCTION("GOOGLETRANSLATE(D:D,""auto"",""en"")"),"Yiyangqianxi called Uncle")</f>
        <v>Yiyangqianxi called Uncle</v>
      </c>
      <c r="D371" s="4" t="s">
        <v>587</v>
      </c>
      <c r="E371" s="4">
        <v>8847970.0</v>
      </c>
      <c r="F371" s="4">
        <v>20.0</v>
      </c>
      <c r="G371" s="4" t="s">
        <v>588</v>
      </c>
    </row>
    <row r="372">
      <c r="A372" s="1">
        <v>370.0</v>
      </c>
      <c r="B372" s="4" t="s">
        <v>568</v>
      </c>
      <c r="C372" s="4" t="str">
        <f>IFERROR(__xludf.DUMMYFUNCTION("GOOGLETRANSLATE(D:D,""auto"",""en"")"),"Over 20,000 deaths in fires koala")</f>
        <v>Over 20,000 deaths in fires koala</v>
      </c>
      <c r="D372" s="4" t="s">
        <v>536</v>
      </c>
      <c r="E372" s="4">
        <v>8767249.0</v>
      </c>
      <c r="F372" s="4">
        <v>21.0</v>
      </c>
      <c r="G372" s="4" t="s">
        <v>537</v>
      </c>
    </row>
    <row r="373">
      <c r="A373" s="1">
        <v>371.0</v>
      </c>
      <c r="B373" s="4" t="s">
        <v>568</v>
      </c>
      <c r="C373" s="4" t="str">
        <f>IFERROR(__xludf.DUMMYFUNCTION("GOOGLETRANSLATE(D:D,""auto"",""en"")"),"Weide Guan Xuan jersey retired time")</f>
        <v>Weide Guan Xuan jersey retired time</v>
      </c>
      <c r="D373" s="4" t="s">
        <v>589</v>
      </c>
      <c r="E373" s="4">
        <v>8683215.0</v>
      </c>
      <c r="F373" s="4">
        <v>22.0</v>
      </c>
      <c r="G373" s="4" t="s">
        <v>590</v>
      </c>
    </row>
    <row r="374">
      <c r="A374" s="1">
        <v>372.0</v>
      </c>
      <c r="B374" s="4" t="s">
        <v>568</v>
      </c>
      <c r="C374" s="4" t="str">
        <f>IFERROR(__xludf.DUMMYFUNCTION("GOOGLETRANSLATE(D:D,""auto"",""en"")"),"Iran to launch a second round of attacks")</f>
        <v>Iran to launch a second round of attacks</v>
      </c>
      <c r="D374" s="4" t="s">
        <v>591</v>
      </c>
      <c r="E374" s="4">
        <v>8570209.0</v>
      </c>
      <c r="F374" s="4">
        <v>23.0</v>
      </c>
      <c r="G374" s="4" t="s">
        <v>592</v>
      </c>
    </row>
    <row r="375">
      <c r="A375" s="1">
        <v>373.0</v>
      </c>
      <c r="B375" s="4" t="s">
        <v>568</v>
      </c>
      <c r="C375" s="4" t="str">
        <f>IFERROR(__xludf.DUMMYFUNCTION("GOOGLETRANSLATE(D:D,""auto"",""en"")"),"Airliner carrying 180 people crashed in Iran")</f>
        <v>Airliner carrying 180 people crashed in Iran</v>
      </c>
      <c r="D375" s="4" t="s">
        <v>593</v>
      </c>
      <c r="E375" s="4">
        <v>8552701.0</v>
      </c>
      <c r="F375" s="4">
        <v>24.0</v>
      </c>
      <c r="G375" s="4" t="s">
        <v>594</v>
      </c>
    </row>
    <row r="376">
      <c r="A376" s="1">
        <v>374.0</v>
      </c>
      <c r="B376" s="4" t="s">
        <v>568</v>
      </c>
      <c r="C376" s="4" t="str">
        <f>IFERROR(__xludf.DUMMYFUNCTION("GOOGLETRANSLATE(D:D,""auto"",""en"")"),"Michelle Chen Chen with box")</f>
        <v>Michelle Chen Chen with box</v>
      </c>
      <c r="D376" s="4" t="s">
        <v>595</v>
      </c>
      <c r="E376" s="4">
        <v>8482570.0</v>
      </c>
      <c r="F376" s="4">
        <v>25.0</v>
      </c>
      <c r="G376" s="4" t="s">
        <v>596</v>
      </c>
    </row>
    <row r="377">
      <c r="A377" s="1">
        <v>375.0</v>
      </c>
      <c r="B377" s="4" t="s">
        <v>568</v>
      </c>
      <c r="C377" s="4" t="str">
        <f>IFERROR(__xludf.DUMMYFUNCTION("GOOGLETRANSLATE(D:D,""auto"",""en"")"),"Zhang Yixing eaters challenge")</f>
        <v>Zhang Yixing eaters challenge</v>
      </c>
      <c r="D377" s="4" t="s">
        <v>597</v>
      </c>
      <c r="E377" s="4">
        <v>8453329.0</v>
      </c>
      <c r="F377" s="4">
        <v>26.0</v>
      </c>
      <c r="G377" s="4" t="s">
        <v>598</v>
      </c>
    </row>
    <row r="378">
      <c r="A378" s="1">
        <v>376.0</v>
      </c>
      <c r="B378" s="4" t="s">
        <v>568</v>
      </c>
      <c r="C378" s="4" t="str">
        <f>IFERROR(__xludf.DUMMYFUNCTION("GOOGLETRANSLATE(D:D,""auto"",""en"")"),"Iran declared the attack was revenge for the Soule Manila")</f>
        <v>Iran declared the attack was revenge for the Soule Manila</v>
      </c>
      <c r="D378" s="4" t="s">
        <v>599</v>
      </c>
      <c r="E378" s="4">
        <v>8345128.0</v>
      </c>
      <c r="F378" s="4">
        <v>27.0</v>
      </c>
      <c r="G378" s="4" t="s">
        <v>600</v>
      </c>
    </row>
    <row r="379">
      <c r="A379" s="1">
        <v>377.0</v>
      </c>
      <c r="B379" s="4" t="s">
        <v>568</v>
      </c>
      <c r="C379" s="4" t="str">
        <f>IFERROR(__xludf.DUMMYFUNCTION("GOOGLETRANSLATE(D:D,""auto"",""en"")"),"Anthony lore Raptors")</f>
        <v>Anthony lore Raptors</v>
      </c>
      <c r="D379" s="4" t="s">
        <v>601</v>
      </c>
      <c r="E379" s="4">
        <v>8248305.0</v>
      </c>
      <c r="F379" s="4">
        <v>28.0</v>
      </c>
      <c r="G379" s="4" t="s">
        <v>602</v>
      </c>
    </row>
    <row r="380">
      <c r="A380" s="1">
        <v>378.0</v>
      </c>
      <c r="B380" s="4" t="s">
        <v>568</v>
      </c>
      <c r="C380" s="4" t="str">
        <f>IFERROR(__xludf.DUMMYFUNCTION("GOOGLETRANSLATE(D:D,""auto"",""en"")"),"China space launch 2020 opener")</f>
        <v>China space launch 2020 opener</v>
      </c>
      <c r="D380" s="4" t="s">
        <v>603</v>
      </c>
      <c r="E380" s="4">
        <v>8147538.0</v>
      </c>
      <c r="F380" s="4">
        <v>29.0</v>
      </c>
      <c r="G380" s="4" t="s">
        <v>604</v>
      </c>
    </row>
    <row r="381">
      <c r="A381" s="1">
        <v>379.0</v>
      </c>
      <c r="B381" s="4" t="s">
        <v>568</v>
      </c>
      <c r="C381" s="4" t="str">
        <f>IFERROR(__xludf.DUMMYFUNCTION("GOOGLETRANSLATE(D:D,""auto"",""en"")"),"Iran announced the cause of the crash was engine failure")</f>
        <v>Iran announced the cause of the crash was engine failure</v>
      </c>
      <c r="D381" s="4" t="s">
        <v>605</v>
      </c>
      <c r="E381" s="4">
        <v>8029605.0</v>
      </c>
      <c r="F381" s="4">
        <v>30.0</v>
      </c>
      <c r="G381" s="4" t="s">
        <v>606</v>
      </c>
    </row>
    <row r="382">
      <c r="A382" s="1">
        <v>380.0</v>
      </c>
      <c r="B382" s="4" t="s">
        <v>568</v>
      </c>
      <c r="C382" s="4" t="str">
        <f>IFERROR(__xludf.DUMMYFUNCTION("GOOGLETRANSLATE(D:D,""auto"",""en"")"),"After WPC Ju Zi death overtime disease outbreak")</f>
        <v>After WPC Ju Zi death overtime disease outbreak</v>
      </c>
      <c r="D382" s="4" t="s">
        <v>502</v>
      </c>
      <c r="E382" s="4">
        <v>7972910.0</v>
      </c>
      <c r="F382" s="4">
        <v>31.0</v>
      </c>
      <c r="G382" s="4" t="s">
        <v>503</v>
      </c>
    </row>
    <row r="383">
      <c r="A383" s="1">
        <v>381.0</v>
      </c>
      <c r="B383" s="4" t="s">
        <v>568</v>
      </c>
      <c r="C383" s="4" t="str">
        <f>IFERROR(__xludf.DUMMYFUNCTION("GOOGLETRANSLATE(D:D,""auto"",""en"")"),"If Zhang Yun was cue back poetry")</f>
        <v>If Zhang Yun was cue back poetry</v>
      </c>
      <c r="D383" s="4" t="s">
        <v>607</v>
      </c>
      <c r="E383" s="4">
        <v>7968534.0</v>
      </c>
      <c r="F383" s="4">
        <v>32.0</v>
      </c>
      <c r="G383" s="4" t="s">
        <v>608</v>
      </c>
    </row>
    <row r="384">
      <c r="A384" s="1">
        <v>382.0</v>
      </c>
      <c r="B384" s="4" t="s">
        <v>568</v>
      </c>
      <c r="C384" s="4" t="str">
        <f>IFERROR(__xludf.DUMMYFUNCTION("GOOGLETRANSLATE(D:D,""auto"",""en"")"),"Ukrainian passenger plane crashed in Iran")</f>
        <v>Ukrainian passenger plane crashed in Iran</v>
      </c>
      <c r="D384" s="4" t="s">
        <v>609</v>
      </c>
      <c r="E384" s="4">
        <v>7893194.0</v>
      </c>
      <c r="F384" s="4">
        <v>33.0</v>
      </c>
      <c r="G384" s="4" t="s">
        <v>610</v>
      </c>
    </row>
    <row r="385">
      <c r="A385" s="1">
        <v>383.0</v>
      </c>
      <c r="B385" s="4" t="s">
        <v>568</v>
      </c>
      <c r="C385" s="4" t="str">
        <f>IFERROR(__xludf.DUMMYFUNCTION("GOOGLETRANSLATE(D:D,""auto"",""en"")"),"Ukraine passenger plane crash black box found")</f>
        <v>Ukraine passenger plane crash black box found</v>
      </c>
      <c r="D385" s="4" t="s">
        <v>611</v>
      </c>
      <c r="E385" s="4">
        <v>7856981.0</v>
      </c>
      <c r="F385" s="4">
        <v>34.0</v>
      </c>
      <c r="G385" s="4" t="s">
        <v>612</v>
      </c>
    </row>
    <row r="386">
      <c r="A386" s="1">
        <v>384.0</v>
      </c>
      <c r="B386" s="4" t="s">
        <v>568</v>
      </c>
      <c r="C386" s="4" t="str">
        <f>IFERROR(__xludf.DUMMYFUNCTION("GOOGLETRANSLATE(D:D,""auto"",""en"")"),"Australia will shoot 10,000 camels")</f>
        <v>Australia will shoot 10,000 camels</v>
      </c>
      <c r="D386" s="4" t="s">
        <v>542</v>
      </c>
      <c r="E386" s="4">
        <v>7813241.0</v>
      </c>
      <c r="F386" s="4">
        <v>35.0</v>
      </c>
      <c r="G386" s="4" t="s">
        <v>543</v>
      </c>
    </row>
    <row r="387">
      <c r="A387" s="1">
        <v>385.0</v>
      </c>
      <c r="B387" s="4" t="s">
        <v>568</v>
      </c>
      <c r="C387" s="4" t="str">
        <f>IFERROR(__xludf.DUMMYFUNCTION("GOOGLETRANSLATE(D:D,""auto"",""en"")"),"Wage arrears for migrant rural workers will pay additional compensation")</f>
        <v>Wage arrears for migrant rural workers will pay additional compensation</v>
      </c>
      <c r="D387" s="4" t="s">
        <v>613</v>
      </c>
      <c r="E387" s="4">
        <v>7756131.0</v>
      </c>
      <c r="F387" s="4">
        <v>36.0</v>
      </c>
      <c r="G387" s="4" t="s">
        <v>614</v>
      </c>
    </row>
    <row r="388">
      <c r="A388" s="1">
        <v>386.0</v>
      </c>
      <c r="B388" s="4" t="s">
        <v>568</v>
      </c>
      <c r="C388" s="4" t="str">
        <f>IFERROR(__xludf.DUMMYFUNCTION("GOOGLETRANSLATE(D:D,""auto"",""en"")"),"Iran is prepared 13 kinds of retaliation the US scheme")</f>
        <v>Iran is prepared 13 kinds of retaliation the US scheme</v>
      </c>
      <c r="D388" s="4" t="s">
        <v>615</v>
      </c>
      <c r="E388" s="4">
        <v>7633273.0</v>
      </c>
      <c r="F388" s="4">
        <v>37.0</v>
      </c>
      <c r="G388" s="4" t="s">
        <v>616</v>
      </c>
    </row>
    <row r="389">
      <c r="A389" s="1">
        <v>387.0</v>
      </c>
      <c r="B389" s="4" t="s">
        <v>568</v>
      </c>
      <c r="C389" s="4" t="str">
        <f>IFERROR(__xludf.DUMMYFUNCTION("GOOGLETRANSLATE(D:D,""auto"",""en"")"),"Putin's visit to Syria")</f>
        <v>Putin's visit to Syria</v>
      </c>
      <c r="D389" s="4" t="s">
        <v>617</v>
      </c>
      <c r="E389" s="4">
        <v>7613810.0</v>
      </c>
      <c r="F389" s="4">
        <v>38.0</v>
      </c>
      <c r="G389" s="4" t="s">
        <v>618</v>
      </c>
    </row>
    <row r="390">
      <c r="A390" s="1">
        <v>388.0</v>
      </c>
      <c r="B390" s="4" t="s">
        <v>568</v>
      </c>
      <c r="C390" s="4" t="str">
        <f>IFERROR(__xludf.DUMMYFUNCTION("GOOGLETRANSLATE(D:D,""auto"",""en"")"),"Female owners of illegally parked Jaguar Lianzhuang under 11")</f>
        <v>Female owners of illegally parked Jaguar Lianzhuang under 11</v>
      </c>
      <c r="D390" s="4" t="s">
        <v>619</v>
      </c>
      <c r="E390" s="4">
        <v>7551075.0</v>
      </c>
      <c r="F390" s="4">
        <v>39.0</v>
      </c>
      <c r="G390" s="4" t="s">
        <v>620</v>
      </c>
    </row>
    <row r="391">
      <c r="A391" s="1">
        <v>389.0</v>
      </c>
      <c r="B391" s="4" t="s">
        <v>568</v>
      </c>
      <c r="C391" s="4" t="str">
        <f>IFERROR(__xludf.DUMMYFUNCTION("GOOGLETRANSLATE(D:D,""auto"",""en"")"),"When Nazha reading your annual bill")</f>
        <v>When Nazha reading your annual bill</v>
      </c>
      <c r="D391" s="4" t="s">
        <v>504</v>
      </c>
      <c r="E391" s="4">
        <v>7520963.0</v>
      </c>
      <c r="F391" s="4">
        <v>40.0</v>
      </c>
      <c r="G391" s="4" t="s">
        <v>505</v>
      </c>
    </row>
    <row r="392">
      <c r="A392" s="1">
        <v>390.0</v>
      </c>
      <c r="B392" s="4" t="s">
        <v>568</v>
      </c>
      <c r="C392" s="4" t="str">
        <f>IFERROR(__xludf.DUMMYFUNCTION("GOOGLETRANSLATE(D:D,""auto"",""en"")"),"肖战 Cover")</f>
        <v>肖战 Cover</v>
      </c>
      <c r="D392" s="4" t="s">
        <v>621</v>
      </c>
      <c r="E392" s="4">
        <v>7425255.0</v>
      </c>
      <c r="F392" s="4">
        <v>41.0</v>
      </c>
      <c r="G392" s="4" t="s">
        <v>622</v>
      </c>
    </row>
    <row r="393">
      <c r="A393" s="1">
        <v>391.0</v>
      </c>
      <c r="B393" s="4" t="s">
        <v>568</v>
      </c>
      <c r="C393" s="4" t="str">
        <f>IFERROR(__xludf.DUMMYFUNCTION("GOOGLETRANSLATE(D:D,""auto"",""en"")"),"Lanzhou 49-year-old traffic police because of the sacrifice")</f>
        <v>Lanzhou 49-year-old traffic police because of the sacrifice</v>
      </c>
      <c r="D393" s="4" t="s">
        <v>623</v>
      </c>
      <c r="E393" s="4">
        <v>7302991.0</v>
      </c>
      <c r="F393" s="4">
        <v>42.0</v>
      </c>
      <c r="G393" s="4" t="s">
        <v>624</v>
      </c>
    </row>
    <row r="394">
      <c r="A394" s="1">
        <v>392.0</v>
      </c>
      <c r="B394" s="4" t="s">
        <v>568</v>
      </c>
      <c r="C394" s="4" t="str">
        <f>IFERROR(__xludf.DUMMYFUNCTION("GOOGLETRANSLATE(D:D,""auto"",""en"")"),"The right to health organization and leadership pyramid schemes sentencing")</f>
        <v>The right to health organization and leadership pyramid schemes sentencing</v>
      </c>
      <c r="D394" s="4" t="s">
        <v>625</v>
      </c>
      <c r="E394" s="4">
        <v>7239095.0</v>
      </c>
      <c r="F394" s="4">
        <v>43.0</v>
      </c>
      <c r="G394" s="4" t="s">
        <v>626</v>
      </c>
    </row>
    <row r="395">
      <c r="A395" s="1">
        <v>393.0</v>
      </c>
      <c r="B395" s="4" t="s">
        <v>568</v>
      </c>
      <c r="C395" s="4" t="str">
        <f>IFERROR(__xludf.DUMMYFUNCTION("GOOGLETRANSLATE(D:D,""auto"",""en"")"),"Firemen went out and fell into a ball")</f>
        <v>Firemen went out and fell into a ball</v>
      </c>
      <c r="D395" s="4" t="s">
        <v>627</v>
      </c>
      <c r="E395" s="4">
        <v>7131849.0</v>
      </c>
      <c r="F395" s="4">
        <v>44.0</v>
      </c>
      <c r="G395" s="4" t="s">
        <v>628</v>
      </c>
    </row>
    <row r="396">
      <c r="A396" s="1">
        <v>394.0</v>
      </c>
      <c r="B396" s="4" t="s">
        <v>568</v>
      </c>
      <c r="C396" s="4" t="str">
        <f>IFERROR(__xludf.DUMMYFUNCTION("GOOGLETRANSLATE(D:D,""auto"",""en"")"),"Wu Yifan Greek Kimura light cover")</f>
        <v>Wu Yifan Greek Kimura light cover</v>
      </c>
      <c r="D396" s="4" t="s">
        <v>629</v>
      </c>
      <c r="E396" s="4">
        <v>7069078.0</v>
      </c>
      <c r="F396" s="4">
        <v>45.0</v>
      </c>
      <c r="G396" s="4" t="s">
        <v>630</v>
      </c>
    </row>
    <row r="397">
      <c r="A397" s="1">
        <v>395.0</v>
      </c>
      <c r="B397" s="4" t="s">
        <v>568</v>
      </c>
      <c r="C397" s="4" t="str">
        <f>IFERROR(__xludf.DUMMYFUNCTION("GOOGLETRANSLATE(D:D,""auto"",""en"")"),"Deng purple chess Chen Linong teach and dialects")</f>
        <v>Deng purple chess Chen Linong teach and dialects</v>
      </c>
      <c r="D397" s="4" t="s">
        <v>631</v>
      </c>
      <c r="E397" s="4">
        <v>7063626.0</v>
      </c>
      <c r="F397" s="4">
        <v>46.0</v>
      </c>
      <c r="G397" s="4" t="s">
        <v>632</v>
      </c>
    </row>
    <row r="398">
      <c r="A398" s="1">
        <v>396.0</v>
      </c>
      <c r="B398" s="4" t="s">
        <v>568</v>
      </c>
      <c r="C398" s="4" t="str">
        <f>IFERROR(__xludf.DUMMYFUNCTION("GOOGLETRANSLATE(D:D,""auto"",""en"")"),"Eddie crying scene")</f>
        <v>Eddie crying scene</v>
      </c>
      <c r="D398" s="4" t="s">
        <v>633</v>
      </c>
      <c r="E398" s="4">
        <v>6963957.0</v>
      </c>
      <c r="F398" s="4">
        <v>47.0</v>
      </c>
      <c r="G398" s="4" t="s">
        <v>634</v>
      </c>
    </row>
    <row r="399">
      <c r="A399" s="1">
        <v>397.0</v>
      </c>
      <c r="B399" s="4" t="s">
        <v>568</v>
      </c>
      <c r="C399" s="4" t="str">
        <f>IFERROR(__xludf.DUMMYFUNCTION("GOOGLETRANSLATE(D:D,""auto"",""en"")"),"Thick eyebrows brother injured")</f>
        <v>Thick eyebrows brother injured</v>
      </c>
      <c r="D399" s="4" t="s">
        <v>635</v>
      </c>
      <c r="E399" s="4">
        <v>6954079.0</v>
      </c>
      <c r="F399" s="4">
        <v>48.0</v>
      </c>
      <c r="G399" s="4" t="s">
        <v>636</v>
      </c>
    </row>
    <row r="400">
      <c r="A400" s="1">
        <v>398.0</v>
      </c>
      <c r="B400" s="4" t="s">
        <v>568</v>
      </c>
      <c r="C400" s="4" t="str">
        <f>IFERROR(__xludf.DUMMYFUNCTION("GOOGLETRANSLATE(D:D,""auto"",""en"")"),"Iran released the embassy security alert")</f>
        <v>Iran released the embassy security alert</v>
      </c>
      <c r="D400" s="4" t="s">
        <v>637</v>
      </c>
      <c r="E400" s="4">
        <v>6895852.0</v>
      </c>
      <c r="F400" s="4">
        <v>49.0</v>
      </c>
      <c r="G400" s="4" t="s">
        <v>638</v>
      </c>
    </row>
    <row r="401">
      <c r="A401" s="1">
        <v>399.0</v>
      </c>
      <c r="B401" s="4" t="s">
        <v>568</v>
      </c>
      <c r="C401" s="4" t="str">
        <f>IFERROR(__xludf.DUMMYFUNCTION("GOOGLETRANSLATE(D:D,""auto"",""en"")"),"Zhu Dan Ma Sichun called the wrong name")</f>
        <v>Zhu Dan Ma Sichun called the wrong name</v>
      </c>
      <c r="D401" s="4" t="s">
        <v>639</v>
      </c>
      <c r="E401" s="4">
        <v>6864358.0</v>
      </c>
      <c r="F401" s="4">
        <v>50.0</v>
      </c>
      <c r="G401" s="4" t="s">
        <v>640</v>
      </c>
    </row>
    <row r="402">
      <c r="A402" s="1">
        <v>400.0</v>
      </c>
      <c r="B402" s="4" t="s">
        <v>641</v>
      </c>
      <c r="C402" s="4" t="str">
        <f>IFERROR(__xludf.DUMMYFUNCTION("GOOGLETRANSLATE(D:D,""auto"",""en"")"),"Yi Xi smelt one thousand Chinese women's volleyball team to promote the song")</f>
        <v>Yi Xi smelt one thousand Chinese women's volleyball team to promote the song</v>
      </c>
      <c r="D402" s="4" t="s">
        <v>642</v>
      </c>
      <c r="E402" s="4">
        <v>9714116.0</v>
      </c>
      <c r="F402" s="4">
        <v>1.0</v>
      </c>
      <c r="G402" s="4" t="s">
        <v>643</v>
      </c>
    </row>
    <row r="403">
      <c r="A403" s="1">
        <v>401.0</v>
      </c>
      <c r="B403" s="4" t="s">
        <v>641</v>
      </c>
      <c r="C403" s="4" t="str">
        <f>IFERROR(__xludf.DUMMYFUNCTION("GOOGLETRANSLATE(D:D,""auto"",""en"")"),"Please Xiao Zhan Xu Zheng Li Zhang Yixing now co-production film")</f>
        <v>Please Xiao Zhan Xu Zheng Li Zhang Yixing now co-production film</v>
      </c>
      <c r="D403" s="4" t="s">
        <v>644</v>
      </c>
      <c r="E403" s="4">
        <v>9519280.0</v>
      </c>
      <c r="F403" s="4">
        <v>2.0</v>
      </c>
      <c r="G403" s="4" t="s">
        <v>645</v>
      </c>
    </row>
    <row r="404">
      <c r="A404" s="1">
        <v>402.0</v>
      </c>
      <c r="B404" s="4" t="s">
        <v>641</v>
      </c>
      <c r="C404" s="4" t="str">
        <f>IFERROR(__xludf.DUMMYFUNCTION("GOOGLETRANSLATE(D:D,""auto"",""en"")"),"Junior high school students to see my grandfather one last time has done nothing")</f>
        <v>Junior high school students to see my grandfather one last time has done nothing</v>
      </c>
      <c r="D404" s="4" t="s">
        <v>646</v>
      </c>
      <c r="E404" s="4">
        <v>9071931.0</v>
      </c>
      <c r="F404" s="4">
        <v>3.0</v>
      </c>
      <c r="G404" s="4" t="s">
        <v>647</v>
      </c>
    </row>
    <row r="405">
      <c r="A405" s="1">
        <v>403.0</v>
      </c>
      <c r="B405" s="4" t="s">
        <v>641</v>
      </c>
      <c r="C405" s="4" t="str">
        <f>IFERROR(__xludf.DUMMYFUNCTION("GOOGLETRANSLATE(D:D,""auto"",""en"")"),"Nurses communicate with deaf uncle stethoscope")</f>
        <v>Nurses communicate with deaf uncle stethoscope</v>
      </c>
      <c r="D405" s="4" t="s">
        <v>648</v>
      </c>
      <c r="E405" s="4">
        <v>9063164.0</v>
      </c>
      <c r="F405" s="4">
        <v>4.0</v>
      </c>
      <c r="G405" s="4" t="s">
        <v>649</v>
      </c>
    </row>
    <row r="406">
      <c r="A406" s="1">
        <v>404.0</v>
      </c>
      <c r="B406" s="4" t="s">
        <v>641</v>
      </c>
      <c r="C406" s="4" t="str">
        <f>IFERROR(__xludf.DUMMYFUNCTION("GOOGLETRANSLATE(D:D,""auto"",""en"")"),"Wu Yifan Greek Kimura light cover")</f>
        <v>Wu Yifan Greek Kimura light cover</v>
      </c>
      <c r="D406" s="4" t="s">
        <v>629</v>
      </c>
      <c r="E406" s="4">
        <v>8840185.0</v>
      </c>
      <c r="F406" s="4">
        <v>5.0</v>
      </c>
      <c r="G406" s="4" t="s">
        <v>630</v>
      </c>
    </row>
    <row r="407">
      <c r="A407" s="1">
        <v>405.0</v>
      </c>
      <c r="B407" s="4" t="s">
        <v>641</v>
      </c>
      <c r="C407" s="4" t="str">
        <f>IFERROR(__xludf.DUMMYFUNCTION("GOOGLETRANSLATE(D:D,""auto"",""en"")"),"US new economic sanctions against Iran")</f>
        <v>US new economic sanctions against Iran</v>
      </c>
      <c r="D407" s="4" t="s">
        <v>650</v>
      </c>
      <c r="E407" s="4">
        <v>8770427.0</v>
      </c>
      <c r="F407" s="4">
        <v>6.0</v>
      </c>
      <c r="G407" s="4" t="s">
        <v>651</v>
      </c>
    </row>
    <row r="408">
      <c r="A408" s="1">
        <v>406.0</v>
      </c>
      <c r="B408" s="4" t="s">
        <v>641</v>
      </c>
      <c r="C408" s="4" t="str">
        <f>IFERROR(__xludf.DUMMYFUNCTION("GOOGLETRANSLATE(D:D,""auto"",""en"")"),"Michelle Chen Chen with box")</f>
        <v>Michelle Chen Chen with box</v>
      </c>
      <c r="D408" s="4" t="s">
        <v>595</v>
      </c>
      <c r="E408" s="4">
        <v>8633613.0</v>
      </c>
      <c r="F408" s="4">
        <v>7.0</v>
      </c>
      <c r="G408" s="4" t="s">
        <v>596</v>
      </c>
    </row>
    <row r="409">
      <c r="A409" s="1">
        <v>407.0</v>
      </c>
      <c r="B409" s="4" t="s">
        <v>641</v>
      </c>
      <c r="C409" s="4" t="str">
        <f>IFERROR(__xludf.DUMMYFUNCTION("GOOGLETRANSLATE(D:D,""auto"",""en"")"),"Li Yan Street beat winter wear suspenders")</f>
        <v>Li Yan Street beat winter wear suspenders</v>
      </c>
      <c r="D409" s="4" t="s">
        <v>652</v>
      </c>
      <c r="E409" s="4">
        <v>8413559.0</v>
      </c>
      <c r="F409" s="4">
        <v>8.0</v>
      </c>
      <c r="G409" s="4" t="s">
        <v>653</v>
      </c>
    </row>
    <row r="410">
      <c r="A410" s="1">
        <v>408.0</v>
      </c>
      <c r="B410" s="4" t="s">
        <v>641</v>
      </c>
      <c r="C410" s="4" t="str">
        <f>IFERROR(__xludf.DUMMYFUNCTION("GOOGLETRANSLATE(D:D,""auto"",""en"")"),"Zheng Shuang appeared in court")</f>
        <v>Zheng Shuang appeared in court</v>
      </c>
      <c r="D410" s="4" t="s">
        <v>654</v>
      </c>
      <c r="E410" s="4">
        <v>8355095.0</v>
      </c>
      <c r="F410" s="4">
        <v>9.0</v>
      </c>
      <c r="G410" s="4" t="s">
        <v>655</v>
      </c>
    </row>
    <row r="411">
      <c r="A411" s="1">
        <v>409.0</v>
      </c>
      <c r="B411" s="4" t="s">
        <v>641</v>
      </c>
      <c r="C411" s="4" t="str">
        <f>IFERROR(__xludf.DUMMYFUNCTION("GOOGLETRANSLATE(D:D,""auto"",""en"")"),"Iranian Foreign Minister said that self-defense is over")</f>
        <v>Iranian Foreign Minister said that self-defense is over</v>
      </c>
      <c r="D411" s="4" t="s">
        <v>656</v>
      </c>
      <c r="E411" s="4">
        <v>8268445.0</v>
      </c>
      <c r="F411" s="4">
        <v>10.0</v>
      </c>
      <c r="G411" s="4" t="s">
        <v>657</v>
      </c>
    </row>
    <row r="412">
      <c r="A412" s="1">
        <v>410.0</v>
      </c>
      <c r="B412" s="4" t="s">
        <v>641</v>
      </c>
      <c r="C412" s="4" t="str">
        <f>IFERROR(__xludf.DUMMYFUNCTION("GOOGLETRANSLATE(D:D,""auto"",""en"")"),"Dilly Reba Huang Jingyu")</f>
        <v>Dilly Reba Huang Jingyu</v>
      </c>
      <c r="D412" s="4" t="s">
        <v>573</v>
      </c>
      <c r="E412" s="4">
        <v>8170091.0</v>
      </c>
      <c r="F412" s="4">
        <v>11.0</v>
      </c>
      <c r="G412" s="4" t="s">
        <v>574</v>
      </c>
    </row>
    <row r="413">
      <c r="A413" s="1">
        <v>411.0</v>
      </c>
      <c r="B413" s="4" t="s">
        <v>641</v>
      </c>
      <c r="C413" s="4" t="str">
        <f>IFERROR(__xludf.DUMMYFUNCTION("GOOGLETRANSLATE(D:D,""auto"",""en"")"),"Iran to launch a second round of attacks")</f>
        <v>Iran to launch a second round of attacks</v>
      </c>
      <c r="D413" s="4" t="s">
        <v>591</v>
      </c>
      <c r="E413" s="4">
        <v>8162482.0</v>
      </c>
      <c r="F413" s="4">
        <v>12.0</v>
      </c>
      <c r="G413" s="4" t="s">
        <v>592</v>
      </c>
    </row>
    <row r="414">
      <c r="A414" s="1">
        <v>412.0</v>
      </c>
      <c r="B414" s="4" t="s">
        <v>641</v>
      </c>
      <c r="C414" s="4" t="str">
        <f>IFERROR(__xludf.DUMMYFUNCTION("GOOGLETRANSLATE(D:D,""auto"",""en"")"),"Lee is now ask you to go home to eat it")</f>
        <v>Lee is now ask you to go home to eat it</v>
      </c>
      <c r="D414" s="4" t="s">
        <v>658</v>
      </c>
      <c r="E414" s="4">
        <v>8076102.0</v>
      </c>
      <c r="F414" s="4">
        <v>13.0</v>
      </c>
      <c r="G414" s="4" t="s">
        <v>659</v>
      </c>
    </row>
    <row r="415">
      <c r="A415" s="1">
        <v>413.0</v>
      </c>
      <c r="B415" s="4" t="s">
        <v>641</v>
      </c>
      <c r="C415" s="4" t="str">
        <f>IFERROR(__xludf.DUMMYFUNCTION("GOOGLETRANSLATE(D:D,""auto"",""en"")"),"Nigel Amat help make-up artist Lee now Starchaser")</f>
        <v>Nigel Amat help make-up artist Lee now Starchaser</v>
      </c>
      <c r="D415" s="4" t="s">
        <v>660</v>
      </c>
      <c r="E415" s="4">
        <v>8023055.0</v>
      </c>
      <c r="F415" s="4">
        <v>14.0</v>
      </c>
      <c r="G415" s="4" t="s">
        <v>661</v>
      </c>
    </row>
    <row r="416">
      <c r="A416" s="1">
        <v>414.0</v>
      </c>
      <c r="B416" s="4" t="s">
        <v>641</v>
      </c>
      <c r="C416" s="4" t="str">
        <f>IFERROR(__xludf.DUMMYFUNCTION("GOOGLETRANSLATE(D:D,""auto"",""en"")"),"Love apartment there will be no sequel")</f>
        <v>Love apartment there will be no sequel</v>
      </c>
      <c r="D416" s="4" t="s">
        <v>581</v>
      </c>
      <c r="E416" s="4">
        <v>7914121.0</v>
      </c>
      <c r="F416" s="4">
        <v>15.0</v>
      </c>
      <c r="G416" s="4" t="s">
        <v>582</v>
      </c>
    </row>
    <row r="417">
      <c r="A417" s="1">
        <v>415.0</v>
      </c>
      <c r="B417" s="4" t="s">
        <v>641</v>
      </c>
      <c r="C417" s="4" t="str">
        <f>IFERROR(__xludf.DUMMYFUNCTION("GOOGLETRANSLATE(D:D,""auto"",""en"")"),"Deng purple chess fans bald spot demand wig")</f>
        <v>Deng purple chess fans bald spot demand wig</v>
      </c>
      <c r="D417" s="4" t="s">
        <v>662</v>
      </c>
      <c r="E417" s="4">
        <v>7864910.0</v>
      </c>
      <c r="F417" s="4">
        <v>16.0</v>
      </c>
      <c r="G417" s="4" t="s">
        <v>663</v>
      </c>
    </row>
    <row r="418">
      <c r="A418" s="1">
        <v>416.0</v>
      </c>
      <c r="B418" s="4" t="s">
        <v>641</v>
      </c>
      <c r="C418" s="4" t="str">
        <f>IFERROR(__xludf.DUMMYFUNCTION("GOOGLETRANSLATE(D:D,""auto"",""en"")"),"He tours with her daughter Chen Disney")</f>
        <v>He tours with her daughter Chen Disney</v>
      </c>
      <c r="D418" s="4" t="s">
        <v>583</v>
      </c>
      <c r="E418" s="4">
        <v>7809834.0</v>
      </c>
      <c r="F418" s="4">
        <v>17.0</v>
      </c>
      <c r="G418" s="4" t="s">
        <v>584</v>
      </c>
    </row>
    <row r="419">
      <c r="A419" s="1">
        <v>417.0</v>
      </c>
      <c r="B419" s="4" t="s">
        <v>641</v>
      </c>
      <c r="C419" s="4" t="str">
        <f>IFERROR(__xludf.DUMMYFUNCTION("GOOGLETRANSLATE(D:D,""auto"",""en"")"),"Slaughtered cows kneel users crowdfunding release")</f>
        <v>Slaughtered cows kneel users crowdfunding release</v>
      </c>
      <c r="D419" s="4" t="s">
        <v>585</v>
      </c>
      <c r="E419" s="4">
        <v>7742626.0</v>
      </c>
      <c r="F419" s="4">
        <v>18.0</v>
      </c>
      <c r="G419" s="4" t="s">
        <v>586</v>
      </c>
    </row>
    <row r="420">
      <c r="A420" s="1">
        <v>418.0</v>
      </c>
      <c r="B420" s="4" t="s">
        <v>641</v>
      </c>
      <c r="C420" s="4" t="str">
        <f>IFERROR(__xludf.DUMMYFUNCTION("GOOGLETRANSLATE(D:D,""auto"",""en"")"),"The stage is everywhere")</f>
        <v>The stage is everywhere</v>
      </c>
      <c r="D420" s="4" t="s">
        <v>188</v>
      </c>
      <c r="E420" s="4">
        <v>7688861.0</v>
      </c>
      <c r="F420" s="4">
        <v>19.0</v>
      </c>
      <c r="G420" s="4" t="s">
        <v>189</v>
      </c>
    </row>
    <row r="421">
      <c r="A421" s="1">
        <v>419.0</v>
      </c>
      <c r="B421" s="4" t="s">
        <v>641</v>
      </c>
      <c r="C421" s="4" t="str">
        <f>IFERROR(__xludf.DUMMYFUNCTION("GOOGLETRANSLATE(D:D,""auto"",""en"")"),"Reach out to you the best of luck")</f>
        <v>Reach out to you the best of luck</v>
      </c>
      <c r="D421" s="4" t="s">
        <v>664</v>
      </c>
      <c r="E421" s="4">
        <v>7643191.0</v>
      </c>
      <c r="F421" s="4">
        <v>20.0</v>
      </c>
      <c r="G421" s="4" t="s">
        <v>665</v>
      </c>
    </row>
    <row r="422">
      <c r="A422" s="1">
        <v>420.0</v>
      </c>
      <c r="B422" s="4" t="s">
        <v>641</v>
      </c>
      <c r="C422" s="4" t="str">
        <f>IFERROR(__xludf.DUMMYFUNCTION("GOOGLETRANSLATE(D:D,""auto"",""en"")"),"Contemporary women's consumption concept")</f>
        <v>Contemporary women's consumption concept</v>
      </c>
      <c r="D422" s="4" t="s">
        <v>666</v>
      </c>
      <c r="E422" s="4">
        <v>7638856.0</v>
      </c>
      <c r="F422" s="4">
        <v>21.0</v>
      </c>
      <c r="G422" s="4" t="s">
        <v>667</v>
      </c>
    </row>
    <row r="423">
      <c r="A423" s="1">
        <v>421.0</v>
      </c>
      <c r="B423" s="4" t="s">
        <v>641</v>
      </c>
      <c r="C423" s="4" t="str">
        <f>IFERROR(__xludf.DUMMYFUNCTION("GOOGLETRANSLATE(D:D,""auto"",""en"")"),"Musk Model 3 delivery site embarrassed dance")</f>
        <v>Musk Model 3 delivery site embarrassed dance</v>
      </c>
      <c r="D423" s="4" t="s">
        <v>668</v>
      </c>
      <c r="E423" s="4">
        <v>7597522.0</v>
      </c>
      <c r="F423" s="4">
        <v>22.0</v>
      </c>
      <c r="G423" s="4" t="s">
        <v>669</v>
      </c>
    </row>
    <row r="424">
      <c r="A424" s="1">
        <v>422.0</v>
      </c>
      <c r="B424" s="4" t="s">
        <v>641</v>
      </c>
      <c r="C424" s="4" t="str">
        <f>IFERROR(__xludf.DUMMYFUNCTION("GOOGLETRANSLATE(D:D,""auto"",""en"")"),"Xiaozhan buy ear")</f>
        <v>Xiaozhan buy ear</v>
      </c>
      <c r="D424" s="4" t="s">
        <v>579</v>
      </c>
      <c r="E424" s="4">
        <v>7536582.0</v>
      </c>
      <c r="F424" s="4">
        <v>23.0</v>
      </c>
      <c r="G424" s="4" t="s">
        <v>580</v>
      </c>
    </row>
    <row r="425">
      <c r="A425" s="1">
        <v>423.0</v>
      </c>
      <c r="B425" s="4" t="s">
        <v>641</v>
      </c>
      <c r="C425" s="4" t="str">
        <f>IFERROR(__xludf.DUMMYFUNCTION("GOOGLETRANSLATE(D:D,""auto"",""en"")"),"If Zhang Yun was cue back poetry")</f>
        <v>If Zhang Yun was cue back poetry</v>
      </c>
      <c r="D425" s="4" t="s">
        <v>607</v>
      </c>
      <c r="E425" s="4">
        <v>7447532.0</v>
      </c>
      <c r="F425" s="4">
        <v>24.0</v>
      </c>
      <c r="G425" s="4" t="s">
        <v>608</v>
      </c>
    </row>
    <row r="426">
      <c r="A426" s="1">
        <v>424.0</v>
      </c>
      <c r="B426" s="4" t="s">
        <v>641</v>
      </c>
      <c r="C426" s="4" t="str">
        <f>IFERROR(__xludf.DUMMYFUNCTION("GOOGLETRANSLATE(D:D,""auto"",""en"")"),"China space launch 2020 opener")</f>
        <v>China space launch 2020 opener</v>
      </c>
      <c r="D426" s="4" t="s">
        <v>603</v>
      </c>
      <c r="E426" s="4">
        <v>7408257.0</v>
      </c>
      <c r="F426" s="4">
        <v>25.0</v>
      </c>
      <c r="G426" s="4" t="s">
        <v>604</v>
      </c>
    </row>
    <row r="427">
      <c r="A427" s="1">
        <v>425.0</v>
      </c>
      <c r="B427" s="4" t="s">
        <v>641</v>
      </c>
      <c r="C427" s="4" t="str">
        <f>IFERROR(__xludf.DUMMYFUNCTION("GOOGLETRANSLATE(D:D,""auto"",""en"")"),"Yiyangqianxi called Uncle")</f>
        <v>Yiyangqianxi called Uncle</v>
      </c>
      <c r="D427" s="4" t="s">
        <v>587</v>
      </c>
      <c r="E427" s="4">
        <v>7357225.0</v>
      </c>
      <c r="F427" s="4">
        <v>26.0</v>
      </c>
      <c r="G427" s="4" t="s">
        <v>588</v>
      </c>
    </row>
    <row r="428">
      <c r="A428" s="1">
        <v>426.0</v>
      </c>
      <c r="B428" s="4" t="s">
        <v>641</v>
      </c>
      <c r="C428" s="4" t="str">
        <f>IFERROR(__xludf.DUMMYFUNCTION("GOOGLETRANSLATE(D:D,""auto"",""en"")"),"Ren Jialun Tan Song Yun-line made of sugar")</f>
        <v>Ren Jialun Tan Song Yun-line made of sugar</v>
      </c>
      <c r="D428" s="4" t="s">
        <v>670</v>
      </c>
      <c r="E428" s="4">
        <v>7305488.0</v>
      </c>
      <c r="F428" s="4">
        <v>27.0</v>
      </c>
      <c r="G428" s="4" t="s">
        <v>671</v>
      </c>
    </row>
    <row r="429">
      <c r="A429" s="1">
        <v>427.0</v>
      </c>
      <c r="B429" s="4" t="s">
        <v>641</v>
      </c>
      <c r="C429" s="4" t="str">
        <f>IFERROR(__xludf.DUMMYFUNCTION("GOOGLETRANSLATE(D:D,""auto"",""en"")"),"Jose finally wear a skirt")</f>
        <v>Jose finally wear a skirt</v>
      </c>
      <c r="D429" s="4" t="s">
        <v>672</v>
      </c>
      <c r="E429" s="4">
        <v>7299439.0</v>
      </c>
      <c r="F429" s="4">
        <v>28.0</v>
      </c>
      <c r="G429" s="4" t="s">
        <v>673</v>
      </c>
    </row>
    <row r="430">
      <c r="A430" s="1">
        <v>428.0</v>
      </c>
      <c r="B430" s="4" t="s">
        <v>641</v>
      </c>
      <c r="C430" s="4" t="str">
        <f>IFERROR(__xludf.DUMMYFUNCTION("GOOGLETRANSLATE(D:D,""auto"",""en"")"),"Mysterious twin suspect abducted")</f>
        <v>Mysterious twin suspect abducted</v>
      </c>
      <c r="D430" s="4" t="s">
        <v>674</v>
      </c>
      <c r="E430" s="4">
        <v>7244563.0</v>
      </c>
      <c r="F430" s="4">
        <v>29.0</v>
      </c>
      <c r="G430" s="4" t="s">
        <v>675</v>
      </c>
    </row>
    <row r="431">
      <c r="A431" s="1">
        <v>429.0</v>
      </c>
      <c r="B431" s="4" t="s">
        <v>641</v>
      </c>
      <c r="C431" s="4" t="str">
        <f>IFERROR(__xludf.DUMMYFUNCTION("GOOGLETRANSLATE(D:D,""auto"",""en"")"),"Ross returned to the All-Star Skills Competition")</f>
        <v>Ross returned to the All-Star Skills Competition</v>
      </c>
      <c r="D431" s="4" t="s">
        <v>676</v>
      </c>
      <c r="E431" s="4">
        <v>7217085.0</v>
      </c>
      <c r="F431" s="4">
        <v>30.0</v>
      </c>
      <c r="G431" s="4" t="s">
        <v>677</v>
      </c>
    </row>
    <row r="432">
      <c r="A432" s="1">
        <v>430.0</v>
      </c>
      <c r="B432" s="4" t="s">
        <v>641</v>
      </c>
      <c r="C432" s="4" t="str">
        <f>IFERROR(__xludf.DUMMYFUNCTION("GOOGLETRANSLATE(D:D,""auto"",""en"")"),"Lanzhou 49-year-old traffic police because of the sacrifice")</f>
        <v>Lanzhou 49-year-old traffic police because of the sacrifice</v>
      </c>
      <c r="D432" s="4" t="s">
        <v>623</v>
      </c>
      <c r="E432" s="4">
        <v>7179699.0</v>
      </c>
      <c r="F432" s="4">
        <v>31.0</v>
      </c>
      <c r="G432" s="4" t="s">
        <v>624</v>
      </c>
    </row>
    <row r="433">
      <c r="A433" s="1">
        <v>431.0</v>
      </c>
      <c r="B433" s="4" t="s">
        <v>641</v>
      </c>
      <c r="C433" s="4" t="str">
        <f>IFERROR(__xludf.DUMMYFUNCTION("GOOGLETRANSLATE(D:D,""auto"",""en"")"),"Alan Tan Ban Chen Qiao En")</f>
        <v>Alan Tan Ban Chen Qiao En</v>
      </c>
      <c r="D433" s="4" t="s">
        <v>678</v>
      </c>
      <c r="E433" s="4">
        <v>7170788.0</v>
      </c>
      <c r="F433" s="4">
        <v>32.0</v>
      </c>
      <c r="G433" s="4" t="s">
        <v>679</v>
      </c>
    </row>
    <row r="434">
      <c r="A434" s="1">
        <v>432.0</v>
      </c>
      <c r="B434" s="4" t="s">
        <v>641</v>
      </c>
      <c r="C434" s="4" t="str">
        <f>IFERROR(__xludf.DUMMYFUNCTION("GOOGLETRANSLATE(D:D,""auto"",""en"")"),"Zhu Dan Ma Sichun called the wrong name")</f>
        <v>Zhu Dan Ma Sichun called the wrong name</v>
      </c>
      <c r="D434" s="4" t="s">
        <v>639</v>
      </c>
      <c r="E434" s="4">
        <v>7165436.0</v>
      </c>
      <c r="F434" s="4">
        <v>33.0</v>
      </c>
      <c r="G434" s="4" t="s">
        <v>640</v>
      </c>
    </row>
    <row r="435">
      <c r="A435" s="1">
        <v>433.0</v>
      </c>
      <c r="B435" s="4" t="s">
        <v>641</v>
      </c>
      <c r="C435" s="4" t="str">
        <f>IFERROR(__xludf.DUMMYFUNCTION("GOOGLETRANSLATE(D:D,""auto"",""en"")"),"Cai Xu Kun exposes you to participate in the Green 2 reasons")</f>
        <v>Cai Xu Kun exposes you to participate in the Green 2 reasons</v>
      </c>
      <c r="D435" s="4" t="s">
        <v>680</v>
      </c>
      <c r="E435" s="4">
        <v>7133971.0</v>
      </c>
      <c r="F435" s="4">
        <v>34.0</v>
      </c>
      <c r="G435" s="4" t="s">
        <v>681</v>
      </c>
    </row>
    <row r="436">
      <c r="A436" s="1">
        <v>434.0</v>
      </c>
      <c r="B436" s="4" t="s">
        <v>641</v>
      </c>
      <c r="C436" s="4" t="str">
        <f>IFERROR(__xludf.DUMMYFUNCTION("GOOGLETRANSLATE(D:D,""auto"",""en"")"),"Ukrainian passenger plane crashed in Iran")</f>
        <v>Ukrainian passenger plane crashed in Iran</v>
      </c>
      <c r="D436" s="4" t="s">
        <v>609</v>
      </c>
      <c r="E436" s="4">
        <v>7079332.0</v>
      </c>
      <c r="F436" s="4">
        <v>35.0</v>
      </c>
      <c r="G436" s="4" t="s">
        <v>610</v>
      </c>
    </row>
    <row r="437">
      <c r="A437" s="1">
        <v>435.0</v>
      </c>
      <c r="B437" s="4" t="s">
        <v>641</v>
      </c>
      <c r="C437" s="4" t="str">
        <f>IFERROR(__xludf.DUMMYFUNCTION("GOOGLETRANSLATE(D:D,""auto"",""en"")"),"Zhu Dan most afraid to hear the English word")</f>
        <v>Zhu Dan most afraid to hear the English word</v>
      </c>
      <c r="D437" s="4" t="s">
        <v>682</v>
      </c>
      <c r="E437" s="4">
        <v>7004890.0</v>
      </c>
      <c r="F437" s="4">
        <v>36.0</v>
      </c>
      <c r="G437" s="4" t="s">
        <v>683</v>
      </c>
    </row>
    <row r="438">
      <c r="A438" s="1">
        <v>436.0</v>
      </c>
      <c r="B438" s="4" t="s">
        <v>641</v>
      </c>
      <c r="C438" s="4" t="str">
        <f>IFERROR(__xludf.DUMMYFUNCTION("GOOGLETRANSLATE(D:D,""auto"",""en"")"),"Thick eyebrows brother injured")</f>
        <v>Thick eyebrows brother injured</v>
      </c>
      <c r="D438" s="4" t="s">
        <v>635</v>
      </c>
      <c r="E438" s="4">
        <v>6862246.0</v>
      </c>
      <c r="F438" s="4">
        <v>37.0</v>
      </c>
      <c r="G438" s="4" t="s">
        <v>636</v>
      </c>
    </row>
    <row r="439">
      <c r="A439" s="1">
        <v>437.0</v>
      </c>
      <c r="B439" s="4" t="s">
        <v>641</v>
      </c>
      <c r="C439" s="4" t="str">
        <f>IFERROR(__xludf.DUMMYFUNCTION("GOOGLETRANSLATE(D:D,""auto"",""en"")"),"Worshiping Warriors were deleted because they looked like friends")</f>
        <v>Worshiping Warriors were deleted because they looked like friends</v>
      </c>
      <c r="D439" s="4" t="s">
        <v>684</v>
      </c>
      <c r="E439" s="4">
        <v>6810669.0</v>
      </c>
      <c r="F439" s="4">
        <v>38.0</v>
      </c>
      <c r="G439" s="4" t="s">
        <v>685</v>
      </c>
    </row>
    <row r="440">
      <c r="A440" s="1">
        <v>438.0</v>
      </c>
      <c r="B440" s="4" t="s">
        <v>641</v>
      </c>
      <c r="C440" s="4" t="str">
        <f>IFERROR(__xludf.DUMMYFUNCTION("GOOGLETRANSLATE(D:D,""auto"",""en"")"),"Zhang Yixing eaters challenge")</f>
        <v>Zhang Yixing eaters challenge</v>
      </c>
      <c r="D440" s="4" t="s">
        <v>597</v>
      </c>
      <c r="E440" s="4">
        <v>6794024.0</v>
      </c>
      <c r="F440" s="4">
        <v>39.0</v>
      </c>
      <c r="G440" s="4" t="s">
        <v>598</v>
      </c>
    </row>
    <row r="441">
      <c r="A441" s="1">
        <v>439.0</v>
      </c>
      <c r="B441" s="4" t="s">
        <v>641</v>
      </c>
      <c r="C441" s="4" t="str">
        <f>IFERROR(__xludf.DUMMYFUNCTION("GOOGLETRANSLATE(D:D,""auto"",""en"")"),"Explosion in the Iraqi capital")</f>
        <v>Explosion in the Iraqi capital</v>
      </c>
      <c r="D441" s="4" t="s">
        <v>686</v>
      </c>
      <c r="E441" s="4">
        <v>6690181.0</v>
      </c>
      <c r="F441" s="4">
        <v>40.0</v>
      </c>
      <c r="G441" s="4" t="s">
        <v>687</v>
      </c>
    </row>
    <row r="442">
      <c r="A442" s="1">
        <v>440.0</v>
      </c>
      <c r="B442" s="4" t="s">
        <v>641</v>
      </c>
      <c r="C442" s="4" t="str">
        <f>IFERROR(__xludf.DUMMYFUNCTION("GOOGLETRANSLATE(D:D,""auto"",""en"")"),"Wang Junkai inside jacket jeans casual pants")</f>
        <v>Wang Junkai inside jacket jeans casual pants</v>
      </c>
      <c r="D442" s="4" t="s">
        <v>688</v>
      </c>
      <c r="E442" s="4">
        <v>6622638.0</v>
      </c>
      <c r="F442" s="4">
        <v>41.0</v>
      </c>
      <c r="G442" s="4" t="s">
        <v>689</v>
      </c>
    </row>
    <row r="443">
      <c r="A443" s="1">
        <v>441.0</v>
      </c>
      <c r="B443" s="4" t="s">
        <v>641</v>
      </c>
      <c r="C443" s="4" t="str">
        <f>IFERROR(__xludf.DUMMYFUNCTION("GOOGLETRANSLATE(D:D,""auto"",""en"")"),"Ukraine basic rule out operator error caused plane crash")</f>
        <v>Ukraine basic rule out operator error caused plane crash</v>
      </c>
      <c r="D443" s="4" t="s">
        <v>690</v>
      </c>
      <c r="E443" s="4">
        <v>6505725.0</v>
      </c>
      <c r="F443" s="4">
        <v>42.0</v>
      </c>
      <c r="G443" s="4" t="s">
        <v>691</v>
      </c>
    </row>
    <row r="444">
      <c r="A444" s="1">
        <v>442.0</v>
      </c>
      <c r="B444" s="4" t="s">
        <v>641</v>
      </c>
      <c r="C444" s="4" t="str">
        <f>IFERROR(__xludf.DUMMYFUNCTION("GOOGLETRANSLATE(D:D,""auto"",""en"")"),"Bieber suffering from Lyme disease")</f>
        <v>Bieber suffering from Lyme disease</v>
      </c>
      <c r="D444" s="4" t="s">
        <v>692</v>
      </c>
      <c r="E444" s="4">
        <v>6468619.0</v>
      </c>
      <c r="F444" s="4">
        <v>43.0</v>
      </c>
      <c r="G444" s="4" t="s">
        <v>693</v>
      </c>
    </row>
    <row r="445">
      <c r="A445" s="1">
        <v>443.0</v>
      </c>
      <c r="B445" s="4" t="s">
        <v>641</v>
      </c>
      <c r="C445" s="4" t="str">
        <f>IFERROR(__xludf.DUMMYFUNCTION("GOOGLETRANSLATE(D:D,""auto"",""en"")"),"One hundred students endorsement underground parking")</f>
        <v>One hundred students endorsement underground parking</v>
      </c>
      <c r="D445" s="4" t="s">
        <v>694</v>
      </c>
      <c r="E445" s="4">
        <v>6342432.0</v>
      </c>
      <c r="F445" s="4">
        <v>44.0</v>
      </c>
      <c r="G445" s="4" t="s">
        <v>695</v>
      </c>
    </row>
    <row r="446">
      <c r="A446" s="1">
        <v>444.0</v>
      </c>
      <c r="B446" s="4" t="s">
        <v>641</v>
      </c>
      <c r="C446" s="4" t="str">
        <f>IFERROR(__xludf.DUMMYFUNCTION("GOOGLETRANSLATE(D:D,""auto"",""en"")"),"US talk show host Tucao Trump")</f>
        <v>US talk show host Tucao Trump</v>
      </c>
      <c r="D446" s="4" t="s">
        <v>696</v>
      </c>
      <c r="E446" s="4">
        <v>6316629.0</v>
      </c>
      <c r="F446" s="4">
        <v>45.0</v>
      </c>
      <c r="G446" s="4" t="s">
        <v>697</v>
      </c>
    </row>
    <row r="447">
      <c r="A447" s="1">
        <v>445.0</v>
      </c>
      <c r="B447" s="4" t="s">
        <v>641</v>
      </c>
      <c r="C447" s="4" t="str">
        <f>IFERROR(__xludf.DUMMYFUNCTION("GOOGLETRANSLATE(D:D,""auto"",""en"")"),"Xiao Zhan Zhang Yixing frame with fairy")</f>
        <v>Xiao Zhan Zhang Yixing frame with fairy</v>
      </c>
      <c r="D447" s="4" t="s">
        <v>698</v>
      </c>
      <c r="E447" s="4">
        <v>6166627.0</v>
      </c>
      <c r="F447" s="4">
        <v>46.0</v>
      </c>
      <c r="G447" s="4" t="s">
        <v>699</v>
      </c>
    </row>
    <row r="448">
      <c r="A448" s="1">
        <v>446.0</v>
      </c>
      <c r="B448" s="4" t="s">
        <v>641</v>
      </c>
      <c r="C448" s="4" t="str">
        <f>IFERROR(__xludf.DUMMYFUNCTION("GOOGLETRANSLATE(D:D,""auto"",""en"")"),"How serious fires in Australia")</f>
        <v>How serious fires in Australia</v>
      </c>
      <c r="D448" s="4" t="s">
        <v>700</v>
      </c>
      <c r="E448" s="4">
        <v>6159841.0</v>
      </c>
      <c r="F448" s="4">
        <v>47.0</v>
      </c>
      <c r="G448" s="4" t="s">
        <v>701</v>
      </c>
    </row>
    <row r="449">
      <c r="A449" s="1">
        <v>447.0</v>
      </c>
      <c r="B449" s="4" t="s">
        <v>641</v>
      </c>
      <c r="C449" s="4" t="str">
        <f>IFERROR(__xludf.DUMMYFUNCTION("GOOGLETRANSLATE(D:D,""auto"",""en"")"),"Snow road closures teachers carry 40 pounds of paper to go two hours")</f>
        <v>Snow road closures teachers carry 40 pounds of paper to go two hours</v>
      </c>
      <c r="D449" s="4" t="s">
        <v>702</v>
      </c>
      <c r="E449" s="4">
        <v>6154453.0</v>
      </c>
      <c r="F449" s="4">
        <v>48.0</v>
      </c>
      <c r="G449" s="4" t="s">
        <v>703</v>
      </c>
    </row>
    <row r="450">
      <c r="A450" s="1">
        <v>448.0</v>
      </c>
      <c r="B450" s="4" t="s">
        <v>641</v>
      </c>
      <c r="C450" s="4" t="str">
        <f>IFERROR(__xludf.DUMMYFUNCTION("GOOGLETRANSLATE(D:D,""auto"",""en"")"),"Mountain girl murder case, the defendant eligible for the death penalty")</f>
        <v>Mountain girl murder case, the defendant eligible for the death penalty</v>
      </c>
      <c r="D450" s="4" t="s">
        <v>704</v>
      </c>
      <c r="E450" s="4">
        <v>6011066.0</v>
      </c>
      <c r="F450" s="4">
        <v>49.0</v>
      </c>
      <c r="G450" s="4" t="s">
        <v>705</v>
      </c>
    </row>
    <row r="451">
      <c r="A451" s="1">
        <v>449.0</v>
      </c>
      <c r="B451" s="4" t="s">
        <v>641</v>
      </c>
      <c r="C451" s="4" t="str">
        <f>IFERROR(__xludf.DUMMYFUNCTION("GOOGLETRANSLATE(D:D,""auto"",""en"")"),"2020 Wuhan snow")</f>
        <v>2020 Wuhan snow</v>
      </c>
      <c r="D451" s="4" t="s">
        <v>706</v>
      </c>
      <c r="E451" s="4">
        <v>5998854.0</v>
      </c>
      <c r="F451" s="4">
        <v>50.0</v>
      </c>
      <c r="G451" s="4" t="s">
        <v>707</v>
      </c>
    </row>
    <row r="452">
      <c r="A452" s="1">
        <v>450.0</v>
      </c>
      <c r="B452" s="4" t="s">
        <v>708</v>
      </c>
      <c r="C452" s="4" t="str">
        <f>IFERROR(__xludf.DUMMYFUNCTION("GOOGLETRANSLATE(D:D,""auto"",""en"")"),"Deng purple chess fans bald spot demand wig")</f>
        <v>Deng purple chess fans bald spot demand wig</v>
      </c>
      <c r="D452" s="4" t="s">
        <v>662</v>
      </c>
      <c r="E452" s="4">
        <v>1.114692E7</v>
      </c>
      <c r="F452" s="4">
        <v>1.0</v>
      </c>
      <c r="G452" s="4" t="s">
        <v>663</v>
      </c>
    </row>
    <row r="453">
      <c r="A453" s="1">
        <v>451.0</v>
      </c>
      <c r="B453" s="4" t="s">
        <v>708</v>
      </c>
      <c r="C453" s="4" t="str">
        <f>IFERROR(__xludf.DUMMYFUNCTION("GOOGLETRANSLATE(D:D,""auto"",""en"")"),"Koala fire burns your head curled up")</f>
        <v>Koala fire burns your head curled up</v>
      </c>
      <c r="D453" s="4" t="s">
        <v>709</v>
      </c>
      <c r="E453" s="4">
        <v>1.0884157E7</v>
      </c>
      <c r="F453" s="4">
        <v>2.0</v>
      </c>
      <c r="G453" s="4" t="s">
        <v>710</v>
      </c>
    </row>
    <row r="454">
      <c r="A454" s="1">
        <v>452.0</v>
      </c>
      <c r="B454" s="4" t="s">
        <v>708</v>
      </c>
      <c r="C454" s="4" t="str">
        <f>IFERROR(__xludf.DUMMYFUNCTION("GOOGLETRANSLATE(D:D,""auto"",""en"")"),"Wang Junkai inside jacket jeans casual pants")</f>
        <v>Wang Junkai inside jacket jeans casual pants</v>
      </c>
      <c r="D454" s="4" t="s">
        <v>688</v>
      </c>
      <c r="E454" s="4">
        <v>1.0591496E7</v>
      </c>
      <c r="F454" s="4">
        <v>3.0</v>
      </c>
      <c r="G454" s="4" t="s">
        <v>689</v>
      </c>
    </row>
    <row r="455">
      <c r="A455" s="1">
        <v>453.0</v>
      </c>
      <c r="B455" s="4" t="s">
        <v>708</v>
      </c>
      <c r="C455" s="4" t="str">
        <f>IFERROR(__xludf.DUMMYFUNCTION("GOOGLETRANSLATE(D:D,""auto"",""en"")"),"Iran rejects US participation in the crash investigation")</f>
        <v>Iran rejects US participation in the crash investigation</v>
      </c>
      <c r="D455" s="4" t="s">
        <v>711</v>
      </c>
      <c r="E455" s="4">
        <v>1.032673E7</v>
      </c>
      <c r="F455" s="4">
        <v>4.0</v>
      </c>
      <c r="G455" s="4" t="s">
        <v>712</v>
      </c>
    </row>
    <row r="456">
      <c r="A456" s="1">
        <v>454.0</v>
      </c>
      <c r="B456" s="4" t="s">
        <v>708</v>
      </c>
      <c r="C456" s="4" t="str">
        <f>IFERROR(__xludf.DUMMYFUNCTION("GOOGLETRANSLATE(D:D,""auto"",""en"")"),"Worshiping Warriors were deleted because they looked like friends")</f>
        <v>Worshiping Warriors were deleted because they looked like friends</v>
      </c>
      <c r="D456" s="4" t="s">
        <v>684</v>
      </c>
      <c r="E456" s="4">
        <v>1.0036067E7</v>
      </c>
      <c r="F456" s="4">
        <v>5.0</v>
      </c>
      <c r="G456" s="4" t="s">
        <v>685</v>
      </c>
    </row>
    <row r="457">
      <c r="A457" s="1">
        <v>455.0</v>
      </c>
      <c r="B457" s="4" t="s">
        <v>708</v>
      </c>
      <c r="C457" s="4" t="str">
        <f>IFERROR(__xludf.DUMMYFUNCTION("GOOGLETRANSLATE(D:D,""auto"",""en"")"),"Song Dandan Zhang Yishan son shout")</f>
        <v>Song Dandan Zhang Yishan son shout</v>
      </c>
      <c r="D457" s="4" t="s">
        <v>713</v>
      </c>
      <c r="E457" s="4">
        <v>9938768.0</v>
      </c>
      <c r="F457" s="4">
        <v>6.0</v>
      </c>
      <c r="G457" s="4" t="s">
        <v>714</v>
      </c>
    </row>
    <row r="458">
      <c r="A458" s="1">
        <v>456.0</v>
      </c>
      <c r="B458" s="4" t="s">
        <v>708</v>
      </c>
      <c r="C458" s="4" t="str">
        <f>IFERROR(__xludf.DUMMYFUNCTION("GOOGLETRANSLATE(D:D,""auto"",""en"")"),"Jose finally wear a skirt")</f>
        <v>Jose finally wear a skirt</v>
      </c>
      <c r="D458" s="4" t="s">
        <v>672</v>
      </c>
      <c r="E458" s="4">
        <v>9666182.0</v>
      </c>
      <c r="F458" s="4">
        <v>7.0</v>
      </c>
      <c r="G458" s="4" t="s">
        <v>673</v>
      </c>
    </row>
    <row r="459">
      <c r="A459" s="1">
        <v>457.0</v>
      </c>
      <c r="B459" s="4" t="s">
        <v>708</v>
      </c>
      <c r="C459" s="4" t="str">
        <f>IFERROR(__xludf.DUMMYFUNCTION("GOOGLETRANSLATE(D:D,""auto"",""en"")"),"Yang Zi from high school took no gift money")</f>
        <v>Yang Zi from high school took no gift money</v>
      </c>
      <c r="D459" s="4" t="s">
        <v>715</v>
      </c>
      <c r="E459" s="4">
        <v>9645490.0</v>
      </c>
      <c r="F459" s="4">
        <v>8.0</v>
      </c>
      <c r="G459" s="4" t="s">
        <v>716</v>
      </c>
    </row>
    <row r="460">
      <c r="A460" s="1">
        <v>458.0</v>
      </c>
      <c r="B460" s="4" t="s">
        <v>708</v>
      </c>
      <c r="C460" s="4" t="str">
        <f>IFERROR(__xludf.DUMMYFUNCTION("GOOGLETRANSLATE(D:D,""auto"",""en"")"),"Xiaozhan apply for the studio logo copyright")</f>
        <v>Xiaozhan apply for the studio logo copyright</v>
      </c>
      <c r="D460" s="4" t="s">
        <v>717</v>
      </c>
      <c r="E460" s="4">
        <v>9643476.0</v>
      </c>
      <c r="F460" s="4">
        <v>9.0</v>
      </c>
      <c r="G460" s="4" t="s">
        <v>718</v>
      </c>
    </row>
    <row r="461">
      <c r="A461" s="1">
        <v>459.0</v>
      </c>
      <c r="B461" s="4" t="s">
        <v>708</v>
      </c>
      <c r="C461" s="4" t="str">
        <f>IFERROR(__xludf.DUMMYFUNCTION("GOOGLETRANSLATE(D:D,""auto"",""en"")"),"Wang Yuan meal points when the most homesick")</f>
        <v>Wang Yuan meal points when the most homesick</v>
      </c>
      <c r="D461" s="4" t="s">
        <v>719</v>
      </c>
      <c r="E461" s="4">
        <v>9570168.0</v>
      </c>
      <c r="F461" s="4">
        <v>10.0</v>
      </c>
      <c r="G461" s="4" t="s">
        <v>720</v>
      </c>
    </row>
    <row r="462">
      <c r="A462" s="1">
        <v>460.0</v>
      </c>
      <c r="B462" s="4" t="s">
        <v>708</v>
      </c>
      <c r="C462" s="4" t="str">
        <f>IFERROR(__xludf.DUMMYFUNCTION("GOOGLETRANSLATE(D:D,""auto"",""en"")"),"Do you dare as real as you and Faye")</f>
        <v>Do you dare as real as you and Faye</v>
      </c>
      <c r="D462" s="4" t="s">
        <v>721</v>
      </c>
      <c r="E462" s="4">
        <v>9501452.0</v>
      </c>
      <c r="F462" s="4">
        <v>11.0</v>
      </c>
      <c r="G462" s="4" t="s">
        <v>722</v>
      </c>
    </row>
    <row r="463">
      <c r="A463" s="1">
        <v>461.0</v>
      </c>
      <c r="B463" s="4" t="s">
        <v>708</v>
      </c>
      <c r="C463" s="4" t="str">
        <f>IFERROR(__xludf.DUMMYFUNCTION("GOOGLETRANSLATE(D:D,""auto"",""en"")"),"Blessing to the palace")</f>
        <v>Blessing to the palace</v>
      </c>
      <c r="D463" s="4" t="s">
        <v>723</v>
      </c>
      <c r="E463" s="4">
        <v>9453173.0</v>
      </c>
      <c r="F463" s="4">
        <v>12.0</v>
      </c>
      <c r="G463" s="4" t="s">
        <v>724</v>
      </c>
    </row>
    <row r="464">
      <c r="A464" s="1">
        <v>462.0</v>
      </c>
      <c r="B464" s="4" t="s">
        <v>708</v>
      </c>
      <c r="C464" s="4" t="str">
        <f>IFERROR(__xludf.DUMMYFUNCTION("GOOGLETRANSLATE(D:D,""auto"",""en"")"),"State Supreme Science and Technology Award")</f>
        <v>State Supreme Science and Technology Award</v>
      </c>
      <c r="D464" s="4" t="s">
        <v>725</v>
      </c>
      <c r="E464" s="4">
        <v>9404895.0</v>
      </c>
      <c r="F464" s="4">
        <v>13.0</v>
      </c>
      <c r="G464" s="4" t="s">
        <v>726</v>
      </c>
    </row>
    <row r="465">
      <c r="A465" s="1">
        <v>463.0</v>
      </c>
      <c r="B465" s="4" t="s">
        <v>708</v>
      </c>
      <c r="C465" s="4" t="str">
        <f>IFERROR(__xludf.DUMMYFUNCTION("GOOGLETRANSLATE(D:D,""auto"",""en"")"),"Yi Xi smelt one thousand Chinese women's volleyball team to promote the song")</f>
        <v>Yi Xi smelt one thousand Chinese women's volleyball team to promote the song</v>
      </c>
      <c r="D465" s="4" t="s">
        <v>642</v>
      </c>
      <c r="E465" s="4">
        <v>9382947.0</v>
      </c>
      <c r="F465" s="4">
        <v>14.0</v>
      </c>
      <c r="G465" s="4" t="s">
        <v>643</v>
      </c>
    </row>
    <row r="466">
      <c r="A466" s="1">
        <v>464.0</v>
      </c>
      <c r="B466" s="4" t="s">
        <v>708</v>
      </c>
      <c r="C466" s="4" t="str">
        <f>IFERROR(__xludf.DUMMYFUNCTION("GOOGLETRANSLATE(D:D,""auto"",""en"")"),"Li Landi slapped play")</f>
        <v>Li Landi slapped play</v>
      </c>
      <c r="D466" s="4" t="s">
        <v>727</v>
      </c>
      <c r="E466" s="4">
        <v>9158773.0</v>
      </c>
      <c r="F466" s="4">
        <v>15.0</v>
      </c>
      <c r="G466" s="4" t="s">
        <v>728</v>
      </c>
    </row>
    <row r="467">
      <c r="A467" s="1">
        <v>465.0</v>
      </c>
      <c r="B467" s="4" t="s">
        <v>708</v>
      </c>
      <c r="C467" s="4" t="str">
        <f>IFERROR(__xludf.DUMMYFUNCTION("GOOGLETRANSLATE(D:D,""auto"",""en"")"),"A super Yang Mi play the villain")</f>
        <v>A super Yang Mi play the villain</v>
      </c>
      <c r="D467" s="4" t="s">
        <v>729</v>
      </c>
      <c r="E467" s="4">
        <v>9047486.0</v>
      </c>
      <c r="F467" s="4">
        <v>16.0</v>
      </c>
      <c r="G467" s="4" t="s">
        <v>730</v>
      </c>
    </row>
    <row r="468">
      <c r="A468" s="1">
        <v>466.0</v>
      </c>
      <c r="B468" s="4" t="s">
        <v>708</v>
      </c>
      <c r="C468" s="4" t="str">
        <f>IFERROR(__xludf.DUMMYFUNCTION("GOOGLETRANSLATE(D:D,""auto"",""en"")"),"Australia fires inside the scene exposure")</f>
        <v>Australia fires inside the scene exposure</v>
      </c>
      <c r="D468" s="4" t="s">
        <v>731</v>
      </c>
      <c r="E468" s="4">
        <v>9020652.0</v>
      </c>
      <c r="F468" s="4">
        <v>17.0</v>
      </c>
      <c r="G468" s="4" t="s">
        <v>732</v>
      </c>
    </row>
    <row r="469">
      <c r="A469" s="1">
        <v>467.0</v>
      </c>
      <c r="B469" s="4" t="s">
        <v>708</v>
      </c>
      <c r="C469" s="4" t="str">
        <f>IFERROR(__xludf.DUMMYFUNCTION("GOOGLETRANSLATE(D:D,""auto"",""en"")"),"Ella's heels")</f>
        <v>Ella's heels</v>
      </c>
      <c r="D469" s="4" t="s">
        <v>733</v>
      </c>
      <c r="E469" s="4">
        <v>8989831.0</v>
      </c>
      <c r="F469" s="4">
        <v>18.0</v>
      </c>
      <c r="G469" s="4" t="s">
        <v>734</v>
      </c>
    </row>
    <row r="470">
      <c r="A470" s="1">
        <v>468.0</v>
      </c>
      <c r="B470" s="4" t="s">
        <v>708</v>
      </c>
      <c r="C470" s="4" t="str">
        <f>IFERROR(__xludf.DUMMYFUNCTION("GOOGLETRANSLATE(D:D,""auto"",""en"")"),"Hand in hand to accept the award Wu Jing Xu Zheng")</f>
        <v>Hand in hand to accept the award Wu Jing Xu Zheng</v>
      </c>
      <c r="D470" s="4" t="s">
        <v>735</v>
      </c>
      <c r="E470" s="4">
        <v>8971280.0</v>
      </c>
      <c r="F470" s="4">
        <v>19.0</v>
      </c>
      <c r="G470" s="4" t="s">
        <v>736</v>
      </c>
    </row>
    <row r="471">
      <c r="A471" s="1">
        <v>469.0</v>
      </c>
      <c r="B471" s="4" t="s">
        <v>708</v>
      </c>
      <c r="C471" s="4" t="str">
        <f>IFERROR(__xludf.DUMMYFUNCTION("GOOGLETRANSLATE(D:D,""auto"",""en"")"),"Cai Xu Kun exposes you to participate in the Green 2 reasons")</f>
        <v>Cai Xu Kun exposes you to participate in the Green 2 reasons</v>
      </c>
      <c r="D471" s="4" t="s">
        <v>680</v>
      </c>
      <c r="E471" s="4">
        <v>8941975.0</v>
      </c>
      <c r="F471" s="4">
        <v>20.0</v>
      </c>
      <c r="G471" s="4" t="s">
        <v>681</v>
      </c>
    </row>
    <row r="472">
      <c r="A472" s="1">
        <v>470.0</v>
      </c>
      <c r="B472" s="4" t="s">
        <v>708</v>
      </c>
      <c r="C472" s="4" t="str">
        <f>IFERROR(__xludf.DUMMYFUNCTION("GOOGLETRANSLATE(D:D,""auto"",""en"")"),"2020 first day of spring")</f>
        <v>2020 first day of spring</v>
      </c>
      <c r="D472" s="4" t="s">
        <v>737</v>
      </c>
      <c r="E472" s="4">
        <v>8737718.0</v>
      </c>
      <c r="F472" s="4">
        <v>21.0</v>
      </c>
      <c r="G472" s="4" t="s">
        <v>738</v>
      </c>
    </row>
    <row r="473">
      <c r="A473" s="1">
        <v>471.0</v>
      </c>
      <c r="B473" s="4" t="s">
        <v>708</v>
      </c>
      <c r="C473" s="4" t="str">
        <f>IFERROR(__xludf.DUMMYFUNCTION("GOOGLETRANSLATE(D:D,""auto"",""en"")"),"Australia fires in the small koala")</f>
        <v>Australia fires in the small koala</v>
      </c>
      <c r="D473" s="4" t="s">
        <v>739</v>
      </c>
      <c r="E473" s="4">
        <v>8715914.0</v>
      </c>
      <c r="F473" s="4">
        <v>22.0</v>
      </c>
      <c r="G473" s="4" t="s">
        <v>740</v>
      </c>
    </row>
    <row r="474">
      <c r="A474" s="1">
        <v>472.0</v>
      </c>
      <c r="B474" s="4" t="s">
        <v>708</v>
      </c>
      <c r="C474" s="4" t="str">
        <f>IFERROR(__xludf.DUMMYFUNCTION("GOOGLETRANSLATE(D:D,""auto"",""en"")"),"Canada, United States and Britain suspect Iran airliner shot down by mistake")</f>
        <v>Canada, United States and Britain suspect Iran airliner shot down by mistake</v>
      </c>
      <c r="D474" s="4" t="s">
        <v>741</v>
      </c>
      <c r="E474" s="4">
        <v>8596631.0</v>
      </c>
      <c r="F474" s="4">
        <v>23.0</v>
      </c>
      <c r="G474" s="4" t="s">
        <v>742</v>
      </c>
    </row>
    <row r="475">
      <c r="A475" s="1">
        <v>473.0</v>
      </c>
      <c r="B475" s="4" t="s">
        <v>708</v>
      </c>
      <c r="C475" s="4" t="str">
        <f>IFERROR(__xludf.DUMMYFUNCTION("GOOGLETRANSLATE(D:D,""auto"",""en"")"),"Frontier guard with his wife and daughter to tears video")</f>
        <v>Frontier guard with his wife and daughter to tears video</v>
      </c>
      <c r="D475" s="4" t="s">
        <v>743</v>
      </c>
      <c r="E475" s="4">
        <v>8484248.0</v>
      </c>
      <c r="F475" s="4">
        <v>24.0</v>
      </c>
      <c r="G475" s="4" t="s">
        <v>744</v>
      </c>
    </row>
    <row r="476">
      <c r="A476" s="1">
        <v>474.0</v>
      </c>
      <c r="B476" s="4" t="s">
        <v>708</v>
      </c>
      <c r="C476" s="4" t="str">
        <f>IFERROR(__xludf.DUMMYFUNCTION("GOOGLETRANSLATE(D:D,""auto"",""en"")"),"Winter baby dress Qing")</f>
        <v>Winter baby dress Qing</v>
      </c>
      <c r="D476" s="4" t="s">
        <v>745</v>
      </c>
      <c r="E476" s="4">
        <v>8422173.0</v>
      </c>
      <c r="F476" s="4">
        <v>25.0</v>
      </c>
      <c r="G476" s="4" t="s">
        <v>746</v>
      </c>
    </row>
    <row r="477">
      <c r="A477" s="1">
        <v>475.0</v>
      </c>
      <c r="B477" s="4" t="s">
        <v>708</v>
      </c>
      <c r="C477" s="4" t="str">
        <f>IFERROR(__xludf.DUMMYFUNCTION("GOOGLETRANSLATE(D:D,""auto"",""en"")"),"And Wei reduction in contemporary Starchaser girls")</f>
        <v>And Wei reduction in contemporary Starchaser girls</v>
      </c>
      <c r="D477" s="4" t="s">
        <v>747</v>
      </c>
      <c r="E477" s="4">
        <v>8337736.0</v>
      </c>
      <c r="F477" s="4">
        <v>26.0</v>
      </c>
      <c r="G477" s="4" t="s">
        <v>748</v>
      </c>
    </row>
    <row r="478">
      <c r="A478" s="1">
        <v>476.0</v>
      </c>
      <c r="B478" s="4" t="s">
        <v>708</v>
      </c>
      <c r="C478" s="4" t="str">
        <f>IFERROR(__xludf.DUMMYFUNCTION("GOOGLETRANSLATE(D:D,""auto"",""en"")"),"Yang Zi Li Jiaqi own teaching English")</f>
        <v>Yang Zi Li Jiaqi own teaching English</v>
      </c>
      <c r="D478" s="4" t="s">
        <v>749</v>
      </c>
      <c r="E478" s="4">
        <v>8271308.0</v>
      </c>
      <c r="F478" s="4">
        <v>27.0</v>
      </c>
      <c r="G478" s="4" t="s">
        <v>750</v>
      </c>
    </row>
    <row r="479">
      <c r="A479" s="1">
        <v>477.0</v>
      </c>
      <c r="B479" s="4" t="s">
        <v>708</v>
      </c>
      <c r="C479" s="4" t="str">
        <f>IFERROR(__xludf.DUMMYFUNCTION("GOOGLETRANSLATE(D:D,""auto"",""en"")"),"Deng purple chess at night especially want to eat take-away")</f>
        <v>Deng purple chess at night especially want to eat take-away</v>
      </c>
      <c r="D479" s="4" t="s">
        <v>751</v>
      </c>
      <c r="E479" s="4">
        <v>8202168.0</v>
      </c>
      <c r="F479" s="4">
        <v>28.0</v>
      </c>
      <c r="G479" s="4" t="s">
        <v>752</v>
      </c>
    </row>
    <row r="480">
      <c r="A480" s="1">
        <v>478.0</v>
      </c>
      <c r="B480" s="4" t="s">
        <v>708</v>
      </c>
      <c r="C480" s="4" t="str">
        <f>IFERROR(__xludf.DUMMYFUNCTION("GOOGLETRANSLATE(D:D,""auto"",""en"")"),"Qi Fang denied plums 160 million in annual revenue")</f>
        <v>Qi Fang denied plums 160 million in annual revenue</v>
      </c>
      <c r="D480" s="4" t="s">
        <v>753</v>
      </c>
      <c r="E480" s="4">
        <v>8160952.0</v>
      </c>
      <c r="F480" s="4">
        <v>29.0</v>
      </c>
      <c r="G480" s="4" t="s">
        <v>754</v>
      </c>
    </row>
    <row r="481">
      <c r="A481" s="1">
        <v>479.0</v>
      </c>
      <c r="B481" s="4" t="s">
        <v>708</v>
      </c>
      <c r="C481" s="4" t="str">
        <f>IFERROR(__xludf.DUMMYFUNCTION("GOOGLETRANSLATE(D:D,""auto"",""en"")"),"How serious fires in Australia")</f>
        <v>How serious fires in Australia</v>
      </c>
      <c r="D481" s="4" t="s">
        <v>700</v>
      </c>
      <c r="E481" s="4">
        <v>8112298.0</v>
      </c>
      <c r="F481" s="4">
        <v>30.0</v>
      </c>
      <c r="G481" s="4" t="s">
        <v>701</v>
      </c>
    </row>
    <row r="482">
      <c r="A482" s="1">
        <v>480.0</v>
      </c>
      <c r="B482" s="4" t="s">
        <v>708</v>
      </c>
      <c r="C482" s="4" t="str">
        <f>IFERROR(__xludf.DUMMYFUNCTION("GOOGLETRANSLATE(D:D,""auto"",""en"")"),"Alan Tan Ban Chen Qiao En")</f>
        <v>Alan Tan Ban Chen Qiao En</v>
      </c>
      <c r="D482" s="4" t="s">
        <v>678</v>
      </c>
      <c r="E482" s="4">
        <v>8105329.0</v>
      </c>
      <c r="F482" s="4">
        <v>31.0</v>
      </c>
      <c r="G482" s="4" t="s">
        <v>679</v>
      </c>
    </row>
    <row r="483">
      <c r="A483" s="1">
        <v>481.0</v>
      </c>
      <c r="B483" s="4" t="s">
        <v>708</v>
      </c>
      <c r="C483" s="4" t="str">
        <f>IFERROR(__xludf.DUMMYFUNCTION("GOOGLETRANSLATE(D:D,""auto"",""en"")"),"Another rocket landed near the US military base in Iraq")</f>
        <v>Another rocket landed near the US military base in Iraq</v>
      </c>
      <c r="D483" s="4" t="s">
        <v>755</v>
      </c>
      <c r="E483" s="4">
        <v>8048835.0</v>
      </c>
      <c r="F483" s="4">
        <v>32.0</v>
      </c>
      <c r="G483" s="4" t="s">
        <v>756</v>
      </c>
    </row>
    <row r="484">
      <c r="A484" s="1">
        <v>482.0</v>
      </c>
      <c r="B484" s="4" t="s">
        <v>708</v>
      </c>
      <c r="C484" s="4" t="str">
        <f>IFERROR(__xludf.DUMMYFUNCTION("GOOGLETRANSLATE(D:D,""auto"",""en"")"),"Wu Ching-feng relatives hate teaching")</f>
        <v>Wu Ching-feng relatives hate teaching</v>
      </c>
      <c r="D484" s="4" t="s">
        <v>757</v>
      </c>
      <c r="E484" s="4">
        <v>7904693.0</v>
      </c>
      <c r="F484" s="4">
        <v>33.0</v>
      </c>
      <c r="G484" s="4" t="s">
        <v>758</v>
      </c>
    </row>
    <row r="485">
      <c r="A485" s="1">
        <v>483.0</v>
      </c>
      <c r="B485" s="4" t="s">
        <v>708</v>
      </c>
      <c r="C485" s="4" t="str">
        <f>IFERROR(__xludf.DUMMYFUNCTION("GOOGLETRANSLATE(D:D,""auto"",""en"")"),"Hunan playground buried corpse case of second instance upheld")</f>
        <v>Hunan playground buried corpse case of second instance upheld</v>
      </c>
      <c r="D485" s="4" t="s">
        <v>759</v>
      </c>
      <c r="E485" s="4">
        <v>7822672.0</v>
      </c>
      <c r="F485" s="4">
        <v>34.0</v>
      </c>
      <c r="G485" s="4" t="s">
        <v>760</v>
      </c>
    </row>
    <row r="486">
      <c r="A486" s="1">
        <v>484.0</v>
      </c>
      <c r="B486" s="4" t="s">
        <v>708</v>
      </c>
      <c r="C486" s="4" t="str">
        <f>IFERROR(__xludf.DUMMYFUNCTION("GOOGLETRANSLATE(D:D,""auto"",""en"")"),"Cai Xu Kun Lisa on the same stage")</f>
        <v>Cai Xu Kun Lisa on the same stage</v>
      </c>
      <c r="D486" s="4" t="s">
        <v>761</v>
      </c>
      <c r="E486" s="4">
        <v>7804830.0</v>
      </c>
      <c r="F486" s="4">
        <v>35.0</v>
      </c>
      <c r="G486" s="4" t="s">
        <v>762</v>
      </c>
    </row>
    <row r="487">
      <c r="A487" s="1">
        <v>485.0</v>
      </c>
      <c r="B487" s="4" t="s">
        <v>708</v>
      </c>
      <c r="C487" s="4" t="str">
        <f>IFERROR(__xludf.DUMMYFUNCTION("GOOGLETRANSLATE(D:D,""auto"",""en"")"),"Lee is now ask you to go home to eat it")</f>
        <v>Lee is now ask you to go home to eat it</v>
      </c>
      <c r="D487" s="4" t="s">
        <v>658</v>
      </c>
      <c r="E487" s="4">
        <v>7709686.0</v>
      </c>
      <c r="F487" s="4">
        <v>36.0</v>
      </c>
      <c r="G487" s="4" t="s">
        <v>659</v>
      </c>
    </row>
    <row r="488">
      <c r="A488" s="1">
        <v>486.0</v>
      </c>
      <c r="B488" s="4" t="s">
        <v>708</v>
      </c>
      <c r="C488" s="4" t="str">
        <f>IFERROR(__xludf.DUMMYFUNCTION("GOOGLETRANSLATE(D:D,""auto"",""en"")"),"Zhang Yishan respond Xing family is rich")</f>
        <v>Zhang Yishan respond Xing family is rich</v>
      </c>
      <c r="D488" s="4" t="s">
        <v>763</v>
      </c>
      <c r="E488" s="4">
        <v>7642568.0</v>
      </c>
      <c r="F488" s="4">
        <v>37.0</v>
      </c>
      <c r="G488" s="4" t="s">
        <v>764</v>
      </c>
    </row>
    <row r="489">
      <c r="A489" s="1">
        <v>487.0</v>
      </c>
      <c r="B489" s="4" t="s">
        <v>708</v>
      </c>
      <c r="C489" s="4" t="str">
        <f>IFERROR(__xludf.DUMMYFUNCTION("GOOGLETRANSLATE(D:D,""auto"",""en"")"),"Bangtan Boys Min Yun its Shadow")</f>
        <v>Bangtan Boys Min Yun its Shadow</v>
      </c>
      <c r="D489" s="4" t="s">
        <v>765</v>
      </c>
      <c r="E489" s="4">
        <v>7579871.0</v>
      </c>
      <c r="F489" s="4">
        <v>38.0</v>
      </c>
      <c r="G489" s="4" t="s">
        <v>766</v>
      </c>
    </row>
    <row r="490">
      <c r="A490" s="1">
        <v>488.0</v>
      </c>
      <c r="B490" s="4" t="s">
        <v>708</v>
      </c>
      <c r="C490" s="4" t="str">
        <f>IFERROR(__xludf.DUMMYFUNCTION("GOOGLETRANSLATE(D:D,""auto"",""en"")"),"Parents guy and the station together four minutes")</f>
        <v>Parents guy and the station together four minutes</v>
      </c>
      <c r="D490" s="4" t="s">
        <v>767</v>
      </c>
      <c r="E490" s="4">
        <v>7488685.0</v>
      </c>
      <c r="F490" s="4">
        <v>39.0</v>
      </c>
      <c r="G490" s="4" t="s">
        <v>768</v>
      </c>
    </row>
    <row r="491">
      <c r="A491" s="1">
        <v>489.0</v>
      </c>
      <c r="B491" s="4" t="s">
        <v>708</v>
      </c>
      <c r="C491" s="4" t="str">
        <f>IFERROR(__xludf.DUMMYFUNCTION("GOOGLETRANSLATE(D:D,""auto"",""en"")"),"Zhang Yixing body")</f>
        <v>Zhang Yixing body</v>
      </c>
      <c r="D491" s="4" t="s">
        <v>769</v>
      </c>
      <c r="E491" s="4">
        <v>7460579.0</v>
      </c>
      <c r="F491" s="4">
        <v>40.0</v>
      </c>
      <c r="G491" s="4" t="s">
        <v>770</v>
      </c>
    </row>
    <row r="492">
      <c r="A492" s="1">
        <v>490.0</v>
      </c>
      <c r="B492" s="4" t="s">
        <v>708</v>
      </c>
      <c r="C492" s="4" t="str">
        <f>IFERROR(__xludf.DUMMYFUNCTION("GOOGLETRANSLATE(D:D,""auto"",""en"")"),"Wang Baoqiang battle sumo")</f>
        <v>Wang Baoqiang battle sumo</v>
      </c>
      <c r="D492" s="4" t="s">
        <v>771</v>
      </c>
      <c r="E492" s="4">
        <v>7400991.0</v>
      </c>
      <c r="F492" s="4">
        <v>41.0</v>
      </c>
      <c r="G492" s="4" t="s">
        <v>772</v>
      </c>
    </row>
    <row r="493">
      <c r="A493" s="1">
        <v>491.0</v>
      </c>
      <c r="B493" s="4" t="s">
        <v>708</v>
      </c>
      <c r="C493" s="4" t="str">
        <f>IFERROR(__xludf.DUMMYFUNCTION("GOOGLETRANSLATE(D:D,""auto"",""en"")"),"Children turn windowsill 5th floor exterior wall edge runs")</f>
        <v>Children turn windowsill 5th floor exterior wall edge runs</v>
      </c>
      <c r="D493" s="4" t="s">
        <v>773</v>
      </c>
      <c r="E493" s="4">
        <v>7203196.0</v>
      </c>
      <c r="F493" s="4">
        <v>42.0</v>
      </c>
      <c r="G493" s="4" t="s">
        <v>774</v>
      </c>
    </row>
    <row r="494">
      <c r="A494" s="1">
        <v>492.0</v>
      </c>
      <c r="B494" s="4" t="s">
        <v>708</v>
      </c>
      <c r="C494" s="4" t="str">
        <f>IFERROR(__xludf.DUMMYFUNCTION("GOOGLETRANSLATE(D:D,""auto"",""en"")"),"Country Love 12 given file")</f>
        <v>Country Love 12 given file</v>
      </c>
      <c r="D494" s="4" t="s">
        <v>775</v>
      </c>
      <c r="E494" s="4">
        <v>6963694.0</v>
      </c>
      <c r="F494" s="4">
        <v>43.0</v>
      </c>
      <c r="G494" s="4" t="s">
        <v>776</v>
      </c>
    </row>
    <row r="495">
      <c r="A495" s="1">
        <v>493.0</v>
      </c>
      <c r="B495" s="4" t="s">
        <v>708</v>
      </c>
      <c r="C495" s="4" t="str">
        <f>IFERROR(__xludf.DUMMYFUNCTION("GOOGLETRANSLATE(D:D,""auto"",""en"")"),"Lin Li Jiaqi update hilarious words Solitaire")</f>
        <v>Lin Li Jiaqi update hilarious words Solitaire</v>
      </c>
      <c r="D495" s="4" t="s">
        <v>777</v>
      </c>
      <c r="E495" s="4">
        <v>6876590.0</v>
      </c>
      <c r="F495" s="4">
        <v>44.0</v>
      </c>
      <c r="G495" s="4" t="s">
        <v>778</v>
      </c>
    </row>
    <row r="496">
      <c r="A496" s="1">
        <v>494.0</v>
      </c>
      <c r="B496" s="4" t="s">
        <v>708</v>
      </c>
      <c r="C496" s="4" t="str">
        <f>IFERROR(__xludf.DUMMYFUNCTION("GOOGLETRANSLATE(D:D,""auto"",""en"")"),"Fu Seoul every mother is Superman")</f>
        <v>Fu Seoul every mother is Superman</v>
      </c>
      <c r="D496" s="4" t="s">
        <v>779</v>
      </c>
      <c r="E496" s="4">
        <v>6864424.0</v>
      </c>
      <c r="F496" s="4">
        <v>45.0</v>
      </c>
      <c r="G496" s="4" t="s">
        <v>780</v>
      </c>
    </row>
    <row r="497">
      <c r="A497" s="1">
        <v>495.0</v>
      </c>
      <c r="B497" s="4" t="s">
        <v>708</v>
      </c>
      <c r="C497" s="4" t="str">
        <f>IFERROR(__xludf.DUMMYFUNCTION("GOOGLETRANSLATE(D:D,""auto"",""en"")"),"ORTHOPEDICS under clothes missing")</f>
        <v>ORTHOPEDICS under clothes missing</v>
      </c>
      <c r="D497" s="4" t="s">
        <v>781</v>
      </c>
      <c r="E497" s="4">
        <v>6850365.0</v>
      </c>
      <c r="F497" s="4">
        <v>46.0</v>
      </c>
      <c r="G497" s="4" t="s">
        <v>782</v>
      </c>
    </row>
    <row r="498">
      <c r="A498" s="1">
        <v>496.0</v>
      </c>
      <c r="B498" s="4" t="s">
        <v>708</v>
      </c>
      <c r="C498" s="4" t="str">
        <f>IFERROR(__xludf.DUMMYFUNCTION("GOOGLETRANSLATE(D:D,""auto"",""en"")"),"Westbrook returned to Oklahoma City")</f>
        <v>Westbrook returned to Oklahoma City</v>
      </c>
      <c r="D498" s="4" t="s">
        <v>783</v>
      </c>
      <c r="E498" s="4">
        <v>6850156.0</v>
      </c>
      <c r="F498" s="4">
        <v>47.0</v>
      </c>
      <c r="G498" s="4" t="s">
        <v>784</v>
      </c>
    </row>
    <row r="499">
      <c r="A499" s="1">
        <v>497.0</v>
      </c>
      <c r="B499" s="4" t="s">
        <v>708</v>
      </c>
      <c r="C499" s="4" t="str">
        <f>IFERROR(__xludf.DUMMYFUNCTION("GOOGLETRANSLATE(D:D,""auto"",""en"")"),"Song responded Joey finally finished the job")</f>
        <v>Song responded Joey finally finished the job</v>
      </c>
      <c r="D499" s="4" t="s">
        <v>785</v>
      </c>
      <c r="E499" s="4">
        <v>6842991.0</v>
      </c>
      <c r="F499" s="4">
        <v>48.0</v>
      </c>
      <c r="G499" s="4" t="s">
        <v>786</v>
      </c>
    </row>
    <row r="500">
      <c r="A500" s="1">
        <v>498.0</v>
      </c>
      <c r="B500" s="4" t="s">
        <v>708</v>
      </c>
      <c r="C500" s="4" t="str">
        <f>IFERROR(__xludf.DUMMYFUNCTION("GOOGLETRANSLATE(D:D,""auto"",""en"")"),"US House of Representatives passed resolutions limiting military action against Iran President")</f>
        <v>US House of Representatives passed resolutions limiting military action against Iran President</v>
      </c>
      <c r="D500" s="4" t="s">
        <v>787</v>
      </c>
      <c r="E500" s="4">
        <v>6726022.0</v>
      </c>
      <c r="F500" s="4">
        <v>49.0</v>
      </c>
      <c r="G500" s="4" t="s">
        <v>788</v>
      </c>
    </row>
    <row r="501">
      <c r="A501" s="1">
        <v>499.0</v>
      </c>
      <c r="B501" s="4" t="s">
        <v>708</v>
      </c>
      <c r="C501" s="4" t="str">
        <f>IFERROR(__xludf.DUMMYFUNCTION("GOOGLETRANSLATE(D:D,""auto"",""en"")"),"The war in Iraq a little girl")</f>
        <v>The war in Iraq a little girl</v>
      </c>
      <c r="D501" s="4" t="s">
        <v>789</v>
      </c>
      <c r="E501" s="4">
        <v>6700648.0</v>
      </c>
      <c r="F501" s="4">
        <v>50.0</v>
      </c>
      <c r="G501" s="4" t="s">
        <v>790</v>
      </c>
    </row>
    <row r="502">
      <c r="A502" s="1">
        <v>500.0</v>
      </c>
      <c r="B502" s="4" t="s">
        <v>791</v>
      </c>
      <c r="C502" s="4" t="str">
        <f>IFERROR(__xludf.DUMMYFUNCTION("GOOGLETRANSLATE(D:D,""auto"",""en"")"),"You are the years do crane")</f>
        <v>You are the years do crane</v>
      </c>
      <c r="D502" s="4" t="s">
        <v>792</v>
      </c>
      <c r="E502" s="4">
        <v>9610499.0</v>
      </c>
      <c r="F502" s="4">
        <v>1.0</v>
      </c>
      <c r="G502" s="4" t="s">
        <v>793</v>
      </c>
    </row>
    <row r="503">
      <c r="A503" s="1">
        <v>501.0</v>
      </c>
      <c r="B503" s="4" t="s">
        <v>791</v>
      </c>
      <c r="C503" s="4" t="str">
        <f>IFERROR(__xludf.DUMMYFUNCTION("GOOGLETRANSLATE(D:D,""auto"",""en"")"),"A super Yang Mi play the villain")</f>
        <v>A super Yang Mi play the villain</v>
      </c>
      <c r="D503" s="4" t="s">
        <v>729</v>
      </c>
      <c r="E503" s="4">
        <v>9385493.0</v>
      </c>
      <c r="F503" s="4">
        <v>2.0</v>
      </c>
      <c r="G503" s="4" t="s">
        <v>730</v>
      </c>
    </row>
    <row r="504">
      <c r="A504" s="1">
        <v>502.0</v>
      </c>
      <c r="B504" s="4" t="s">
        <v>791</v>
      </c>
      <c r="C504" s="4" t="str">
        <f>IFERROR(__xludf.DUMMYFUNCTION("GOOGLETRANSLATE(D:D,""auto"",""en"")"),"Australia fires inside the scene exposure")</f>
        <v>Australia fires inside the scene exposure</v>
      </c>
      <c r="D504" s="4" t="s">
        <v>731</v>
      </c>
      <c r="E504" s="4">
        <v>9218450.0</v>
      </c>
      <c r="F504" s="4">
        <v>3.0</v>
      </c>
      <c r="G504" s="4" t="s">
        <v>732</v>
      </c>
    </row>
    <row r="505">
      <c r="A505" s="1">
        <v>503.0</v>
      </c>
      <c r="B505" s="4" t="s">
        <v>791</v>
      </c>
      <c r="C505" s="4" t="str">
        <f>IFERROR(__xludf.DUMMYFUNCTION("GOOGLETRANSLATE(D:D,""auto"",""en"")"),"ORTHOPEDICS under clothes missing")</f>
        <v>ORTHOPEDICS under clothes missing</v>
      </c>
      <c r="D505" s="4" t="s">
        <v>781</v>
      </c>
      <c r="E505" s="4">
        <v>9158874.0</v>
      </c>
      <c r="F505" s="4">
        <v>4.0</v>
      </c>
      <c r="G505" s="4" t="s">
        <v>782</v>
      </c>
    </row>
    <row r="506">
      <c r="A506" s="1">
        <v>504.0</v>
      </c>
      <c r="B506" s="4" t="s">
        <v>791</v>
      </c>
      <c r="C506" s="4" t="str">
        <f>IFERROR(__xludf.DUMMYFUNCTION("GOOGLETRANSLATE(D:D,""auto"",""en"")"),"Yang Zi from high school took no gift money")</f>
        <v>Yang Zi from high school took no gift money</v>
      </c>
      <c r="D506" s="4" t="s">
        <v>715</v>
      </c>
      <c r="E506" s="4">
        <v>8920803.0</v>
      </c>
      <c r="F506" s="4">
        <v>5.0</v>
      </c>
      <c r="G506" s="4" t="s">
        <v>716</v>
      </c>
    </row>
    <row r="507">
      <c r="A507" s="1">
        <v>505.0</v>
      </c>
      <c r="B507" s="4" t="s">
        <v>791</v>
      </c>
      <c r="C507" s="4" t="str">
        <f>IFERROR(__xludf.DUMMYFUNCTION("GOOGLETRANSLATE(D:D,""auto"",""en"")"),"Victory apply for a warrant of arrest was")</f>
        <v>Victory apply for a warrant of arrest was</v>
      </c>
      <c r="D507" s="4" t="s">
        <v>794</v>
      </c>
      <c r="E507" s="4">
        <v>8808418.0</v>
      </c>
      <c r="F507" s="4">
        <v>6.0</v>
      </c>
      <c r="G507" s="4" t="s">
        <v>795</v>
      </c>
    </row>
    <row r="508">
      <c r="A508" s="1">
        <v>506.0</v>
      </c>
      <c r="B508" s="4" t="s">
        <v>791</v>
      </c>
      <c r="C508" s="4" t="str">
        <f>IFERROR(__xludf.DUMMYFUNCTION("GOOGLETRANSLATE(D:D,""auto"",""en"")"),"Song responded Joey finally finished the job")</f>
        <v>Song responded Joey finally finished the job</v>
      </c>
      <c r="D508" s="4" t="s">
        <v>785</v>
      </c>
      <c r="E508" s="4">
        <v>8668634.0</v>
      </c>
      <c r="F508" s="4">
        <v>7.0</v>
      </c>
      <c r="G508" s="4" t="s">
        <v>786</v>
      </c>
    </row>
    <row r="509">
      <c r="A509" s="1">
        <v>507.0</v>
      </c>
      <c r="B509" s="4" t="s">
        <v>791</v>
      </c>
      <c r="C509" s="4" t="str">
        <f>IFERROR(__xludf.DUMMYFUNCTION("GOOGLETRANSLATE(D:D,""auto"",""en"")"),"Worshiping Warriors were deleted because they looked like friends")</f>
        <v>Worshiping Warriors were deleted because they looked like friends</v>
      </c>
      <c r="D509" s="4" t="s">
        <v>684</v>
      </c>
      <c r="E509" s="4">
        <v>8457204.0</v>
      </c>
      <c r="F509" s="4">
        <v>8.0</v>
      </c>
      <c r="G509" s="4" t="s">
        <v>685</v>
      </c>
    </row>
    <row r="510">
      <c r="A510" s="1">
        <v>508.0</v>
      </c>
      <c r="B510" s="4" t="s">
        <v>791</v>
      </c>
      <c r="C510" s="4" t="str">
        <f>IFERROR(__xludf.DUMMYFUNCTION("GOOGLETRANSLATE(D:D,""auto"",""en"")"),"Xu Zheng respond to network and co-produced red")</f>
        <v>Xu Zheng respond to network and co-produced red</v>
      </c>
      <c r="D510" s="4" t="s">
        <v>796</v>
      </c>
      <c r="E510" s="4">
        <v>8402321.0</v>
      </c>
      <c r="F510" s="4">
        <v>9.0</v>
      </c>
      <c r="G510" s="4" t="s">
        <v>797</v>
      </c>
    </row>
    <row r="511">
      <c r="A511" s="1">
        <v>509.0</v>
      </c>
      <c r="B511" s="4" t="s">
        <v>791</v>
      </c>
      <c r="C511" s="4" t="str">
        <f>IFERROR(__xludf.DUMMYFUNCTION("GOOGLETRANSLATE(D:D,""auto"",""en"")"),"Iran admits Ukraine airliner shot down by accident")</f>
        <v>Iran admits Ukraine airliner shot down by accident</v>
      </c>
      <c r="D511" s="4" t="s">
        <v>798</v>
      </c>
      <c r="E511" s="4">
        <v>8233936.0</v>
      </c>
      <c r="F511" s="4">
        <v>10.0</v>
      </c>
      <c r="G511" s="4" t="s">
        <v>799</v>
      </c>
    </row>
    <row r="512">
      <c r="A512" s="1">
        <v>510.0</v>
      </c>
      <c r="B512" s="4" t="s">
        <v>791</v>
      </c>
      <c r="C512" s="4" t="str">
        <f>IFERROR(__xludf.DUMMYFUNCTION("GOOGLETRANSLATE(D:D,""auto"",""en"")"),"Wang Junkai pants fake two")</f>
        <v>Wang Junkai pants fake two</v>
      </c>
      <c r="D512" s="4" t="s">
        <v>800</v>
      </c>
      <c r="E512" s="4">
        <v>8223421.0</v>
      </c>
      <c r="F512" s="4">
        <v>11.0</v>
      </c>
      <c r="G512" s="4" t="s">
        <v>801</v>
      </c>
    </row>
    <row r="513">
      <c r="A513" s="1">
        <v>511.0</v>
      </c>
      <c r="B513" s="4" t="s">
        <v>791</v>
      </c>
      <c r="C513" s="4" t="str">
        <f>IFERROR(__xludf.DUMMYFUNCTION("GOOGLETRANSLATE(D:D,""auto"",""en"")"),"A cappella opera actor is dying elderly")</f>
        <v>A cappella opera actor is dying elderly</v>
      </c>
      <c r="D513" s="4" t="s">
        <v>802</v>
      </c>
      <c r="E513" s="4">
        <v>8181667.0</v>
      </c>
      <c r="F513" s="4">
        <v>12.0</v>
      </c>
      <c r="G513" s="4" t="s">
        <v>803</v>
      </c>
    </row>
    <row r="514">
      <c r="A514" s="1">
        <v>512.0</v>
      </c>
      <c r="B514" s="4" t="s">
        <v>791</v>
      </c>
      <c r="C514" s="4" t="str">
        <f>IFERROR(__xludf.DUMMYFUNCTION("GOOGLETRANSLATE(D:D,""auto"",""en"")"),"Wang Yibo Fortuna modeling")</f>
        <v>Wang Yibo Fortuna modeling</v>
      </c>
      <c r="D514" s="4" t="s">
        <v>804</v>
      </c>
      <c r="E514" s="4">
        <v>8125588.0</v>
      </c>
      <c r="F514" s="4">
        <v>13.0</v>
      </c>
      <c r="G514" s="4" t="s">
        <v>805</v>
      </c>
    </row>
    <row r="515">
      <c r="A515" s="1">
        <v>513.0</v>
      </c>
      <c r="B515" s="4" t="s">
        <v>791</v>
      </c>
      <c r="C515" s="4" t="str">
        <f>IFERROR(__xludf.DUMMYFUNCTION("GOOGLETRANSLATE(D:D,""auto"",""en"")"),"Gasser guy I was stopped to cry too hard")</f>
        <v>Gasser guy I was stopped to cry too hard</v>
      </c>
      <c r="D515" s="4" t="s">
        <v>806</v>
      </c>
      <c r="E515" s="4">
        <v>8066806.0</v>
      </c>
      <c r="F515" s="4">
        <v>14.0</v>
      </c>
      <c r="G515" s="4" t="s">
        <v>807</v>
      </c>
    </row>
    <row r="516">
      <c r="A516" s="1">
        <v>514.0</v>
      </c>
      <c r="B516" s="4" t="s">
        <v>791</v>
      </c>
      <c r="C516" s="4" t="str">
        <f>IFERROR(__xludf.DUMMYFUNCTION("GOOGLETRANSLATE(D:D,""auto"",""en"")"),"Award for outstanding primary school students each 2 pounds of pork")</f>
        <v>Award for outstanding primary school students each 2 pounds of pork</v>
      </c>
      <c r="D516" s="4" t="s">
        <v>808</v>
      </c>
      <c r="E516" s="4">
        <v>8042407.0</v>
      </c>
      <c r="F516" s="4">
        <v>15.0</v>
      </c>
      <c r="G516" s="4" t="s">
        <v>809</v>
      </c>
    </row>
    <row r="517">
      <c r="A517" s="1">
        <v>515.0</v>
      </c>
      <c r="B517" s="4" t="s">
        <v>791</v>
      </c>
      <c r="C517" s="4" t="str">
        <f>IFERROR(__xludf.DUMMYFUNCTION("GOOGLETRANSLATE(D:D,""auto"",""en"")"),"Qi Fang denied plums 160 million in annual revenue")</f>
        <v>Qi Fang denied plums 160 million in annual revenue</v>
      </c>
      <c r="D517" s="4" t="s">
        <v>753</v>
      </c>
      <c r="E517" s="4">
        <v>7957100.0</v>
      </c>
      <c r="F517" s="4">
        <v>16.0</v>
      </c>
      <c r="G517" s="4" t="s">
        <v>754</v>
      </c>
    </row>
    <row r="518">
      <c r="A518" s="1">
        <v>516.0</v>
      </c>
      <c r="B518" s="4" t="s">
        <v>791</v>
      </c>
      <c r="C518" s="4" t="str">
        <f>IFERROR(__xludf.DUMMYFUNCTION("GOOGLETRANSLATE(D:D,""auto"",""en"")"),"Trump recommendations in the Middle East to join NATO")</f>
        <v>Trump recommendations in the Middle East to join NATO</v>
      </c>
      <c r="D518" s="4" t="s">
        <v>810</v>
      </c>
      <c r="E518" s="4">
        <v>7884147.0</v>
      </c>
      <c r="F518" s="4">
        <v>17.0</v>
      </c>
      <c r="G518" s="4" t="s">
        <v>811</v>
      </c>
    </row>
    <row r="519">
      <c r="A519" s="1">
        <v>517.0</v>
      </c>
      <c r="B519" s="4" t="s">
        <v>791</v>
      </c>
      <c r="C519" s="4" t="str">
        <f>IFERROR(__xludf.DUMMYFUNCTION("GOOGLETRANSLATE(D:D,""auto"",""en"")"),"Xu Zheng and Lou Ye want cooperation")</f>
        <v>Xu Zheng and Lou Ye want cooperation</v>
      </c>
      <c r="D519" s="4" t="s">
        <v>812</v>
      </c>
      <c r="E519" s="4">
        <v>7872162.0</v>
      </c>
      <c r="F519" s="4">
        <v>18.0</v>
      </c>
      <c r="G519" s="4" t="s">
        <v>813</v>
      </c>
    </row>
    <row r="520">
      <c r="A520" s="1">
        <v>518.0</v>
      </c>
      <c r="B520" s="4" t="s">
        <v>791</v>
      </c>
      <c r="C520" s="4" t="str">
        <f>IFERROR(__xludf.DUMMYFUNCTION("GOOGLETRANSLATE(D:D,""auto"",""en"")"),"Do you dare as real as you and Faye")</f>
        <v>Do you dare as real as you and Faye</v>
      </c>
      <c r="D520" s="4" t="s">
        <v>721</v>
      </c>
      <c r="E520" s="4">
        <v>7804984.0</v>
      </c>
      <c r="F520" s="4">
        <v>19.0</v>
      </c>
      <c r="G520" s="4" t="s">
        <v>722</v>
      </c>
    </row>
    <row r="521">
      <c r="A521" s="1">
        <v>519.0</v>
      </c>
      <c r="B521" s="4" t="s">
        <v>791</v>
      </c>
      <c r="C521" s="4" t="str">
        <f>IFERROR(__xludf.DUMMYFUNCTION("GOOGLETRANSLATE(D:D,""auto"",""en"")"),"Du Haitao and mother-hop dance clip leg")</f>
        <v>Du Haitao and mother-hop dance clip leg</v>
      </c>
      <c r="D521" s="4" t="s">
        <v>814</v>
      </c>
      <c r="E521" s="4">
        <v>7725822.0</v>
      </c>
      <c r="F521" s="4">
        <v>20.0</v>
      </c>
      <c r="G521" s="4" t="s">
        <v>815</v>
      </c>
    </row>
    <row r="522">
      <c r="A522" s="1">
        <v>520.0</v>
      </c>
      <c r="B522" s="4" t="s">
        <v>791</v>
      </c>
      <c r="C522" s="4" t="str">
        <f>IFERROR(__xludf.DUMMYFUNCTION("GOOGLETRANSLATE(D:D,""auto"",""en"")"),"Oh Se-hoon pushed Pu Canlie Airport")</f>
        <v>Oh Se-hoon pushed Pu Canlie Airport</v>
      </c>
      <c r="D522" s="4" t="s">
        <v>816</v>
      </c>
      <c r="E522" s="4">
        <v>7689051.0</v>
      </c>
      <c r="F522" s="4">
        <v>21.0</v>
      </c>
      <c r="G522" s="4" t="s">
        <v>817</v>
      </c>
    </row>
    <row r="523">
      <c r="A523" s="1">
        <v>521.0</v>
      </c>
      <c r="B523" s="4" t="s">
        <v>791</v>
      </c>
      <c r="C523" s="4" t="str">
        <f>IFERROR(__xludf.DUMMYFUNCTION("GOOGLETRANSLATE(D:D,""auto"",""en"")"),"Blessing to the palace")</f>
        <v>Blessing to the palace</v>
      </c>
      <c r="D523" s="4" t="s">
        <v>723</v>
      </c>
      <c r="E523" s="4">
        <v>7621514.0</v>
      </c>
      <c r="F523" s="4">
        <v>22.0</v>
      </c>
      <c r="G523" s="4" t="s">
        <v>724</v>
      </c>
    </row>
    <row r="524">
      <c r="A524" s="1">
        <v>522.0</v>
      </c>
      <c r="B524" s="4" t="s">
        <v>791</v>
      </c>
      <c r="C524" s="4" t="str">
        <f>IFERROR(__xludf.DUMMYFUNCTION("GOOGLETRANSLATE(D:D,""auto"",""en"")"),"Lee is now the most memorable earthy sweet words")</f>
        <v>Lee is now the most memorable earthy sweet words</v>
      </c>
      <c r="D524" s="4" t="s">
        <v>818</v>
      </c>
      <c r="E524" s="4">
        <v>7602143.0</v>
      </c>
      <c r="F524" s="4">
        <v>23.0</v>
      </c>
      <c r="G524" s="4" t="s">
        <v>819</v>
      </c>
    </row>
    <row r="525">
      <c r="A525" s="1">
        <v>523.0</v>
      </c>
      <c r="B525" s="4" t="s">
        <v>791</v>
      </c>
      <c r="C525" s="4" t="str">
        <f>IFERROR(__xludf.DUMMYFUNCTION("GOOGLETRANSLATE(D:D,""auto"",""en"")"),"Seen fared best grandpa")</f>
        <v>Seen fared best grandpa</v>
      </c>
      <c r="D525" s="4" t="s">
        <v>820</v>
      </c>
      <c r="E525" s="4">
        <v>7550488.0</v>
      </c>
      <c r="F525" s="4">
        <v>24.0</v>
      </c>
      <c r="G525" s="4" t="s">
        <v>821</v>
      </c>
    </row>
    <row r="526">
      <c r="A526" s="1">
        <v>524.0</v>
      </c>
      <c r="B526" s="4" t="s">
        <v>791</v>
      </c>
      <c r="C526" s="4" t="str">
        <f>IFERROR(__xludf.DUMMYFUNCTION("GOOGLETRANSLATE(D:D,""auto"",""en"")"),"Song Dandan Zhang Yishan son shout")</f>
        <v>Song Dandan Zhang Yishan son shout</v>
      </c>
      <c r="D526" s="4" t="s">
        <v>713</v>
      </c>
      <c r="E526" s="4">
        <v>7542336.0</v>
      </c>
      <c r="F526" s="4">
        <v>25.0</v>
      </c>
      <c r="G526" s="4" t="s">
        <v>714</v>
      </c>
    </row>
    <row r="527">
      <c r="A527" s="1">
        <v>525.0</v>
      </c>
      <c r="B527" s="4" t="s">
        <v>791</v>
      </c>
      <c r="C527" s="4" t="str">
        <f>IFERROR(__xludf.DUMMYFUNCTION("GOOGLETRANSLATE(D:D,""auto"",""en"")"),"Angela learn, then northeast")</f>
        <v>Angela learn, then northeast</v>
      </c>
      <c r="D527" s="4" t="s">
        <v>822</v>
      </c>
      <c r="E527" s="4">
        <v>7517207.0</v>
      </c>
      <c r="F527" s="4">
        <v>26.0</v>
      </c>
      <c r="G527" s="4" t="s">
        <v>823</v>
      </c>
    </row>
    <row r="528">
      <c r="A528" s="1">
        <v>526.0</v>
      </c>
      <c r="B528" s="4" t="s">
        <v>791</v>
      </c>
      <c r="C528" s="4" t="str">
        <f>IFERROR(__xludf.DUMMYFUNCTION("GOOGLETRANSLATE(D:D,""auto"",""en"")"),"Dogs can not escape rocket forces examination")</f>
        <v>Dogs can not escape rocket forces examination</v>
      </c>
      <c r="D528" s="4" t="s">
        <v>824</v>
      </c>
      <c r="E528" s="4">
        <v>7419733.0</v>
      </c>
      <c r="F528" s="4">
        <v>27.0</v>
      </c>
      <c r="G528" s="4" t="s">
        <v>825</v>
      </c>
    </row>
    <row r="529">
      <c r="A529" s="1">
        <v>527.0</v>
      </c>
      <c r="B529" s="4" t="s">
        <v>791</v>
      </c>
      <c r="C529" s="4" t="str">
        <f>IFERROR(__xludf.DUMMYFUNCTION("GOOGLETRANSLATE(D:D,""auto"",""en"")"),"Chen Linong standing long jump two meters nine")</f>
        <v>Chen Linong standing long jump two meters nine</v>
      </c>
      <c r="D529" s="4" t="s">
        <v>826</v>
      </c>
      <c r="E529" s="4">
        <v>7417938.0</v>
      </c>
      <c r="F529" s="4">
        <v>28.0</v>
      </c>
      <c r="G529" s="4" t="s">
        <v>827</v>
      </c>
    </row>
    <row r="530">
      <c r="A530" s="1">
        <v>528.0</v>
      </c>
      <c r="B530" s="4" t="s">
        <v>791</v>
      </c>
      <c r="C530" s="4" t="str">
        <f>IFERROR(__xludf.DUMMYFUNCTION("GOOGLETRANSLATE(D:D,""auto"",""en"")"),"And Wei reduction in contemporary Starchaser girls")</f>
        <v>And Wei reduction in contemporary Starchaser girls</v>
      </c>
      <c r="D530" s="4" t="s">
        <v>747</v>
      </c>
      <c r="E530" s="4">
        <v>7391737.0</v>
      </c>
      <c r="F530" s="4">
        <v>29.0</v>
      </c>
      <c r="G530" s="4" t="s">
        <v>748</v>
      </c>
    </row>
    <row r="531">
      <c r="A531" s="1">
        <v>529.0</v>
      </c>
      <c r="B531" s="4" t="s">
        <v>791</v>
      </c>
      <c r="C531" s="4" t="str">
        <f>IFERROR(__xludf.DUMMYFUNCTION("GOOGLETRANSLATE(D:D,""auto"",""en"")"),"Lou Yi Xiao Fei Hu audition screen")</f>
        <v>Lou Yi Xiao Fei Hu audition screen</v>
      </c>
      <c r="D531" s="4" t="s">
        <v>828</v>
      </c>
      <c r="E531" s="4">
        <v>7351800.0</v>
      </c>
      <c r="F531" s="4">
        <v>30.0</v>
      </c>
      <c r="G531" s="4" t="s">
        <v>829</v>
      </c>
    </row>
    <row r="532">
      <c r="A532" s="1">
        <v>530.0</v>
      </c>
      <c r="B532" s="4" t="s">
        <v>791</v>
      </c>
      <c r="C532" s="4" t="str">
        <f>IFERROR(__xludf.DUMMYFUNCTION("GOOGLETRANSLATE(D:D,""auto"",""en"")"),"94-year-old nuclear submarine experts mad Caesar one hundred million tons of dog food")</f>
        <v>94-year-old nuclear submarine experts mad Caesar one hundred million tons of dog food</v>
      </c>
      <c r="D532" s="4" t="s">
        <v>830</v>
      </c>
      <c r="E532" s="4">
        <v>7337181.0</v>
      </c>
      <c r="F532" s="4">
        <v>31.0</v>
      </c>
      <c r="G532" s="4" t="s">
        <v>831</v>
      </c>
    </row>
    <row r="533">
      <c r="A533" s="1">
        <v>531.0</v>
      </c>
      <c r="B533" s="4" t="s">
        <v>791</v>
      </c>
      <c r="C533" s="4" t="str">
        <f>IFERROR(__xludf.DUMMYFUNCTION("GOOGLETRANSLATE(D:D,""auto"",""en"")"),"Wang Yuan meal points when the most homesick")</f>
        <v>Wang Yuan meal points when the most homesick</v>
      </c>
      <c r="D533" s="4" t="s">
        <v>719</v>
      </c>
      <c r="E533" s="4">
        <v>7276232.0</v>
      </c>
      <c r="F533" s="4">
        <v>32.0</v>
      </c>
      <c r="G533" s="4" t="s">
        <v>720</v>
      </c>
    </row>
    <row r="534">
      <c r="A534" s="1">
        <v>532.0</v>
      </c>
      <c r="B534" s="4" t="s">
        <v>791</v>
      </c>
      <c r="C534" s="4" t="str">
        <f>IFERROR(__xludf.DUMMYFUNCTION("GOOGLETRANSLATE(D:D,""auto"",""en"")"),"Canada, United States and Britain suspect Iran airliner shot down by mistake")</f>
        <v>Canada, United States and Britain suspect Iran airliner shot down by mistake</v>
      </c>
      <c r="D534" s="4" t="s">
        <v>741</v>
      </c>
      <c r="E534" s="4">
        <v>7147693.0</v>
      </c>
      <c r="F534" s="4">
        <v>33.0</v>
      </c>
      <c r="G534" s="4" t="s">
        <v>742</v>
      </c>
    </row>
    <row r="535">
      <c r="A535" s="1">
        <v>533.0</v>
      </c>
      <c r="B535" s="4" t="s">
        <v>791</v>
      </c>
      <c r="C535" s="4" t="str">
        <f>IFERROR(__xludf.DUMMYFUNCTION("GOOGLETRANSLATE(D:D,""auto"",""en"")"),"Jay is the mother Zhang Jing camera")</f>
        <v>Jay is the mother Zhang Jing camera</v>
      </c>
      <c r="D535" s="4" t="s">
        <v>832</v>
      </c>
      <c r="E535" s="4">
        <v>7089582.0</v>
      </c>
      <c r="F535" s="4">
        <v>34.0</v>
      </c>
      <c r="G535" s="4" t="s">
        <v>833</v>
      </c>
    </row>
    <row r="536">
      <c r="A536" s="1">
        <v>534.0</v>
      </c>
      <c r="B536" s="4" t="s">
        <v>791</v>
      </c>
      <c r="C536" s="4" t="str">
        <f>IFERROR(__xludf.DUMMYFUNCTION("GOOGLETRANSLATE(D:D,""auto"",""en"")"),"Bangtan Boys Min Yun its Shadow")</f>
        <v>Bangtan Boys Min Yun its Shadow</v>
      </c>
      <c r="D536" s="4" t="s">
        <v>765</v>
      </c>
      <c r="E536" s="4">
        <v>7007078.0</v>
      </c>
      <c r="F536" s="4">
        <v>35.0</v>
      </c>
      <c r="G536" s="4" t="s">
        <v>766</v>
      </c>
    </row>
    <row r="537">
      <c r="A537" s="1">
        <v>535.0</v>
      </c>
      <c r="B537" s="4" t="s">
        <v>791</v>
      </c>
      <c r="C537" s="4" t="str">
        <f>IFERROR(__xludf.DUMMYFUNCTION("GOOGLETRANSLATE(D:D,""auto"",""en"")"),"Zhou Zhennan play Altman fans should aid")</f>
        <v>Zhou Zhennan play Altman fans should aid</v>
      </c>
      <c r="D537" s="4" t="s">
        <v>834</v>
      </c>
      <c r="E537" s="4">
        <v>7004620.0</v>
      </c>
      <c r="F537" s="4">
        <v>36.0</v>
      </c>
      <c r="G537" s="4" t="s">
        <v>835</v>
      </c>
    </row>
    <row r="538">
      <c r="A538" s="1">
        <v>536.0</v>
      </c>
      <c r="B538" s="4" t="s">
        <v>791</v>
      </c>
      <c r="C538" s="4" t="str">
        <f>IFERROR(__xludf.DUMMYFUNCTION("GOOGLETRANSLATE(D:D,""auto"",""en"")"),"Trump said he should be given the Nobel Peace Prize")</f>
        <v>Trump said he should be given the Nobel Peace Prize</v>
      </c>
      <c r="D538" s="4" t="s">
        <v>836</v>
      </c>
      <c r="E538" s="4">
        <v>6995634.0</v>
      </c>
      <c r="F538" s="4">
        <v>37.0</v>
      </c>
      <c r="G538" s="4" t="s">
        <v>837</v>
      </c>
    </row>
    <row r="539">
      <c r="A539" s="1">
        <v>537.0</v>
      </c>
      <c r="B539" s="4" t="s">
        <v>791</v>
      </c>
      <c r="C539" s="4" t="str">
        <f>IFERROR(__xludf.DUMMYFUNCTION("GOOGLETRANSLATE(D:D,""auto"",""en"")"),"Winter baby dress Qing")</f>
        <v>Winter baby dress Qing</v>
      </c>
      <c r="D539" s="4" t="s">
        <v>745</v>
      </c>
      <c r="E539" s="4">
        <v>6925902.0</v>
      </c>
      <c r="F539" s="4">
        <v>38.0</v>
      </c>
      <c r="G539" s="4" t="s">
        <v>746</v>
      </c>
    </row>
    <row r="540">
      <c r="A540" s="1">
        <v>538.0</v>
      </c>
      <c r="B540" s="4" t="s">
        <v>791</v>
      </c>
      <c r="C540" s="4" t="str">
        <f>IFERROR(__xludf.DUMMYFUNCTION("GOOGLETRANSLATE(D:D,""auto"",""en"")"),"Nanjing Murder Murder case has ruled")</f>
        <v>Nanjing Murder Murder case has ruled</v>
      </c>
      <c r="D540" s="4" t="s">
        <v>838</v>
      </c>
      <c r="E540" s="4">
        <v>6799843.0</v>
      </c>
      <c r="F540" s="4">
        <v>39.0</v>
      </c>
      <c r="G540" s="4" t="s">
        <v>839</v>
      </c>
    </row>
    <row r="541">
      <c r="A541" s="1">
        <v>539.0</v>
      </c>
      <c r="B541" s="4" t="s">
        <v>791</v>
      </c>
      <c r="C541" s="4" t="str">
        <f>IFERROR(__xludf.DUMMYFUNCTION("GOOGLETRANSLATE(D:D,""auto"",""en"")"),"Zhang Yixing body")</f>
        <v>Zhang Yixing body</v>
      </c>
      <c r="D541" s="4" t="s">
        <v>769</v>
      </c>
      <c r="E541" s="4">
        <v>6746015.0</v>
      </c>
      <c r="F541" s="4">
        <v>40.0</v>
      </c>
      <c r="G541" s="4" t="s">
        <v>770</v>
      </c>
    </row>
    <row r="542">
      <c r="A542" s="1">
        <v>540.0</v>
      </c>
      <c r="B542" s="4" t="s">
        <v>791</v>
      </c>
      <c r="C542" s="4" t="str">
        <f>IFERROR(__xludf.DUMMYFUNCTION("GOOGLETRANSLATE(D:D,""auto"",""en"")"),"Suddenly the family home after reaction")</f>
        <v>Suddenly the family home after reaction</v>
      </c>
      <c r="D542" s="4" t="s">
        <v>840</v>
      </c>
      <c r="E542" s="4">
        <v>6724423.0</v>
      </c>
      <c r="F542" s="4">
        <v>41.0</v>
      </c>
      <c r="G542" s="4" t="s">
        <v>841</v>
      </c>
    </row>
    <row r="543">
      <c r="A543" s="1">
        <v>541.0</v>
      </c>
      <c r="B543" s="4" t="s">
        <v>791</v>
      </c>
      <c r="C543" s="4" t="str">
        <f>IFERROR(__xludf.DUMMYFUNCTION("GOOGLETRANSLATE(D:D,""auto"",""en"")"),"Xiaozhan apply for the studio logo copyright")</f>
        <v>Xiaozhan apply for the studio logo copyright</v>
      </c>
      <c r="D543" s="4" t="s">
        <v>717</v>
      </c>
      <c r="E543" s="4">
        <v>6679648.0</v>
      </c>
      <c r="F543" s="4">
        <v>42.0</v>
      </c>
      <c r="G543" s="4" t="s">
        <v>718</v>
      </c>
    </row>
    <row r="544">
      <c r="A544" s="1">
        <v>542.0</v>
      </c>
      <c r="B544" s="4" t="s">
        <v>791</v>
      </c>
      <c r="C544" s="4" t="str">
        <f>IFERROR(__xludf.DUMMYFUNCTION("GOOGLETRANSLATE(D:D,""auto"",""en"")"),"Lin sent through Godfrey suit")</f>
        <v>Lin sent through Godfrey suit</v>
      </c>
      <c r="D544" s="4" t="s">
        <v>842</v>
      </c>
      <c r="E544" s="4">
        <v>6644630.0</v>
      </c>
      <c r="F544" s="4">
        <v>43.0</v>
      </c>
      <c r="G544" s="4" t="s">
        <v>843</v>
      </c>
    </row>
    <row r="545">
      <c r="A545" s="1">
        <v>543.0</v>
      </c>
      <c r="B545" s="4" t="s">
        <v>791</v>
      </c>
      <c r="C545" s="4" t="str">
        <f>IFERROR(__xludf.DUMMYFUNCTION("GOOGLETRANSLATE(D:D,""auto"",""en"")"),"Han Kan Kiyoko chat true friend")</f>
        <v>Han Kan Kiyoko chat true friend</v>
      </c>
      <c r="D545" s="4" t="s">
        <v>844</v>
      </c>
      <c r="E545" s="4">
        <v>6530931.0</v>
      </c>
      <c r="F545" s="4">
        <v>44.0</v>
      </c>
      <c r="G545" s="4" t="s">
        <v>845</v>
      </c>
    </row>
    <row r="546">
      <c r="A546" s="1">
        <v>544.0</v>
      </c>
      <c r="B546" s="4" t="s">
        <v>791</v>
      </c>
      <c r="C546" s="4" t="str">
        <f>IFERROR(__xludf.DUMMYFUNCTION("GOOGLETRANSLATE(D:D,""auto"",""en"")"),"China officially open eye in the sky run")</f>
        <v>China officially open eye in the sky run</v>
      </c>
      <c r="D546" s="4" t="s">
        <v>846</v>
      </c>
      <c r="E546" s="4">
        <v>6379447.0</v>
      </c>
      <c r="F546" s="4">
        <v>45.0</v>
      </c>
      <c r="G546" s="4" t="s">
        <v>847</v>
      </c>
    </row>
    <row r="547">
      <c r="A547" s="1">
        <v>545.0</v>
      </c>
      <c r="B547" s="4" t="s">
        <v>791</v>
      </c>
      <c r="C547" s="4" t="str">
        <f>IFERROR(__xludf.DUMMYFUNCTION("GOOGLETRANSLATE(D:D,""auto"",""en"")"),"Husband, wife rainy night clinging to the cancer away")</f>
        <v>Husband, wife rainy night clinging to the cancer away</v>
      </c>
      <c r="D547" s="4" t="s">
        <v>848</v>
      </c>
      <c r="E547" s="4">
        <v>6379104.0</v>
      </c>
      <c r="F547" s="4">
        <v>46.0</v>
      </c>
      <c r="G547" s="4" t="s">
        <v>849</v>
      </c>
    </row>
    <row r="548">
      <c r="A548" s="1">
        <v>546.0</v>
      </c>
      <c r="B548" s="4" t="s">
        <v>791</v>
      </c>
      <c r="C548" s="4" t="str">
        <f>IFERROR(__xludf.DUMMYFUNCTION("GOOGLETRANSLATE(D:D,""auto"",""en"")"),"Deng purple chess fans bald spot demand wig")</f>
        <v>Deng purple chess fans bald spot demand wig</v>
      </c>
      <c r="D548" s="4" t="s">
        <v>662</v>
      </c>
      <c r="E548" s="4">
        <v>6310452.0</v>
      </c>
      <c r="F548" s="4">
        <v>47.0</v>
      </c>
      <c r="G548" s="4" t="s">
        <v>663</v>
      </c>
    </row>
    <row r="549">
      <c r="A549" s="1">
        <v>547.0</v>
      </c>
      <c r="B549" s="4" t="s">
        <v>791</v>
      </c>
      <c r="C549" s="4" t="str">
        <f>IFERROR(__xludf.DUMMYFUNCTION("GOOGLETRANSLATE(D:D,""auto"",""en"")"),"Honglei old wife do not want to promise you")</f>
        <v>Honglei old wife do not want to promise you</v>
      </c>
      <c r="D549" s="4" t="s">
        <v>850</v>
      </c>
      <c r="E549" s="4">
        <v>6283391.0</v>
      </c>
      <c r="F549" s="4">
        <v>48.0</v>
      </c>
      <c r="G549" s="4" t="s">
        <v>851</v>
      </c>
    </row>
    <row r="550">
      <c r="A550" s="1">
        <v>548.0</v>
      </c>
      <c r="B550" s="4" t="s">
        <v>791</v>
      </c>
      <c r="C550" s="4" t="str">
        <f>IFERROR(__xludf.DUMMYFUNCTION("GOOGLETRANSLATE(D:D,""auto"",""en"")"),"Russian and US warships nearly collided in the Arabian Sea")</f>
        <v>Russian and US warships nearly collided in the Arabian Sea</v>
      </c>
      <c r="D550" s="4" t="s">
        <v>852</v>
      </c>
      <c r="E550" s="4">
        <v>6279612.0</v>
      </c>
      <c r="F550" s="4">
        <v>49.0</v>
      </c>
      <c r="G550" s="4" t="s">
        <v>853</v>
      </c>
    </row>
    <row r="551">
      <c r="A551" s="1">
        <v>549.0</v>
      </c>
      <c r="B551" s="4" t="s">
        <v>791</v>
      </c>
      <c r="C551" s="4" t="str">
        <f>IFERROR(__xludf.DUMMYFUNCTION("GOOGLETRANSLATE(D:D,""auto"",""en"")"),"Wallace Chung Harlem Ga Ayun light board")</f>
        <v>Wallace Chung Harlem Ga Ayun light board</v>
      </c>
      <c r="D551" s="4" t="s">
        <v>854</v>
      </c>
      <c r="E551" s="4">
        <v>6215365.0</v>
      </c>
      <c r="F551" s="4">
        <v>50.0</v>
      </c>
      <c r="G551" s="4" t="s">
        <v>855</v>
      </c>
    </row>
    <row r="552">
      <c r="A552" s="1">
        <v>550.0</v>
      </c>
      <c r="B552" s="4" t="s">
        <v>856</v>
      </c>
      <c r="C552" s="4" t="str">
        <f>IFERROR(__xludf.DUMMYFUNCTION("GOOGLETRANSLATE(D:D,""auto"",""en"")"),"Wang Yibo rivet leather suit")</f>
        <v>Wang Yibo rivet leather suit</v>
      </c>
      <c r="D552" s="4" t="s">
        <v>857</v>
      </c>
      <c r="E552" s="4">
        <v>1.0714484E7</v>
      </c>
      <c r="F552" s="4">
        <v>1.0</v>
      </c>
      <c r="G552" s="4" t="s">
        <v>858</v>
      </c>
    </row>
    <row r="553">
      <c r="A553" s="1">
        <v>551.0</v>
      </c>
      <c r="B553" s="4" t="s">
        <v>856</v>
      </c>
      <c r="C553" s="4" t="str">
        <f>IFERROR(__xludf.DUMMYFUNCTION("GOOGLETRANSLATE(D:D,""auto"",""en"")"),"Female executives take time off between model to his son fitted marriage room")</f>
        <v>Female executives take time off between model to his son fitted marriage room</v>
      </c>
      <c r="D553" s="4" t="s">
        <v>859</v>
      </c>
      <c r="E553" s="4">
        <v>1.0482706E7</v>
      </c>
      <c r="F553" s="4">
        <v>2.0</v>
      </c>
      <c r="G553" s="4" t="s">
        <v>860</v>
      </c>
    </row>
    <row r="554">
      <c r="A554" s="1">
        <v>552.0</v>
      </c>
      <c r="B554" s="4" t="s">
        <v>856</v>
      </c>
      <c r="C554" s="4" t="str">
        <f>IFERROR(__xludf.DUMMYFUNCTION("GOOGLETRANSLATE(D:D,""auto"",""en"")"),"Zhou Zhennan play Altman fans should aid")</f>
        <v>Zhou Zhennan play Altman fans should aid</v>
      </c>
      <c r="D554" s="4" t="s">
        <v>834</v>
      </c>
      <c r="E554" s="4">
        <v>1.0168061E7</v>
      </c>
      <c r="F554" s="4">
        <v>3.0</v>
      </c>
      <c r="G554" s="4" t="s">
        <v>835</v>
      </c>
    </row>
    <row r="555">
      <c r="A555" s="1">
        <v>553.0</v>
      </c>
      <c r="B555" s="4" t="s">
        <v>856</v>
      </c>
      <c r="C555" s="4" t="str">
        <f>IFERROR(__xludf.DUMMYFUNCTION("GOOGLETRANSLATE(D:D,""auto"",""en"")"),"Suddenly the family home after reaction")</f>
        <v>Suddenly the family home after reaction</v>
      </c>
      <c r="D555" s="4" t="s">
        <v>840</v>
      </c>
      <c r="E555" s="4">
        <v>9953786.0</v>
      </c>
      <c r="F555" s="4">
        <v>4.0</v>
      </c>
      <c r="G555" s="4" t="s">
        <v>841</v>
      </c>
    </row>
    <row r="556">
      <c r="A556" s="1">
        <v>554.0</v>
      </c>
      <c r="B556" s="4" t="s">
        <v>856</v>
      </c>
      <c r="C556" s="4" t="str">
        <f>IFERROR(__xludf.DUMMYFUNCTION("GOOGLETRANSLATE(D:D,""auto"",""en"")"),"Xu Zheng and Lou Ye want cooperation")</f>
        <v>Xu Zheng and Lou Ye want cooperation</v>
      </c>
      <c r="D556" s="4" t="s">
        <v>812</v>
      </c>
      <c r="E556" s="4">
        <v>9879391.0</v>
      </c>
      <c r="F556" s="4">
        <v>5.0</v>
      </c>
      <c r="G556" s="4" t="s">
        <v>813</v>
      </c>
    </row>
    <row r="557">
      <c r="A557" s="1">
        <v>555.0</v>
      </c>
      <c r="B557" s="4" t="s">
        <v>856</v>
      </c>
      <c r="C557" s="4" t="str">
        <f>IFERROR(__xludf.DUMMYFUNCTION("GOOGLETRANSLATE(D:D,""auto"",""en"")"),"Seen fared best grandpa")</f>
        <v>Seen fared best grandpa</v>
      </c>
      <c r="D557" s="4" t="s">
        <v>820</v>
      </c>
      <c r="E557" s="4">
        <v>9518138.0</v>
      </c>
      <c r="F557" s="4">
        <v>6.0</v>
      </c>
      <c r="G557" s="4" t="s">
        <v>821</v>
      </c>
    </row>
    <row r="558">
      <c r="A558" s="1">
        <v>556.0</v>
      </c>
      <c r="B558" s="4" t="s">
        <v>856</v>
      </c>
      <c r="C558" s="4" t="str">
        <f>IFERROR(__xludf.DUMMYFUNCTION("GOOGLETRANSLATE(D:D,""auto"",""en"")"),"Jay is the mother Zhang Jing camera")</f>
        <v>Jay is the mother Zhang Jing camera</v>
      </c>
      <c r="D558" s="4" t="s">
        <v>832</v>
      </c>
      <c r="E558" s="4">
        <v>9382604.0</v>
      </c>
      <c r="F558" s="4">
        <v>7.0</v>
      </c>
      <c r="G558" s="4" t="s">
        <v>833</v>
      </c>
    </row>
    <row r="559">
      <c r="A559" s="1">
        <v>557.0</v>
      </c>
      <c r="B559" s="4" t="s">
        <v>856</v>
      </c>
      <c r="C559" s="4" t="str">
        <f>IFERROR(__xludf.DUMMYFUNCTION("GOOGLETRANSLATE(D:D,""auto"",""en"")"),"Wu Yifan rumored girlfriend Qin cattle Granville enter the draft")</f>
        <v>Wu Yifan rumored girlfriend Qin cattle Granville enter the draft</v>
      </c>
      <c r="D559" s="4" t="s">
        <v>861</v>
      </c>
      <c r="E559" s="4">
        <v>9372294.0</v>
      </c>
      <c r="F559" s="4">
        <v>8.0</v>
      </c>
      <c r="G559" s="4" t="s">
        <v>862</v>
      </c>
    </row>
    <row r="560">
      <c r="A560" s="1">
        <v>558.0</v>
      </c>
      <c r="B560" s="4" t="s">
        <v>856</v>
      </c>
      <c r="C560" s="4" t="str">
        <f>IFERROR(__xludf.DUMMYFUNCTION("GOOGLETRANSLATE(D:D,""auto"",""en"")"),"Liu Hao Ran Groundhog scream")</f>
        <v>Liu Hao Ran Groundhog scream</v>
      </c>
      <c r="D560" s="4" t="s">
        <v>863</v>
      </c>
      <c r="E560" s="4">
        <v>9117630.0</v>
      </c>
      <c r="F560" s="4">
        <v>9.0</v>
      </c>
      <c r="G560" s="4" t="s">
        <v>864</v>
      </c>
    </row>
    <row r="561">
      <c r="A561" s="1">
        <v>559.0</v>
      </c>
      <c r="B561" s="4" t="s">
        <v>856</v>
      </c>
      <c r="C561" s="4" t="str">
        <f>IFERROR(__xludf.DUMMYFUNCTION("GOOGLETRANSLATE(D:D,""auto"",""en"")"),"The stage is everywhere")</f>
        <v>The stage is everywhere</v>
      </c>
      <c r="D561" s="4" t="s">
        <v>188</v>
      </c>
      <c r="E561" s="4">
        <v>9002848.0</v>
      </c>
      <c r="F561" s="4">
        <v>10.0</v>
      </c>
      <c r="G561" s="4" t="s">
        <v>189</v>
      </c>
    </row>
    <row r="562">
      <c r="A562" s="1">
        <v>560.0</v>
      </c>
      <c r="B562" s="4" t="s">
        <v>856</v>
      </c>
      <c r="C562" s="4" t="str">
        <f>IFERROR(__xludf.DUMMYFUNCTION("GOOGLETRANSLATE(D:D,""auto"",""en"")"),"Husband, wife rainy night clinging to the cancer away")</f>
        <v>Husband, wife rainy night clinging to the cancer away</v>
      </c>
      <c r="D562" s="4" t="s">
        <v>848</v>
      </c>
      <c r="E562" s="4">
        <v>8948247.0</v>
      </c>
      <c r="F562" s="4">
        <v>11.0</v>
      </c>
      <c r="G562" s="4" t="s">
        <v>849</v>
      </c>
    </row>
    <row r="563">
      <c r="A563" s="1">
        <v>561.0</v>
      </c>
      <c r="B563" s="4" t="s">
        <v>856</v>
      </c>
      <c r="C563" s="4" t="str">
        <f>IFERROR(__xludf.DUMMYFUNCTION("GOOGLETRANSLATE(D:D,""auto"",""en"")"),"Winter comes")</f>
        <v>Winter comes</v>
      </c>
      <c r="D563" s="4" t="s">
        <v>865</v>
      </c>
      <c r="E563" s="4">
        <v>8904353.0</v>
      </c>
      <c r="F563" s="4">
        <v>12.0</v>
      </c>
      <c r="G563" s="4" t="s">
        <v>866</v>
      </c>
    </row>
    <row r="564">
      <c r="A564" s="1">
        <v>562.0</v>
      </c>
      <c r="B564" s="4" t="s">
        <v>856</v>
      </c>
      <c r="C564" s="4" t="str">
        <f>IFERROR(__xludf.DUMMYFUNCTION("GOOGLETRANSLATE(D:D,""auto"",""en"")"),"Xu Zheng fed Wang Yibo")</f>
        <v>Xu Zheng fed Wang Yibo</v>
      </c>
      <c r="D564" s="4" t="s">
        <v>867</v>
      </c>
      <c r="E564" s="4">
        <v>8888067.0</v>
      </c>
      <c r="F564" s="4">
        <v>13.0</v>
      </c>
      <c r="G564" s="4" t="s">
        <v>868</v>
      </c>
    </row>
    <row r="565">
      <c r="A565" s="1">
        <v>563.0</v>
      </c>
      <c r="B565" s="4" t="s">
        <v>856</v>
      </c>
      <c r="C565" s="4" t="str">
        <f>IFERROR(__xludf.DUMMYFUNCTION("GOOGLETRANSLATE(D:D,""auto"",""en"")"),"Trump recommendations in the Middle East to join NATO")</f>
        <v>Trump recommendations in the Middle East to join NATO</v>
      </c>
      <c r="D565" s="4" t="s">
        <v>810</v>
      </c>
      <c r="E565" s="4">
        <v>8800090.0</v>
      </c>
      <c r="F565" s="4">
        <v>14.0</v>
      </c>
      <c r="G565" s="4" t="s">
        <v>811</v>
      </c>
    </row>
    <row r="566">
      <c r="A566" s="1">
        <v>564.0</v>
      </c>
      <c r="B566" s="4" t="s">
        <v>856</v>
      </c>
      <c r="C566" s="4" t="str">
        <f>IFERROR(__xludf.DUMMYFUNCTION("GOOGLETRANSLATE(D:D,""auto"",""en"")"),"94-year-old nuclear submarine experts mad Caesar one hundred million tons of dog food")</f>
        <v>94-year-old nuclear submarine experts mad Caesar one hundred million tons of dog food</v>
      </c>
      <c r="D566" s="4" t="s">
        <v>830</v>
      </c>
      <c r="E566" s="4">
        <v>8762907.0</v>
      </c>
      <c r="F566" s="4">
        <v>15.0</v>
      </c>
      <c r="G566" s="4" t="s">
        <v>831</v>
      </c>
    </row>
    <row r="567">
      <c r="A567" s="1">
        <v>565.0</v>
      </c>
      <c r="B567" s="4" t="s">
        <v>856</v>
      </c>
      <c r="C567" s="4" t="str">
        <f>IFERROR(__xludf.DUMMYFUNCTION("GOOGLETRANSLATE(D:D,""auto"",""en"")"),"Han Kan Kiyoko chat true friend")</f>
        <v>Han Kan Kiyoko chat true friend</v>
      </c>
      <c r="D567" s="4" t="s">
        <v>844</v>
      </c>
      <c r="E567" s="4">
        <v>8663227.0</v>
      </c>
      <c r="F567" s="4">
        <v>16.0</v>
      </c>
      <c r="G567" s="4" t="s">
        <v>845</v>
      </c>
    </row>
    <row r="568">
      <c r="A568" s="1">
        <v>566.0</v>
      </c>
      <c r="B568" s="4" t="s">
        <v>856</v>
      </c>
      <c r="C568" s="4" t="str">
        <f>IFERROR(__xludf.DUMMYFUNCTION("GOOGLETRANSLATE(D:D,""auto"",""en"")"),"Ada Zhang Jin married 12 anniversary")</f>
        <v>Ada Zhang Jin married 12 anniversary</v>
      </c>
      <c r="D568" s="4" t="s">
        <v>869</v>
      </c>
      <c r="E568" s="4">
        <v>8662383.0</v>
      </c>
      <c r="F568" s="4">
        <v>17.0</v>
      </c>
      <c r="G568" s="4" t="s">
        <v>870</v>
      </c>
    </row>
    <row r="569">
      <c r="A569" s="1">
        <v>567.0</v>
      </c>
      <c r="B569" s="4" t="s">
        <v>856</v>
      </c>
      <c r="C569" s="4" t="str">
        <f>IFERROR(__xludf.DUMMYFUNCTION("GOOGLETRANSLATE(D:D,""auto"",""en"")"),"Tsai Ing-wen was elected leader of Taiwan region")</f>
        <v>Tsai Ing-wen was elected leader of Taiwan region</v>
      </c>
      <c r="D569" s="4" t="s">
        <v>871</v>
      </c>
      <c r="E569" s="4">
        <v>8445416.0</v>
      </c>
      <c r="F569" s="4">
        <v>18.0</v>
      </c>
      <c r="G569" s="4" t="s">
        <v>872</v>
      </c>
    </row>
    <row r="570">
      <c r="A570" s="1">
        <v>568.0</v>
      </c>
      <c r="B570" s="4" t="s">
        <v>856</v>
      </c>
      <c r="C570" s="4" t="str">
        <f>IFERROR(__xludf.DUMMYFUNCTION("GOOGLETRANSLATE(D:D,""auto"",""en"")"),"Men's 3-layer parking turnovers drop ceiling")</f>
        <v>Men's 3-layer parking turnovers drop ceiling</v>
      </c>
      <c r="D570" s="4" t="s">
        <v>873</v>
      </c>
      <c r="E570" s="4">
        <v>8439102.0</v>
      </c>
      <c r="F570" s="4">
        <v>19.0</v>
      </c>
      <c r="G570" s="4" t="s">
        <v>874</v>
      </c>
    </row>
    <row r="571">
      <c r="A571" s="1">
        <v>569.0</v>
      </c>
      <c r="B571" s="4" t="s">
        <v>856</v>
      </c>
      <c r="C571" s="4" t="str">
        <f>IFERROR(__xludf.DUMMYFUNCTION("GOOGLETRANSLATE(D:D,""auto"",""en"")"),"Transfiguration esoteric")</f>
        <v>Transfiguration esoteric</v>
      </c>
      <c r="D571" s="4" t="s">
        <v>875</v>
      </c>
      <c r="E571" s="4">
        <v>8381714.0</v>
      </c>
      <c r="F571" s="4">
        <v>20.0</v>
      </c>
      <c r="G571" s="4" t="s">
        <v>876</v>
      </c>
    </row>
    <row r="572">
      <c r="A572" s="1">
        <v>570.0</v>
      </c>
      <c r="B572" s="4" t="s">
        <v>856</v>
      </c>
      <c r="C572" s="4" t="str">
        <f>IFERROR(__xludf.DUMMYFUNCTION("GOOGLETRANSLATE(D:D,""auto"",""en"")"),"J sister broke up")</f>
        <v>J sister broke up</v>
      </c>
      <c r="D572" s="4" t="s">
        <v>877</v>
      </c>
      <c r="E572" s="4">
        <v>8376949.0</v>
      </c>
      <c r="F572" s="4">
        <v>21.0</v>
      </c>
      <c r="G572" s="4" t="s">
        <v>878</v>
      </c>
    </row>
    <row r="573">
      <c r="A573" s="1">
        <v>571.0</v>
      </c>
      <c r="B573" s="4" t="s">
        <v>856</v>
      </c>
      <c r="C573" s="4" t="str">
        <f>IFERROR(__xludf.DUMMYFUNCTION("GOOGLETRANSLATE(D:D,""auto"",""en"")"),"One person Come civil affairs departments February 2nd door")</f>
        <v>One person Come civil affairs departments February 2nd door</v>
      </c>
      <c r="D573" s="4" t="s">
        <v>879</v>
      </c>
      <c r="E573" s="4">
        <v>8204543.0</v>
      </c>
      <c r="F573" s="4">
        <v>22.0</v>
      </c>
      <c r="G573" s="4" t="s">
        <v>880</v>
      </c>
    </row>
    <row r="574">
      <c r="A574" s="1">
        <v>572.0</v>
      </c>
      <c r="B574" s="4" t="s">
        <v>856</v>
      </c>
      <c r="C574" s="4" t="str">
        <f>IFERROR(__xludf.DUMMYFUNCTION("GOOGLETRANSLATE(D:D,""auto"",""en"")"),"Angela learn, then northeast")</f>
        <v>Angela learn, then northeast</v>
      </c>
      <c r="D574" s="4" t="s">
        <v>822</v>
      </c>
      <c r="E574" s="4">
        <v>8175175.0</v>
      </c>
      <c r="F574" s="4">
        <v>23.0</v>
      </c>
      <c r="G574" s="4" t="s">
        <v>823</v>
      </c>
    </row>
    <row r="575">
      <c r="A575" s="1">
        <v>573.0</v>
      </c>
      <c r="B575" s="4" t="s">
        <v>856</v>
      </c>
      <c r="C575" s="4" t="str">
        <f>IFERROR(__xludf.DUMMYFUNCTION("GOOGLETRANSLATE(D:D,""auto"",""en"")"),"Woman posing For parents took the boy")</f>
        <v>Woman posing For parents took the boy</v>
      </c>
      <c r="D575" s="4" t="s">
        <v>881</v>
      </c>
      <c r="E575" s="4">
        <v>7859155.0</v>
      </c>
      <c r="F575" s="4">
        <v>24.0</v>
      </c>
      <c r="G575" s="4" t="s">
        <v>882</v>
      </c>
    </row>
    <row r="576">
      <c r="A576" s="1">
        <v>574.0</v>
      </c>
      <c r="B576" s="4" t="s">
        <v>856</v>
      </c>
      <c r="C576" s="4" t="str">
        <f>IFERROR(__xludf.DUMMYFUNCTION("GOOGLETRANSLATE(D:D,""auto"",""en"")"),"Li Jia Hang lonely Tango")</f>
        <v>Li Jia Hang lonely Tango</v>
      </c>
      <c r="D576" s="4" t="s">
        <v>883</v>
      </c>
      <c r="E576" s="4">
        <v>7824789.0</v>
      </c>
      <c r="F576" s="4">
        <v>25.0</v>
      </c>
      <c r="G576" s="4" t="s">
        <v>884</v>
      </c>
    </row>
    <row r="577">
      <c r="A577" s="1">
        <v>575.0</v>
      </c>
      <c r="B577" s="4" t="s">
        <v>856</v>
      </c>
      <c r="C577" s="4" t="str">
        <f>IFERROR(__xludf.DUMMYFUNCTION("GOOGLETRANSLATE(D:D,""auto"",""en"")"),"Eric vocal version of the small motor")</f>
        <v>Eric vocal version of the small motor</v>
      </c>
      <c r="D577" s="4" t="s">
        <v>885</v>
      </c>
      <c r="E577" s="4">
        <v>7711412.0</v>
      </c>
      <c r="F577" s="4">
        <v>26.0</v>
      </c>
      <c r="G577" s="4" t="s">
        <v>886</v>
      </c>
    </row>
    <row r="578">
      <c r="A578" s="1">
        <v>576.0</v>
      </c>
      <c r="B578" s="4" t="s">
        <v>856</v>
      </c>
      <c r="C578" s="4" t="str">
        <f>IFERROR(__xludf.DUMMYFUNCTION("GOOGLETRANSLATE(D:D,""auto"",""en"")"),"By Ma said the woman invited to do live thousands of miles away from home")</f>
        <v>By Ma said the woman invited to do live thousands of miles away from home</v>
      </c>
      <c r="D578" s="4" t="s">
        <v>887</v>
      </c>
      <c r="E578" s="4">
        <v>7670998.0</v>
      </c>
      <c r="F578" s="4">
        <v>27.0</v>
      </c>
      <c r="G578" s="4" t="s">
        <v>888</v>
      </c>
    </row>
    <row r="579">
      <c r="A579" s="1">
        <v>577.0</v>
      </c>
      <c r="B579" s="4" t="s">
        <v>856</v>
      </c>
      <c r="C579" s="4" t="str">
        <f>IFERROR(__xludf.DUMMYFUNCTION("GOOGLETRANSLATE(D:D,""auto"",""en"")"),"Ukraine airliner had been asked to turn")</f>
        <v>Ukraine airliner had been asked to turn</v>
      </c>
      <c r="D579" s="4" t="s">
        <v>889</v>
      </c>
      <c r="E579" s="4">
        <v>7519620.0</v>
      </c>
      <c r="F579" s="4">
        <v>28.0</v>
      </c>
      <c r="G579" s="4" t="s">
        <v>890</v>
      </c>
    </row>
    <row r="580">
      <c r="A580" s="1">
        <v>578.0</v>
      </c>
      <c r="B580" s="4" t="s">
        <v>856</v>
      </c>
      <c r="C580" s="4" t="str">
        <f>IFERROR(__xludf.DUMMYFUNCTION("GOOGLETRANSLATE(D:D,""auto"",""en"")"),"Zhang Yun dub Ma Dongmei")</f>
        <v>Zhang Yun dub Ma Dongmei</v>
      </c>
      <c r="D580" s="4" t="s">
        <v>891</v>
      </c>
      <c r="E580" s="4">
        <v>7503957.0</v>
      </c>
      <c r="F580" s="4">
        <v>29.0</v>
      </c>
      <c r="G580" s="4" t="s">
        <v>892</v>
      </c>
    </row>
    <row r="581">
      <c r="A581" s="1">
        <v>579.0</v>
      </c>
      <c r="B581" s="4" t="s">
        <v>856</v>
      </c>
      <c r="C581" s="4" t="str">
        <f>IFERROR(__xludf.DUMMYFUNCTION("GOOGLETRANSLATE(D:D,""auto"",""en"")"),"High-speed large truck tolls 170 000")</f>
        <v>High-speed large truck tolls 170 000</v>
      </c>
      <c r="D581" s="4" t="s">
        <v>893</v>
      </c>
      <c r="E581" s="4">
        <v>7355616.0</v>
      </c>
      <c r="F581" s="4">
        <v>30.0</v>
      </c>
      <c r="G581" s="4" t="s">
        <v>894</v>
      </c>
    </row>
    <row r="582">
      <c r="A582" s="1">
        <v>580.0</v>
      </c>
      <c r="B582" s="4" t="s">
        <v>856</v>
      </c>
      <c r="C582" s="4" t="str">
        <f>IFERROR(__xludf.DUMMYFUNCTION("GOOGLETRANSLATE(D:D,""auto"",""en"")"),"Jay fans pay")</f>
        <v>Jay fans pay</v>
      </c>
      <c r="D582" s="4" t="s">
        <v>895</v>
      </c>
      <c r="E582" s="4">
        <v>7348571.0</v>
      </c>
      <c r="F582" s="4">
        <v>31.0</v>
      </c>
      <c r="G582" s="4" t="s">
        <v>896</v>
      </c>
    </row>
    <row r="583">
      <c r="A583" s="1">
        <v>581.0</v>
      </c>
      <c r="B583" s="4" t="s">
        <v>856</v>
      </c>
      <c r="C583" s="4" t="str">
        <f>IFERROR(__xludf.DUMMYFUNCTION("GOOGLETRANSLATE(D:D,""auto"",""en"")"),"Australian Prime Minister acknowledged the existence of failures to deal with fires")</f>
        <v>Australian Prime Minister acknowledged the existence of failures to deal with fires</v>
      </c>
      <c r="D583" s="4" t="s">
        <v>897</v>
      </c>
      <c r="E583" s="4">
        <v>7305444.0</v>
      </c>
      <c r="F583" s="4">
        <v>32.0</v>
      </c>
      <c r="G583" s="4" t="s">
        <v>898</v>
      </c>
    </row>
    <row r="584">
      <c r="A584" s="1">
        <v>582.0</v>
      </c>
      <c r="B584" s="4" t="s">
        <v>856</v>
      </c>
      <c r="C584" s="4" t="str">
        <f>IFERROR(__xludf.DUMMYFUNCTION("GOOGLETRANSLATE(D:D,""auto"",""en"")"),"Award for outstanding primary school students each 2 pounds of pork")</f>
        <v>Award for outstanding primary school students each 2 pounds of pork</v>
      </c>
      <c r="D584" s="4" t="s">
        <v>808</v>
      </c>
      <c r="E584" s="4">
        <v>7244986.0</v>
      </c>
      <c r="F584" s="4">
        <v>33.0</v>
      </c>
      <c r="G584" s="4" t="s">
        <v>809</v>
      </c>
    </row>
    <row r="585">
      <c r="A585" s="1">
        <v>583.0</v>
      </c>
      <c r="B585" s="4" t="s">
        <v>856</v>
      </c>
      <c r="C585" s="4" t="str">
        <f>IFERROR(__xludf.DUMMYFUNCTION("GOOGLETRANSLATE(D:D,""auto"",""en"")"),"Zhu Dan read the tongue twister hot Bana Zha")</f>
        <v>Zhu Dan read the tongue twister hot Bana Zha</v>
      </c>
      <c r="D585" s="4" t="s">
        <v>899</v>
      </c>
      <c r="E585" s="4">
        <v>7190666.0</v>
      </c>
      <c r="F585" s="4">
        <v>34.0</v>
      </c>
      <c r="G585" s="4" t="s">
        <v>900</v>
      </c>
    </row>
    <row r="586">
      <c r="A586" s="1">
        <v>584.0</v>
      </c>
      <c r="B586" s="4" t="s">
        <v>856</v>
      </c>
      <c r="C586" s="4" t="str">
        <f>IFERROR(__xludf.DUMMYFUNCTION("GOOGLETRANSLATE(D:D,""auto"",""en"")"),"Ray good news to their New Year")</f>
        <v>Ray good news to their New Year</v>
      </c>
      <c r="D586" s="4" t="s">
        <v>901</v>
      </c>
      <c r="E586" s="4">
        <v>7157390.0</v>
      </c>
      <c r="F586" s="4">
        <v>35.0</v>
      </c>
      <c r="G586" s="4" t="s">
        <v>902</v>
      </c>
    </row>
    <row r="587">
      <c r="A587" s="1">
        <v>585.0</v>
      </c>
      <c r="B587" s="4" t="s">
        <v>856</v>
      </c>
      <c r="C587" s="4" t="str">
        <f>IFERROR(__xludf.DUMMYFUNCTION("GOOGLETRANSLATE(D:D,""auto"",""en"")"),"Closing of reviews is acrostic of his name")</f>
        <v>Closing of reviews is acrostic of his name</v>
      </c>
      <c r="D587" s="4" t="s">
        <v>903</v>
      </c>
      <c r="E587" s="4">
        <v>7132544.0</v>
      </c>
      <c r="F587" s="4">
        <v>36.0</v>
      </c>
      <c r="G587" s="4" t="s">
        <v>904</v>
      </c>
    </row>
    <row r="588">
      <c r="A588" s="1">
        <v>586.0</v>
      </c>
      <c r="B588" s="4" t="s">
        <v>856</v>
      </c>
      <c r="C588" s="4" t="str">
        <f>IFERROR(__xludf.DUMMYFUNCTION("GOOGLETRANSLATE(D:D,""auto"",""en"")"),"Dogs can not escape rocket forces examination")</f>
        <v>Dogs can not escape rocket forces examination</v>
      </c>
      <c r="D588" s="4" t="s">
        <v>824</v>
      </c>
      <c r="E588" s="4">
        <v>7091674.0</v>
      </c>
      <c r="F588" s="4">
        <v>37.0</v>
      </c>
      <c r="G588" s="4" t="s">
        <v>825</v>
      </c>
    </row>
    <row r="589">
      <c r="A589" s="1">
        <v>587.0</v>
      </c>
      <c r="B589" s="4" t="s">
        <v>856</v>
      </c>
      <c r="C589" s="4" t="str">
        <f>IFERROR(__xludf.DUMMYFUNCTION("GOOGLETRANSLATE(D:D,""auto"",""en"")"),"CCTV exposure cheating coach")</f>
        <v>CCTV exposure cheating coach</v>
      </c>
      <c r="D589" s="4" t="s">
        <v>905</v>
      </c>
      <c r="E589" s="4">
        <v>7045624.0</v>
      </c>
      <c r="F589" s="4">
        <v>38.0</v>
      </c>
      <c r="G589" s="4" t="s">
        <v>906</v>
      </c>
    </row>
    <row r="590">
      <c r="A590" s="1">
        <v>588.0</v>
      </c>
      <c r="B590" s="4" t="s">
        <v>856</v>
      </c>
      <c r="C590" s="4" t="str">
        <f>IFERROR(__xludf.DUMMYFUNCTION("GOOGLETRANSLATE(D:D,""auto"",""en"")"),"Yi Jianlian is scare expression package Panda")</f>
        <v>Yi Jianlian is scare expression package Panda</v>
      </c>
      <c r="D590" s="4" t="s">
        <v>907</v>
      </c>
      <c r="E590" s="4">
        <v>7026732.0</v>
      </c>
      <c r="F590" s="4">
        <v>39.0</v>
      </c>
      <c r="G590" s="4" t="s">
        <v>908</v>
      </c>
    </row>
    <row r="591">
      <c r="A591" s="1">
        <v>589.0</v>
      </c>
      <c r="B591" s="4" t="s">
        <v>856</v>
      </c>
      <c r="C591" s="4" t="str">
        <f>IFERROR(__xludf.DUMMYFUNCTION("GOOGLETRANSLATE(D:D,""auto"",""en"")"),"Imperial Palace New Year 6688 yuan per table")</f>
        <v>Imperial Palace New Year 6688 yuan per table</v>
      </c>
      <c r="D591" s="4" t="s">
        <v>909</v>
      </c>
      <c r="E591" s="4">
        <v>6973609.0</v>
      </c>
      <c r="F591" s="4">
        <v>40.0</v>
      </c>
      <c r="G591" s="4" t="s">
        <v>910</v>
      </c>
    </row>
    <row r="592">
      <c r="A592" s="1">
        <v>590.0</v>
      </c>
      <c r="B592" s="4" t="s">
        <v>856</v>
      </c>
      <c r="C592" s="4" t="str">
        <f>IFERROR(__xludf.DUMMYFUNCTION("GOOGLETRANSLATE(D:D,""auto"",""en"")"),"Huang Xuhua only wearing a scarf mother")</f>
        <v>Huang Xuhua only wearing a scarf mother</v>
      </c>
      <c r="D592" s="4" t="s">
        <v>911</v>
      </c>
      <c r="E592" s="4">
        <v>6960820.0</v>
      </c>
      <c r="F592" s="4">
        <v>41.0</v>
      </c>
      <c r="G592" s="4" t="s">
        <v>912</v>
      </c>
    </row>
    <row r="593">
      <c r="A593" s="1">
        <v>591.0</v>
      </c>
      <c r="B593" s="4" t="s">
        <v>856</v>
      </c>
      <c r="C593" s="4" t="str">
        <f>IFERROR(__xludf.DUMMYFUNCTION("GOOGLETRANSLATE(D:D,""auto"",""en"")"),"Chongqing killed the girls' families have not yet found falls")</f>
        <v>Chongqing killed the girls' families have not yet found falls</v>
      </c>
      <c r="D593" s="4" t="s">
        <v>913</v>
      </c>
      <c r="E593" s="4">
        <v>6945507.0</v>
      </c>
      <c r="F593" s="4">
        <v>42.0</v>
      </c>
      <c r="G593" s="4" t="s">
        <v>914</v>
      </c>
    </row>
    <row r="594">
      <c r="A594" s="1">
        <v>592.0</v>
      </c>
      <c r="B594" s="4" t="s">
        <v>856</v>
      </c>
      <c r="C594" s="4" t="str">
        <f>IFERROR(__xludf.DUMMYFUNCTION("GOOGLETRANSLATE(D:D,""auto"",""en"")"),"Migrant workers scrape together 28 yuan stop eating farewell dinner")</f>
        <v>Migrant workers scrape together 28 yuan stop eating farewell dinner</v>
      </c>
      <c r="D594" s="4" t="s">
        <v>915</v>
      </c>
      <c r="E594" s="4">
        <v>6921936.0</v>
      </c>
      <c r="F594" s="4">
        <v>43.0</v>
      </c>
      <c r="G594" s="4" t="s">
        <v>916</v>
      </c>
    </row>
    <row r="595">
      <c r="A595" s="1">
        <v>593.0</v>
      </c>
      <c r="B595" s="4" t="s">
        <v>856</v>
      </c>
      <c r="C595" s="4" t="str">
        <f>IFERROR(__xludf.DUMMYFUNCTION("GOOGLETRANSLATE(D:D,""auto"",""en"")"),"Emergency road show")</f>
        <v>Emergency road show</v>
      </c>
      <c r="D595" s="4" t="s">
        <v>917</v>
      </c>
      <c r="E595" s="4">
        <v>6872904.0</v>
      </c>
      <c r="F595" s="4">
        <v>44.0</v>
      </c>
      <c r="G595" s="4" t="s">
        <v>918</v>
      </c>
    </row>
    <row r="596">
      <c r="A596" s="1">
        <v>594.0</v>
      </c>
      <c r="B596" s="4" t="s">
        <v>856</v>
      </c>
      <c r="C596" s="4" t="str">
        <f>IFERROR(__xludf.DUMMYFUNCTION("GOOGLETRANSLATE(D:D,""auto"",""en"")"),"Bing Gege minus 20 degrees Ice Bucket Challenge")</f>
        <v>Bing Gege minus 20 degrees Ice Bucket Challenge</v>
      </c>
      <c r="D596" s="4" t="s">
        <v>919</v>
      </c>
      <c r="E596" s="4">
        <v>6852444.0</v>
      </c>
      <c r="F596" s="4">
        <v>45.0</v>
      </c>
      <c r="G596" s="4" t="s">
        <v>920</v>
      </c>
    </row>
    <row r="597">
      <c r="A597" s="1">
        <v>595.0</v>
      </c>
      <c r="B597" s="4" t="s">
        <v>856</v>
      </c>
      <c r="C597" s="4" t="str">
        <f>IFERROR(__xludf.DUMMYFUNCTION("GOOGLETRANSLATE(D:D,""auto"",""en"")"),"Austria's most beautiful small town appeal to tourists")</f>
        <v>Austria's most beautiful small town appeal to tourists</v>
      </c>
      <c r="D597" s="4" t="s">
        <v>921</v>
      </c>
      <c r="E597" s="4">
        <v>6842897.0</v>
      </c>
      <c r="F597" s="4">
        <v>46.0</v>
      </c>
      <c r="G597" s="4" t="s">
        <v>922</v>
      </c>
    </row>
    <row r="598">
      <c r="A598" s="1">
        <v>596.0</v>
      </c>
      <c r="B598" s="4" t="s">
        <v>856</v>
      </c>
      <c r="C598" s="4" t="str">
        <f>IFERROR(__xludf.DUMMYFUNCTION("GOOGLETRANSLATE(D:D,""auto"",""en"")"),"Grandpa pile out swinging snowman")</f>
        <v>Grandpa pile out swinging snowman</v>
      </c>
      <c r="D598" s="4" t="s">
        <v>923</v>
      </c>
      <c r="E598" s="4">
        <v>6823641.0</v>
      </c>
      <c r="F598" s="4">
        <v>47.0</v>
      </c>
      <c r="G598" s="4" t="s">
        <v>924</v>
      </c>
    </row>
    <row r="599">
      <c r="A599" s="1">
        <v>597.0</v>
      </c>
      <c r="B599" s="4" t="s">
        <v>856</v>
      </c>
      <c r="C599" s="4" t="str">
        <f>IFERROR(__xludf.DUMMYFUNCTION("GOOGLETRANSLATE(D:D,""auto"",""en"")"),"Allen Lin Starchaser Xiaozhan")</f>
        <v>Allen Lin Starchaser Xiaozhan</v>
      </c>
      <c r="D599" s="4" t="s">
        <v>925</v>
      </c>
      <c r="E599" s="4">
        <v>6653147.0</v>
      </c>
      <c r="F599" s="4">
        <v>48.0</v>
      </c>
      <c r="G599" s="4" t="s">
        <v>926</v>
      </c>
    </row>
    <row r="600">
      <c r="A600" s="1">
        <v>598.0</v>
      </c>
      <c r="B600" s="4" t="s">
        <v>856</v>
      </c>
      <c r="C600" s="4" t="str">
        <f>IFERROR(__xludf.DUMMYFUNCTION("GOOGLETRANSLATE(D:D,""auto"",""en"")"),"Lou Yi Xiao Fei Hu audition screen")</f>
        <v>Lou Yi Xiao Fei Hu audition screen</v>
      </c>
      <c r="D600" s="4" t="s">
        <v>828</v>
      </c>
      <c r="E600" s="4">
        <v>6625856.0</v>
      </c>
      <c r="F600" s="4">
        <v>49.0</v>
      </c>
      <c r="G600" s="4" t="s">
        <v>829</v>
      </c>
    </row>
    <row r="601">
      <c r="A601" s="1">
        <v>599.0</v>
      </c>
      <c r="B601" s="4" t="s">
        <v>856</v>
      </c>
      <c r="C601" s="4" t="str">
        <f>IFERROR(__xludf.DUMMYFUNCTION("GOOGLETRANSLATE(D:D,""auto"",""en"")"),"When the grandmother met effervescent tablets")</f>
        <v>When the grandmother met effervescent tablets</v>
      </c>
      <c r="D601" s="4" t="s">
        <v>927</v>
      </c>
      <c r="E601" s="4">
        <v>6610144.0</v>
      </c>
      <c r="F601" s="4">
        <v>50.0</v>
      </c>
      <c r="G601" s="4" t="s">
        <v>928</v>
      </c>
    </row>
    <row r="602">
      <c r="A602" s="1">
        <v>600.0</v>
      </c>
      <c r="B602" s="4" t="s">
        <v>929</v>
      </c>
      <c r="C602" s="4" t="str">
        <f>IFERROR(__xludf.DUMMYFUNCTION("GOOGLETRANSLATE(D:D,""auto"",""en"")"),"Zhu Dan Jiangrenleishui response slip of the tongue")</f>
        <v>Zhu Dan Jiangrenleishui response slip of the tongue</v>
      </c>
      <c r="D602" s="4" t="s">
        <v>930</v>
      </c>
      <c r="E602" s="4">
        <v>1.1604991E7</v>
      </c>
      <c r="F602" s="4">
        <v>1.0</v>
      </c>
      <c r="G602" s="4" t="s">
        <v>931</v>
      </c>
    </row>
    <row r="603">
      <c r="A603" s="1">
        <v>601.0</v>
      </c>
      <c r="B603" s="4" t="s">
        <v>929</v>
      </c>
      <c r="C603" s="4" t="str">
        <f>IFERROR(__xludf.DUMMYFUNCTION("GOOGLETRANSLATE(D:D,""auto"",""en"")"),"Zhang airport to send large grilles")</f>
        <v>Zhang airport to send large grilles</v>
      </c>
      <c r="D603" s="4" t="s">
        <v>932</v>
      </c>
      <c r="E603" s="4">
        <v>1.131179E7</v>
      </c>
      <c r="F603" s="4">
        <v>2.0</v>
      </c>
      <c r="G603" s="4" t="s">
        <v>933</v>
      </c>
    </row>
    <row r="604">
      <c r="A604" s="1">
        <v>602.0</v>
      </c>
      <c r="B604" s="4" t="s">
        <v>929</v>
      </c>
      <c r="C604" s="4" t="str">
        <f>IFERROR(__xludf.DUMMYFUNCTION("GOOGLETRANSLATE(D:D,""auto"",""en"")"),"Grandpa pile out swinging snowman")</f>
        <v>Grandpa pile out swinging snowman</v>
      </c>
      <c r="D604" s="4" t="s">
        <v>923</v>
      </c>
      <c r="E604" s="4">
        <v>1.1089645E7</v>
      </c>
      <c r="F604" s="4">
        <v>3.0</v>
      </c>
      <c r="G604" s="4" t="s">
        <v>924</v>
      </c>
    </row>
    <row r="605">
      <c r="A605" s="1">
        <v>603.0</v>
      </c>
      <c r="B605" s="4" t="s">
        <v>929</v>
      </c>
      <c r="C605" s="4" t="str">
        <f>IFERROR(__xludf.DUMMYFUNCTION("GOOGLETRANSLATE(D:D,""auto"",""en"")"),"Female executives take time off between model to his son fitted marriage room")</f>
        <v>Female executives take time off between model to his son fitted marriage room</v>
      </c>
      <c r="D605" s="4" t="s">
        <v>859</v>
      </c>
      <c r="E605" s="4">
        <v>1.1056419E7</v>
      </c>
      <c r="F605" s="4">
        <v>4.0</v>
      </c>
      <c r="G605" s="4" t="s">
        <v>860</v>
      </c>
    </row>
    <row r="606">
      <c r="A606" s="1">
        <v>604.0</v>
      </c>
      <c r="B606" s="4" t="s">
        <v>929</v>
      </c>
      <c r="C606" s="4" t="str">
        <f>IFERROR(__xludf.DUMMYFUNCTION("GOOGLETRANSLATE(D:D,""auto"",""en"")"),"Deng purple chess with her boyfriend in tune vibrato")</f>
        <v>Deng purple chess with her boyfriend in tune vibrato</v>
      </c>
      <c r="D606" s="4" t="s">
        <v>934</v>
      </c>
      <c r="E606" s="4">
        <v>1.0979719E7</v>
      </c>
      <c r="F606" s="4">
        <v>5.0</v>
      </c>
      <c r="G606" s="4" t="s">
        <v>935</v>
      </c>
    </row>
    <row r="607">
      <c r="A607" s="1">
        <v>605.0</v>
      </c>
      <c r="B607" s="4" t="s">
        <v>929</v>
      </c>
      <c r="C607" s="4" t="str">
        <f>IFERROR(__xludf.DUMMYFUNCTION("GOOGLETRANSLATE(D:D,""auto"",""en"")"),"Zhang Zhichao 13 years after the retrial case acquitted")</f>
        <v>Zhang Zhichao 13 years after the retrial case acquitted</v>
      </c>
      <c r="D607" s="4" t="s">
        <v>936</v>
      </c>
      <c r="E607" s="4">
        <v>1.0926782E7</v>
      </c>
      <c r="F607" s="4">
        <v>6.0</v>
      </c>
      <c r="G607" s="4" t="s">
        <v>937</v>
      </c>
    </row>
    <row r="608">
      <c r="A608" s="1">
        <v>606.0</v>
      </c>
      <c r="B608" s="4" t="s">
        <v>929</v>
      </c>
      <c r="C608" s="4" t="str">
        <f>IFERROR(__xludf.DUMMYFUNCTION("GOOGLETRANSLATE(D:D,""auto"",""en"")"),"Age Calculator")</f>
        <v>Age Calculator</v>
      </c>
      <c r="D608" s="4" t="s">
        <v>938</v>
      </c>
      <c r="E608" s="4">
        <v>1.0515312E7</v>
      </c>
      <c r="F608" s="4">
        <v>7.0</v>
      </c>
      <c r="G608" s="4" t="s">
        <v>939</v>
      </c>
    </row>
    <row r="609">
      <c r="A609" s="1">
        <v>607.0</v>
      </c>
      <c r="B609" s="4" t="s">
        <v>929</v>
      </c>
      <c r="C609" s="4" t="str">
        <f>IFERROR(__xludf.DUMMYFUNCTION("GOOGLETRANSLATE(D:D,""auto"",""en"")"),"Guizhou Maotai corrupt officials to pour down sewer endless")</f>
        <v>Guizhou Maotai corrupt officials to pour down sewer endless</v>
      </c>
      <c r="D609" s="4" t="s">
        <v>940</v>
      </c>
      <c r="E609" s="4">
        <v>1.0476617E7</v>
      </c>
      <c r="F609" s="4">
        <v>8.0</v>
      </c>
      <c r="G609" s="4" t="s">
        <v>941</v>
      </c>
    </row>
    <row r="610">
      <c r="A610" s="1">
        <v>608.0</v>
      </c>
      <c r="B610" s="4" t="s">
        <v>929</v>
      </c>
      <c r="C610" s="4" t="str">
        <f>IFERROR(__xludf.DUMMYFUNCTION("GOOGLETRANSLATE(D:D,""auto"",""en"")"),"Groom wedding scene airborne meritorious good news story")</f>
        <v>Groom wedding scene airborne meritorious good news story</v>
      </c>
      <c r="D610" s="4" t="s">
        <v>942</v>
      </c>
      <c r="E610" s="4">
        <v>1.0452124E7</v>
      </c>
      <c r="F610" s="4">
        <v>9.0</v>
      </c>
      <c r="G610" s="4" t="s">
        <v>943</v>
      </c>
    </row>
    <row r="611">
      <c r="A611" s="1">
        <v>609.0</v>
      </c>
      <c r="B611" s="4" t="s">
        <v>929</v>
      </c>
      <c r="C611" s="4" t="str">
        <f>IFERROR(__xludf.DUMMYFUNCTION("GOOGLETRANSLATE(D:D,""auto"",""en"")"),"Wu Yifan rumored girlfriend Qin cattle Granville enter the draft")</f>
        <v>Wu Yifan rumored girlfriend Qin cattle Granville enter the draft</v>
      </c>
      <c r="D611" s="4" t="s">
        <v>861</v>
      </c>
      <c r="E611" s="4">
        <v>1.0334489E7</v>
      </c>
      <c r="F611" s="4">
        <v>10.0</v>
      </c>
      <c r="G611" s="4" t="s">
        <v>862</v>
      </c>
    </row>
    <row r="612">
      <c r="A612" s="1">
        <v>610.0</v>
      </c>
      <c r="B612" s="4" t="s">
        <v>929</v>
      </c>
      <c r="C612" s="4" t="str">
        <f>IFERROR(__xludf.DUMMYFUNCTION("GOOGLETRANSLATE(D:D,""auto"",""en"")"),"Long Feng Qian Wang Yibo laughing at the point")</f>
        <v>Long Feng Qian Wang Yibo laughing at the point</v>
      </c>
      <c r="D612" s="4" t="s">
        <v>944</v>
      </c>
      <c r="E612" s="4">
        <v>1.0163383E7</v>
      </c>
      <c r="F612" s="4">
        <v>11.0</v>
      </c>
      <c r="G612" s="4" t="s">
        <v>945</v>
      </c>
    </row>
    <row r="613">
      <c r="A613" s="1">
        <v>611.0</v>
      </c>
      <c r="B613" s="4" t="s">
        <v>929</v>
      </c>
      <c r="C613" s="4" t="str">
        <f>IFERROR(__xludf.DUMMYFUNCTION("GOOGLETRANSLATE(D:D,""auto"",""en"")"),"J sister broke up")</f>
        <v>J sister broke up</v>
      </c>
      <c r="D613" s="4" t="s">
        <v>877</v>
      </c>
      <c r="E613" s="4">
        <v>1.0141303E7</v>
      </c>
      <c r="F613" s="4">
        <v>12.0</v>
      </c>
      <c r="G613" s="4" t="s">
        <v>878</v>
      </c>
    </row>
    <row r="614">
      <c r="A614" s="1">
        <v>612.0</v>
      </c>
      <c r="B614" s="4" t="s">
        <v>929</v>
      </c>
      <c r="C614" s="4" t="str">
        <f>IFERROR(__xludf.DUMMYFUNCTION("GOOGLETRANSLATE(D:D,""auto"",""en"")"),"Sub Qiaomei Jia licensing")</f>
        <v>Sub Qiaomei Jia licensing</v>
      </c>
      <c r="D614" s="4" t="s">
        <v>946</v>
      </c>
      <c r="E614" s="4">
        <v>1.0092722E7</v>
      </c>
      <c r="F614" s="4">
        <v>13.0</v>
      </c>
      <c r="G614" s="4" t="s">
        <v>947</v>
      </c>
    </row>
    <row r="615">
      <c r="A615" s="1">
        <v>613.0</v>
      </c>
      <c r="B615" s="4" t="s">
        <v>929</v>
      </c>
      <c r="C615" s="4" t="str">
        <f>IFERROR(__xludf.DUMMYFUNCTION("GOOGLETRANSLATE(D:D,""auto"",""en"")"),"Philippines volcano eruption")</f>
        <v>Philippines volcano eruption</v>
      </c>
      <c r="D615" s="4" t="s">
        <v>948</v>
      </c>
      <c r="E615" s="4">
        <v>9859237.0</v>
      </c>
      <c r="F615" s="4">
        <v>14.0</v>
      </c>
      <c r="G615" s="4" t="s">
        <v>949</v>
      </c>
    </row>
    <row r="616">
      <c r="A616" s="1">
        <v>614.0</v>
      </c>
      <c r="B616" s="4" t="s">
        <v>929</v>
      </c>
      <c r="C616" s="4" t="str">
        <f>IFERROR(__xludf.DUMMYFUNCTION("GOOGLETRANSLATE(D:D,""auto"",""en"")"),"New Year koi wink")</f>
        <v>New Year koi wink</v>
      </c>
      <c r="D616" s="4" t="s">
        <v>950</v>
      </c>
      <c r="E616" s="4">
        <v>9827260.0</v>
      </c>
      <c r="F616" s="4">
        <v>15.0</v>
      </c>
      <c r="G616" s="4" t="s">
        <v>951</v>
      </c>
    </row>
    <row r="617">
      <c r="A617" s="1">
        <v>615.0</v>
      </c>
      <c r="B617" s="4" t="s">
        <v>929</v>
      </c>
      <c r="C617" s="4" t="str">
        <f>IFERROR(__xludf.DUMMYFUNCTION("GOOGLETRANSLATE(D:D,""auto"",""en"")"),"Look how I go home New Year")</f>
        <v>Look how I go home New Year</v>
      </c>
      <c r="D617" s="4" t="s">
        <v>952</v>
      </c>
      <c r="E617" s="4">
        <v>9768502.0</v>
      </c>
      <c r="F617" s="4">
        <v>16.0</v>
      </c>
      <c r="G617" s="4" t="s">
        <v>953</v>
      </c>
    </row>
    <row r="618">
      <c r="A618" s="1">
        <v>616.0</v>
      </c>
      <c r="B618" s="4" t="s">
        <v>929</v>
      </c>
      <c r="C618" s="4" t="str">
        <f>IFERROR(__xludf.DUMMYFUNCTION("GOOGLETRANSLATE(D:D,""auto"",""en"")"),"Owen back in 1011")</f>
        <v>Owen back in 1011</v>
      </c>
      <c r="D618" s="4" t="s">
        <v>954</v>
      </c>
      <c r="E618" s="4">
        <v>9751228.0</v>
      </c>
      <c r="F618" s="4">
        <v>17.0</v>
      </c>
      <c r="G618" s="4" t="s">
        <v>955</v>
      </c>
    </row>
    <row r="619">
      <c r="A619" s="1">
        <v>617.0</v>
      </c>
      <c r="B619" s="4" t="s">
        <v>929</v>
      </c>
      <c r="C619" s="4" t="str">
        <f>IFERROR(__xludf.DUMMYFUNCTION("GOOGLETRANSLATE(D:D,""auto"",""en"")"),"Jay fans pay")</f>
        <v>Jay fans pay</v>
      </c>
      <c r="D619" s="4" t="s">
        <v>895</v>
      </c>
      <c r="E619" s="4">
        <v>9658509.0</v>
      </c>
      <c r="F619" s="4">
        <v>18.0</v>
      </c>
      <c r="G619" s="4" t="s">
        <v>896</v>
      </c>
    </row>
    <row r="620">
      <c r="A620" s="1">
        <v>618.0</v>
      </c>
      <c r="B620" s="4" t="s">
        <v>929</v>
      </c>
      <c r="C620" s="4" t="str">
        <f>IFERROR(__xludf.DUMMYFUNCTION("GOOGLETRANSLATE(D:D,""auto"",""en"")"),"SM confirm Admiralty big marriage")</f>
        <v>SM confirm Admiralty big marriage</v>
      </c>
      <c r="D620" s="4" t="s">
        <v>956</v>
      </c>
      <c r="E620" s="4">
        <v>9582121.0</v>
      </c>
      <c r="F620" s="4">
        <v>19.0</v>
      </c>
      <c r="G620" s="4" t="s">
        <v>957</v>
      </c>
    </row>
    <row r="621">
      <c r="A621" s="1">
        <v>619.0</v>
      </c>
      <c r="B621" s="4" t="s">
        <v>929</v>
      </c>
      <c r="C621" s="4" t="str">
        <f>IFERROR(__xludf.DUMMYFUNCTION("GOOGLETRANSLATE(D:D,""auto"",""en"")"),"Admiralty big admits affair")</f>
        <v>Admiralty big admits affair</v>
      </c>
      <c r="D621" s="4" t="s">
        <v>958</v>
      </c>
      <c r="E621" s="4">
        <v>9515485.0</v>
      </c>
      <c r="F621" s="4">
        <v>20.0</v>
      </c>
      <c r="G621" s="4" t="s">
        <v>959</v>
      </c>
    </row>
    <row r="622">
      <c r="A622" s="1">
        <v>620.0</v>
      </c>
      <c r="B622" s="4" t="s">
        <v>929</v>
      </c>
      <c r="C622" s="4" t="str">
        <f>IFERROR(__xludf.DUMMYFUNCTION("GOOGLETRANSLATE(D:D,""auto"",""en"")"),"By Ma said the woman invited to do live thousands of miles away from home")</f>
        <v>By Ma said the woman invited to do live thousands of miles away from home</v>
      </c>
      <c r="D622" s="4" t="s">
        <v>887</v>
      </c>
      <c r="E622" s="4">
        <v>9448940.0</v>
      </c>
      <c r="F622" s="4">
        <v>21.0</v>
      </c>
      <c r="G622" s="4" t="s">
        <v>888</v>
      </c>
    </row>
    <row r="623">
      <c r="A623" s="1">
        <v>621.0</v>
      </c>
      <c r="B623" s="4" t="s">
        <v>929</v>
      </c>
      <c r="C623" s="4" t="str">
        <f>IFERROR(__xludf.DUMMYFUNCTION("GOOGLETRANSLATE(D:D,""auto"",""en"")"),"Wang Yibo Zhang posted to the big eyelid paste")</f>
        <v>Wang Yibo Zhang posted to the big eyelid paste</v>
      </c>
      <c r="D623" s="4" t="s">
        <v>960</v>
      </c>
      <c r="E623" s="4">
        <v>9441104.0</v>
      </c>
      <c r="F623" s="4">
        <v>22.0</v>
      </c>
      <c r="G623" s="4" t="s">
        <v>961</v>
      </c>
    </row>
    <row r="624">
      <c r="A624" s="1">
        <v>622.0</v>
      </c>
      <c r="B624" s="4" t="s">
        <v>929</v>
      </c>
      <c r="C624" s="4" t="str">
        <f>IFERROR(__xludf.DUMMYFUNCTION("GOOGLETRANSLATE(D:D,""auto"",""en"")"),"33-year-old man received parents to marry dancers song")</f>
        <v>33-year-old man received parents to marry dancers song</v>
      </c>
      <c r="D624" s="4" t="s">
        <v>962</v>
      </c>
      <c r="E624" s="4">
        <v>9239236.0</v>
      </c>
      <c r="F624" s="4">
        <v>23.0</v>
      </c>
      <c r="G624" s="4" t="s">
        <v>963</v>
      </c>
    </row>
    <row r="625">
      <c r="A625" s="1">
        <v>623.0</v>
      </c>
      <c r="B625" s="4" t="s">
        <v>929</v>
      </c>
      <c r="C625" s="4" t="str">
        <f>IFERROR(__xludf.DUMMYFUNCTION("GOOGLETRANSLATE(D:D,""auto"",""en"")"),"President Lee is now handed copy")</f>
        <v>President Lee is now handed copy</v>
      </c>
      <c r="D625" s="4" t="s">
        <v>964</v>
      </c>
      <c r="E625" s="4">
        <v>9215289.0</v>
      </c>
      <c r="F625" s="4">
        <v>24.0</v>
      </c>
      <c r="G625" s="4" t="s">
        <v>965</v>
      </c>
    </row>
    <row r="626">
      <c r="A626" s="1">
        <v>624.0</v>
      </c>
      <c r="B626" s="4" t="s">
        <v>929</v>
      </c>
      <c r="C626" s="4" t="str">
        <f>IFERROR(__xludf.DUMMYFUNCTION("GOOGLETRANSLATE(D:D,""auto"",""en"")"),"ZICO your summer dance")</f>
        <v>ZICO your summer dance</v>
      </c>
      <c r="D626" s="4" t="s">
        <v>966</v>
      </c>
      <c r="E626" s="4">
        <v>9191550.0</v>
      </c>
      <c r="F626" s="4">
        <v>25.0</v>
      </c>
      <c r="G626" s="4" t="s">
        <v>967</v>
      </c>
    </row>
    <row r="627">
      <c r="A627" s="1">
        <v>625.0</v>
      </c>
      <c r="B627" s="4" t="s">
        <v>929</v>
      </c>
      <c r="C627" s="4" t="str">
        <f>IFERROR(__xludf.DUMMYFUNCTION("GOOGLETRANSLATE(D:D,""auto"",""en"")"),"Truong TAO play fine upper body")</f>
        <v>Truong TAO play fine upper body</v>
      </c>
      <c r="D627" s="4" t="s">
        <v>968</v>
      </c>
      <c r="E627" s="4">
        <v>9173439.0</v>
      </c>
      <c r="F627" s="4">
        <v>26.0</v>
      </c>
      <c r="G627" s="4" t="s">
        <v>969</v>
      </c>
    </row>
    <row r="628">
      <c r="A628" s="1">
        <v>626.0</v>
      </c>
      <c r="B628" s="4" t="s">
        <v>929</v>
      </c>
      <c r="C628" s="4" t="str">
        <f>IFERROR(__xludf.DUMMYFUNCTION("GOOGLETRANSLATE(D:D,""auto"",""en"")"),"Xiaozhan silver-haired elf")</f>
        <v>Xiaozhan silver-haired elf</v>
      </c>
      <c r="D628" s="4" t="s">
        <v>970</v>
      </c>
      <c r="E628" s="4">
        <v>9075584.0</v>
      </c>
      <c r="F628" s="4">
        <v>27.0</v>
      </c>
      <c r="G628" s="4" t="s">
        <v>971</v>
      </c>
    </row>
    <row r="629">
      <c r="A629" s="1">
        <v>627.0</v>
      </c>
      <c r="B629" s="4" t="s">
        <v>929</v>
      </c>
      <c r="C629" s="4" t="str">
        <f>IFERROR(__xludf.DUMMYFUNCTION("GOOGLETRANSLATE(D:D,""auto"",""en"")"),"NASA internship three days of high school students discover new planet")</f>
        <v>NASA internship three days of high school students discover new planet</v>
      </c>
      <c r="D629" s="4" t="s">
        <v>972</v>
      </c>
      <c r="E629" s="4">
        <v>8978101.0</v>
      </c>
      <c r="F629" s="4">
        <v>28.0</v>
      </c>
      <c r="G629" s="4" t="s">
        <v>973</v>
      </c>
    </row>
    <row r="630">
      <c r="A630" s="1">
        <v>628.0</v>
      </c>
      <c r="B630" s="4" t="s">
        <v>929</v>
      </c>
      <c r="C630" s="4" t="str">
        <f>IFERROR(__xludf.DUMMYFUNCTION("GOOGLETRANSLATE(D:D,""auto"",""en"")"),"Cherry Chen Qian made quickly")</f>
        <v>Cherry Chen Qian made quickly</v>
      </c>
      <c r="D630" s="4" t="s">
        <v>974</v>
      </c>
      <c r="E630" s="4">
        <v>8975014.0</v>
      </c>
      <c r="F630" s="4">
        <v>29.0</v>
      </c>
      <c r="G630" s="4" t="s">
        <v>975</v>
      </c>
    </row>
    <row r="631">
      <c r="A631" s="1">
        <v>629.0</v>
      </c>
      <c r="B631" s="4" t="s">
        <v>929</v>
      </c>
      <c r="C631" s="4" t="str">
        <f>IFERROR(__xludf.DUMMYFUNCTION("GOOGLETRANSLATE(D:D,""auto"",""en"")"),"Exam results determine the way home")</f>
        <v>Exam results determine the way home</v>
      </c>
      <c r="D631" s="4" t="s">
        <v>976</v>
      </c>
      <c r="E631" s="4">
        <v>8973848.0</v>
      </c>
      <c r="F631" s="4">
        <v>30.0</v>
      </c>
      <c r="G631" s="4" t="s">
        <v>977</v>
      </c>
    </row>
    <row r="632">
      <c r="A632" s="1">
        <v>630.0</v>
      </c>
      <c r="B632" s="4" t="s">
        <v>929</v>
      </c>
      <c r="C632" s="4" t="str">
        <f>IFERROR(__xludf.DUMMYFUNCTION("GOOGLETRANSLATE(D:D,""auto"",""en"")"),"Police cite shields burst into the area to save the Rolling Stones")</f>
        <v>Police cite shields burst into the area to save the Rolling Stones</v>
      </c>
      <c r="D632" s="4" t="s">
        <v>978</v>
      </c>
      <c r="E632" s="4">
        <v>8753670.0</v>
      </c>
      <c r="F632" s="4">
        <v>31.0</v>
      </c>
      <c r="G632" s="4" t="s">
        <v>979</v>
      </c>
    </row>
    <row r="633">
      <c r="A633" s="1">
        <v>631.0</v>
      </c>
      <c r="B633" s="4" t="s">
        <v>929</v>
      </c>
      <c r="C633" s="4" t="str">
        <f>IFERROR(__xludf.DUMMYFUNCTION("GOOGLETRANSLATE(D:D,""auto"",""en"")"),"The true state after winter break")</f>
        <v>The true state after winter break</v>
      </c>
      <c r="D633" s="4" t="s">
        <v>980</v>
      </c>
      <c r="E633" s="4">
        <v>8752541.0</v>
      </c>
      <c r="F633" s="4">
        <v>32.0</v>
      </c>
      <c r="G633" s="4" t="s">
        <v>981</v>
      </c>
    </row>
    <row r="634">
      <c r="A634" s="1">
        <v>632.0</v>
      </c>
      <c r="B634" s="4" t="s">
        <v>929</v>
      </c>
      <c r="C634" s="4" t="str">
        <f>IFERROR(__xludf.DUMMYFUNCTION("GOOGLETRANSLATE(D:D,""auto"",""en"")"),"Military outpost allotted a cat a dog anti-loneliness")</f>
        <v>Military outpost allotted a cat a dog anti-loneliness</v>
      </c>
      <c r="D634" s="4" t="s">
        <v>982</v>
      </c>
      <c r="E634" s="4">
        <v>8741836.0</v>
      </c>
      <c r="F634" s="4">
        <v>33.0</v>
      </c>
      <c r="G634" s="4" t="s">
        <v>983</v>
      </c>
    </row>
    <row r="635">
      <c r="A635" s="1">
        <v>633.0</v>
      </c>
      <c r="B635" s="4" t="s">
        <v>929</v>
      </c>
      <c r="C635" s="4" t="str">
        <f>IFERROR(__xludf.DUMMYFUNCTION("GOOGLETRANSLATE(D:D,""auto"",""en"")"),"Transfiguration esoteric")</f>
        <v>Transfiguration esoteric</v>
      </c>
      <c r="D635" s="4" t="s">
        <v>875</v>
      </c>
      <c r="E635" s="4">
        <v>8735047.0</v>
      </c>
      <c r="F635" s="4">
        <v>34.0</v>
      </c>
      <c r="G635" s="4" t="s">
        <v>876</v>
      </c>
    </row>
    <row r="636">
      <c r="A636" s="1">
        <v>634.0</v>
      </c>
      <c r="B636" s="4" t="s">
        <v>929</v>
      </c>
      <c r="C636" s="4" t="str">
        <f>IFERROR(__xludf.DUMMYFUNCTION("GOOGLETRANSLATE(D:D,""auto"",""en"")"),"Xiaozhan retro disco")</f>
        <v>Xiaozhan retro disco</v>
      </c>
      <c r="D636" s="4" t="s">
        <v>984</v>
      </c>
      <c r="E636" s="4">
        <v>8711896.0</v>
      </c>
      <c r="F636" s="4">
        <v>35.0</v>
      </c>
      <c r="G636" s="4" t="s">
        <v>985</v>
      </c>
    </row>
    <row r="637">
      <c r="A637" s="1">
        <v>635.0</v>
      </c>
      <c r="B637" s="4" t="s">
        <v>929</v>
      </c>
      <c r="C637" s="4" t="str">
        <f>IFERROR(__xludf.DUMMYFUNCTION("GOOGLETRANSLATE(D:D,""auto"",""en"")"),"Zhang Chao acquitted the respondents")</f>
        <v>Zhang Chao acquitted the respondents</v>
      </c>
      <c r="D637" s="4" t="s">
        <v>986</v>
      </c>
      <c r="E637" s="4">
        <v>8544683.0</v>
      </c>
      <c r="F637" s="4">
        <v>36.0</v>
      </c>
      <c r="G637" s="4" t="s">
        <v>987</v>
      </c>
    </row>
    <row r="638">
      <c r="A638" s="1">
        <v>636.0</v>
      </c>
      <c r="B638" s="4" t="s">
        <v>929</v>
      </c>
      <c r="C638" s="4" t="str">
        <f>IFERROR(__xludf.DUMMYFUNCTION("GOOGLETRANSLATE(D:D,""auto"",""en"")"),"Life for the first time parents")</f>
        <v>Life for the first time parents</v>
      </c>
      <c r="D638" s="4" t="s">
        <v>988</v>
      </c>
      <c r="E638" s="4">
        <v>8339336.0</v>
      </c>
      <c r="F638" s="4">
        <v>37.0</v>
      </c>
      <c r="G638" s="4" t="s">
        <v>989</v>
      </c>
    </row>
    <row r="639">
      <c r="A639" s="1">
        <v>637.0</v>
      </c>
      <c r="B639" s="4" t="s">
        <v>929</v>
      </c>
      <c r="C639" s="4" t="str">
        <f>IFERROR(__xludf.DUMMYFUNCTION("GOOGLETRANSLATE(D:D,""auto"",""en"")"),"Four kidnapped Chinese crew were released unharmed")</f>
        <v>Four kidnapped Chinese crew were released unharmed</v>
      </c>
      <c r="D639" s="4" t="s">
        <v>990</v>
      </c>
      <c r="E639" s="4">
        <v>8141794.0</v>
      </c>
      <c r="F639" s="4">
        <v>38.0</v>
      </c>
      <c r="G639" s="4" t="s">
        <v>991</v>
      </c>
    </row>
    <row r="640">
      <c r="A640" s="1">
        <v>638.0</v>
      </c>
      <c r="B640" s="4" t="s">
        <v>929</v>
      </c>
      <c r="C640" s="4" t="str">
        <f>IFERROR(__xludf.DUMMYFUNCTION("GOOGLETRANSLATE(D:D,""auto"",""en"")"),"Iranian commander airliner mistakenly hit an apology")</f>
        <v>Iranian commander airliner mistakenly hit an apology</v>
      </c>
      <c r="D640" s="4" t="s">
        <v>992</v>
      </c>
      <c r="E640" s="4">
        <v>8066505.0</v>
      </c>
      <c r="F640" s="4">
        <v>39.0</v>
      </c>
      <c r="G640" s="4" t="s">
        <v>993</v>
      </c>
    </row>
    <row r="641">
      <c r="A641" s="1">
        <v>639.0</v>
      </c>
      <c r="B641" s="4" t="s">
        <v>929</v>
      </c>
      <c r="C641" s="4" t="str">
        <f>IFERROR(__xludf.DUMMYFUNCTION("GOOGLETRANSLATE(D:D,""auto"",""en"")"),"ICU girl suffering from a rare disease to live 11 years")</f>
        <v>ICU girl suffering from a rare disease to live 11 years</v>
      </c>
      <c r="D641" s="4" t="s">
        <v>994</v>
      </c>
      <c r="E641" s="4">
        <v>8027893.0</v>
      </c>
      <c r="F641" s="4">
        <v>40.0</v>
      </c>
      <c r="G641" s="4" t="s">
        <v>995</v>
      </c>
    </row>
    <row r="642">
      <c r="A642" s="1">
        <v>640.0</v>
      </c>
      <c r="B642" s="4" t="s">
        <v>929</v>
      </c>
      <c r="C642" s="4" t="str">
        <f>IFERROR(__xludf.DUMMYFUNCTION("GOOGLETRANSLATE(D:D,""auto"",""en"")"),"Injured koala wearing diapers sun rehabilitation")</f>
        <v>Injured koala wearing diapers sun rehabilitation</v>
      </c>
      <c r="D642" s="4" t="s">
        <v>996</v>
      </c>
      <c r="E642" s="4">
        <v>7941848.0</v>
      </c>
      <c r="F642" s="4">
        <v>41.0</v>
      </c>
      <c r="G642" s="4" t="s">
        <v>997</v>
      </c>
    </row>
    <row r="643">
      <c r="A643" s="1">
        <v>641.0</v>
      </c>
      <c r="B643" s="4" t="s">
        <v>929</v>
      </c>
      <c r="C643" s="4" t="str">
        <f>IFERROR(__xludf.DUMMYFUNCTION("GOOGLETRANSLATE(D:D,""auto"",""en"")"),"Lori got up and fell to the ground to kiss his son")</f>
        <v>Lori got up and fell to the ground to kiss his son</v>
      </c>
      <c r="D643" s="4" t="s">
        <v>998</v>
      </c>
      <c r="E643" s="4">
        <v>7905960.0</v>
      </c>
      <c r="F643" s="4">
        <v>42.0</v>
      </c>
      <c r="G643" s="4" t="s">
        <v>999</v>
      </c>
    </row>
    <row r="644">
      <c r="A644" s="1">
        <v>642.0</v>
      </c>
      <c r="B644" s="4" t="s">
        <v>929</v>
      </c>
      <c r="C644" s="4" t="str">
        <f>IFERROR(__xludf.DUMMYFUNCTION("GOOGLETRANSLATE(D:D,""auto"",""en"")"),"Love apartment homophonic Terrier")</f>
        <v>Love apartment homophonic Terrier</v>
      </c>
      <c r="D644" s="4" t="s">
        <v>1000</v>
      </c>
      <c r="E644" s="4">
        <v>7877448.0</v>
      </c>
      <c r="F644" s="4">
        <v>43.0</v>
      </c>
      <c r="G644" s="4" t="s">
        <v>1001</v>
      </c>
    </row>
    <row r="645">
      <c r="A645" s="1">
        <v>643.0</v>
      </c>
      <c r="B645" s="4" t="s">
        <v>929</v>
      </c>
      <c r="C645" s="4" t="str">
        <f>IFERROR(__xludf.DUMMYFUNCTION("GOOGLETRANSLATE(D:D,""auto"",""en"")"),"State-owned enterprises a night drinking Maotai 160 000")</f>
        <v>State-owned enterprises a night drinking Maotai 160 000</v>
      </c>
      <c r="D645" s="4" t="s">
        <v>1002</v>
      </c>
      <c r="E645" s="4">
        <v>7835497.0</v>
      </c>
      <c r="F645" s="4">
        <v>44.0</v>
      </c>
      <c r="G645" s="4" t="s">
        <v>1003</v>
      </c>
    </row>
    <row r="646">
      <c r="A646" s="1">
        <v>644.0</v>
      </c>
      <c r="B646" s="4" t="s">
        <v>929</v>
      </c>
      <c r="C646" s="4" t="str">
        <f>IFERROR(__xludf.DUMMYFUNCTION("GOOGLETRANSLATE(D:D,""auto"",""en"")"),"Van turns flying gas tank")</f>
        <v>Van turns flying gas tank</v>
      </c>
      <c r="D646" s="4" t="s">
        <v>1004</v>
      </c>
      <c r="E646" s="4">
        <v>7832694.0</v>
      </c>
      <c r="F646" s="4">
        <v>45.0</v>
      </c>
      <c r="G646" s="4" t="s">
        <v>1005</v>
      </c>
    </row>
    <row r="647">
      <c r="A647" s="1">
        <v>645.0</v>
      </c>
      <c r="B647" s="4" t="s">
        <v>929</v>
      </c>
      <c r="C647" s="4" t="str">
        <f>IFERROR(__xludf.DUMMYFUNCTION("GOOGLETRANSLATE(D:D,""auto"",""en"")"),"Hammer to fall in love")</f>
        <v>Hammer to fall in love</v>
      </c>
      <c r="D647" s="4" t="s">
        <v>1006</v>
      </c>
      <c r="E647" s="4">
        <v>7830504.0</v>
      </c>
      <c r="F647" s="4">
        <v>46.0</v>
      </c>
      <c r="G647" s="4" t="s">
        <v>1007</v>
      </c>
    </row>
    <row r="648">
      <c r="A648" s="1">
        <v>646.0</v>
      </c>
      <c r="B648" s="4" t="s">
        <v>929</v>
      </c>
      <c r="C648" s="4" t="str">
        <f>IFERROR(__xludf.DUMMYFUNCTION("GOOGLETRANSLATE(D:D,""auto"",""en"")"),"Grandson pull carts stroll grandfather")</f>
        <v>Grandson pull carts stroll grandfather</v>
      </c>
      <c r="D648" s="4" t="s">
        <v>1008</v>
      </c>
      <c r="E648" s="4">
        <v>7763836.0</v>
      </c>
      <c r="F648" s="4">
        <v>47.0</v>
      </c>
      <c r="G648" s="4" t="s">
        <v>1009</v>
      </c>
    </row>
    <row r="649">
      <c r="A649" s="1">
        <v>647.0</v>
      </c>
      <c r="B649" s="4" t="s">
        <v>929</v>
      </c>
      <c r="C649" s="4" t="str">
        <f>IFERROR(__xludf.DUMMYFUNCTION("GOOGLETRANSLATE(D:D,""auto"",""en"")"),"Automatic coax his girlfriend keyboard")</f>
        <v>Automatic coax his girlfriend keyboard</v>
      </c>
      <c r="D649" s="4" t="s">
        <v>1010</v>
      </c>
      <c r="E649" s="4">
        <v>7719388.0</v>
      </c>
      <c r="F649" s="4">
        <v>48.0</v>
      </c>
      <c r="G649" s="4" t="s">
        <v>1011</v>
      </c>
    </row>
    <row r="650">
      <c r="A650" s="1">
        <v>648.0</v>
      </c>
      <c r="B650" s="4" t="s">
        <v>929</v>
      </c>
      <c r="C650" s="4" t="str">
        <f>IFERROR(__xludf.DUMMYFUNCTION("GOOGLETRANSLATE(D:D,""auto"",""en"")"),"MV public during his lifetime with Hera")</f>
        <v>MV public during his lifetime with Hera</v>
      </c>
      <c r="D650" s="4" t="s">
        <v>1012</v>
      </c>
      <c r="E650" s="4">
        <v>7685038.0</v>
      </c>
      <c r="F650" s="4">
        <v>49.0</v>
      </c>
      <c r="G650" s="4" t="s">
        <v>1013</v>
      </c>
    </row>
    <row r="651">
      <c r="A651" s="1">
        <v>649.0</v>
      </c>
      <c r="B651" s="4" t="s">
        <v>929</v>
      </c>
      <c r="C651" s="4" t="str">
        <f>IFERROR(__xludf.DUMMYFUNCTION("GOOGLETRANSLATE(D:D,""auto"",""en"")"),"Tsinghua students' frustration")</f>
        <v>Tsinghua students' frustration</v>
      </c>
      <c r="D651" s="4" t="s">
        <v>1014</v>
      </c>
      <c r="E651" s="4">
        <v>7664491.0</v>
      </c>
      <c r="F651" s="4">
        <v>50.0</v>
      </c>
      <c r="G651" s="4" t="s">
        <v>1015</v>
      </c>
    </row>
    <row r="652">
      <c r="A652" s="1">
        <v>650.0</v>
      </c>
      <c r="B652" s="4" t="s">
        <v>1016</v>
      </c>
      <c r="C652" s="4" t="str">
        <f>IFERROR(__xludf.DUMMYFUNCTION("GOOGLETRANSLATE(D:D,""auto"",""en"")"),"Cai Xu Kun weight")</f>
        <v>Cai Xu Kun weight</v>
      </c>
      <c r="D652" s="4" t="s">
        <v>1017</v>
      </c>
      <c r="E652" s="4">
        <v>1.256091E7</v>
      </c>
      <c r="F652" s="4">
        <v>1.0</v>
      </c>
      <c r="G652" s="4" t="s">
        <v>1018</v>
      </c>
    </row>
    <row r="653">
      <c r="A653" s="1">
        <v>651.0</v>
      </c>
      <c r="B653" s="4" t="s">
        <v>1016</v>
      </c>
      <c r="C653" s="4" t="str">
        <f>IFERROR(__xludf.DUMMYFUNCTION("GOOGLETRANSLATE(D:D,""auto"",""en"")"),"ZICO your summer dance")</f>
        <v>ZICO your summer dance</v>
      </c>
      <c r="D653" s="4" t="s">
        <v>966</v>
      </c>
      <c r="E653" s="4">
        <v>1.2225848E7</v>
      </c>
      <c r="F653" s="4">
        <v>2.0</v>
      </c>
      <c r="G653" s="4" t="s">
        <v>967</v>
      </c>
    </row>
    <row r="654">
      <c r="A654" s="1">
        <v>652.0</v>
      </c>
      <c r="B654" s="4" t="s">
        <v>1016</v>
      </c>
      <c r="C654" s="4" t="str">
        <f>IFERROR(__xludf.DUMMYFUNCTION("GOOGLETRANSLATE(D:D,""auto"",""en"")"),"Guizhou Maotai corrupt officials to pour down sewer endless")</f>
        <v>Guizhou Maotai corrupt officials to pour down sewer endless</v>
      </c>
      <c r="D654" s="4" t="s">
        <v>940</v>
      </c>
      <c r="E654" s="4">
        <v>1.198292E7</v>
      </c>
      <c r="F654" s="4">
        <v>3.0</v>
      </c>
      <c r="G654" s="4" t="s">
        <v>941</v>
      </c>
    </row>
    <row r="655">
      <c r="A655" s="1">
        <v>653.0</v>
      </c>
      <c r="B655" s="4" t="s">
        <v>1016</v>
      </c>
      <c r="C655" s="4" t="str">
        <f>IFERROR(__xludf.DUMMYFUNCTION("GOOGLETRANSLATE(D:D,""auto"",""en"")"),"Age Calculator")</f>
        <v>Age Calculator</v>
      </c>
      <c r="D655" s="4" t="s">
        <v>938</v>
      </c>
      <c r="E655" s="4">
        <v>1.1708353E7</v>
      </c>
      <c r="F655" s="4">
        <v>4.0</v>
      </c>
      <c r="G655" s="4" t="s">
        <v>939</v>
      </c>
    </row>
    <row r="656">
      <c r="A656" s="1">
        <v>654.0</v>
      </c>
      <c r="B656" s="4" t="s">
        <v>1016</v>
      </c>
      <c r="C656" s="4" t="str">
        <f>IFERROR(__xludf.DUMMYFUNCTION("GOOGLETRANSLATE(D:D,""auto"",""en"")"),"CCTV Spring Festival Evening dress rehearsal")</f>
        <v>CCTV Spring Festival Evening dress rehearsal</v>
      </c>
      <c r="D656" s="4" t="s">
        <v>1019</v>
      </c>
      <c r="E656" s="4">
        <v>1.143453E7</v>
      </c>
      <c r="F656" s="4">
        <v>5.0</v>
      </c>
      <c r="G656" s="4" t="s">
        <v>1020</v>
      </c>
    </row>
    <row r="657">
      <c r="A657" s="1">
        <v>655.0</v>
      </c>
      <c r="B657" s="4" t="s">
        <v>1016</v>
      </c>
      <c r="C657" s="4" t="str">
        <f>IFERROR(__xludf.DUMMYFUNCTION("GOOGLETRANSLATE(D:D,""auto"",""en"")"),"Xining road subsidence has caused six people were killed")</f>
        <v>Xining road subsidence has caused six people were killed</v>
      </c>
      <c r="D657" s="4" t="s">
        <v>1021</v>
      </c>
      <c r="E657" s="4">
        <v>1.1128853E7</v>
      </c>
      <c r="F657" s="4">
        <v>6.0</v>
      </c>
      <c r="G657" s="4" t="s">
        <v>1022</v>
      </c>
    </row>
    <row r="658">
      <c r="A658" s="1">
        <v>656.0</v>
      </c>
      <c r="B658" s="4" t="s">
        <v>1016</v>
      </c>
      <c r="C658" s="4" t="str">
        <f>IFERROR(__xludf.DUMMYFUNCTION("GOOGLETRANSLATE(D:D,""auto"",""en"")"),"Koala or will be listed as an endangered species")</f>
        <v>Koala or will be listed as an endangered species</v>
      </c>
      <c r="D658" s="4" t="s">
        <v>1023</v>
      </c>
      <c r="E658" s="4">
        <v>1.0876551E7</v>
      </c>
      <c r="F658" s="4">
        <v>7.0</v>
      </c>
      <c r="G658" s="4" t="s">
        <v>1024</v>
      </c>
    </row>
    <row r="659">
      <c r="A659" s="1">
        <v>657.0</v>
      </c>
      <c r="B659" s="4" t="s">
        <v>1016</v>
      </c>
      <c r="C659" s="4" t="str">
        <f>IFERROR(__xludf.DUMMYFUNCTION("GOOGLETRANSLATE(D:D,""auto"",""en"")"),"Liu Yuning alone Tango")</f>
        <v>Liu Yuning alone Tango</v>
      </c>
      <c r="D659" s="4" t="s">
        <v>1025</v>
      </c>
      <c r="E659" s="4">
        <v>1.0559886E7</v>
      </c>
      <c r="F659" s="4">
        <v>8.0</v>
      </c>
      <c r="G659" s="4" t="s">
        <v>1026</v>
      </c>
    </row>
    <row r="660">
      <c r="A660" s="1">
        <v>658.0</v>
      </c>
      <c r="B660" s="4" t="s">
        <v>1016</v>
      </c>
      <c r="C660" s="4" t="str">
        <f>IFERROR(__xludf.DUMMYFUNCTION("GOOGLETRANSLATE(D:D,""auto"",""en"")"),"Deng purple chess with her boyfriend in tune vibrato")</f>
        <v>Deng purple chess with her boyfriend in tune vibrato</v>
      </c>
      <c r="D660" s="4" t="s">
        <v>934</v>
      </c>
      <c r="E660" s="4">
        <v>1.0328985E7</v>
      </c>
      <c r="F660" s="4">
        <v>9.0</v>
      </c>
      <c r="G660" s="4" t="s">
        <v>935</v>
      </c>
    </row>
    <row r="661">
      <c r="A661" s="1">
        <v>659.0</v>
      </c>
      <c r="B661" s="4" t="s">
        <v>1016</v>
      </c>
      <c r="C661" s="4" t="str">
        <f>IFERROR(__xludf.DUMMYFUNCTION("GOOGLETRANSLATE(D:D,""auto"",""en"")"),"United States cancel it determines China's currency manipulation")</f>
        <v>United States cancel it determines China's currency manipulation</v>
      </c>
      <c r="D661" s="4" t="s">
        <v>1027</v>
      </c>
      <c r="E661" s="4">
        <v>1.0314544E7</v>
      </c>
      <c r="F661" s="4">
        <v>10.0</v>
      </c>
      <c r="G661" s="4" t="s">
        <v>1028</v>
      </c>
    </row>
    <row r="662">
      <c r="A662" s="1">
        <v>660.0</v>
      </c>
      <c r="B662" s="4" t="s">
        <v>1016</v>
      </c>
      <c r="C662" s="4" t="str">
        <f>IFERROR(__xludf.DUMMYFUNCTION("GOOGLETRANSLATE(D:D,""auto"",""en"")"),"New Year koi wink")</f>
        <v>New Year koi wink</v>
      </c>
      <c r="D662" s="4" t="s">
        <v>950</v>
      </c>
      <c r="E662" s="4">
        <v>1.0201069E7</v>
      </c>
      <c r="F662" s="4">
        <v>11.0</v>
      </c>
      <c r="G662" s="4" t="s">
        <v>951</v>
      </c>
    </row>
    <row r="663">
      <c r="A663" s="1">
        <v>661.0</v>
      </c>
      <c r="B663" s="4" t="s">
        <v>1016</v>
      </c>
      <c r="C663" s="4" t="str">
        <f>IFERROR(__xludf.DUMMYFUNCTION("GOOGLETRANSLATE(D:D,""auto"",""en"")"),"Groom wedding scene airborne meritorious good news story")</f>
        <v>Groom wedding scene airborne meritorious good news story</v>
      </c>
      <c r="D663" s="4" t="s">
        <v>942</v>
      </c>
      <c r="E663" s="4">
        <v>1.0195704E7</v>
      </c>
      <c r="F663" s="4">
        <v>12.0</v>
      </c>
      <c r="G663" s="4" t="s">
        <v>943</v>
      </c>
    </row>
    <row r="664">
      <c r="A664" s="1">
        <v>662.0</v>
      </c>
      <c r="B664" s="4" t="s">
        <v>1016</v>
      </c>
      <c r="C664" s="4" t="str">
        <f>IFERROR(__xludf.DUMMYFUNCTION("GOOGLETRANSLATE(D:D,""auto"",""en"")"),"Yi Xi smelt one thousand promote two-sided printing")</f>
        <v>Yi Xi smelt one thousand promote two-sided printing</v>
      </c>
      <c r="D664" s="4" t="s">
        <v>1029</v>
      </c>
      <c r="E664" s="4">
        <v>1.0192603E7</v>
      </c>
      <c r="F664" s="4">
        <v>13.0</v>
      </c>
      <c r="G664" s="4" t="s">
        <v>1030</v>
      </c>
    </row>
    <row r="665">
      <c r="A665" s="1">
        <v>663.0</v>
      </c>
      <c r="B665" s="4" t="s">
        <v>1016</v>
      </c>
      <c r="C665" s="4" t="str">
        <f>IFERROR(__xludf.DUMMYFUNCTION("GOOGLETRANSLATE(D:D,""auto"",""en"")"),"Sentences with President and Mrs.")</f>
        <v>Sentences with President and Mrs.</v>
      </c>
      <c r="D665" s="4" t="s">
        <v>1031</v>
      </c>
      <c r="E665" s="4">
        <v>1.0181555E7</v>
      </c>
      <c r="F665" s="4">
        <v>14.0</v>
      </c>
      <c r="G665" s="4" t="s">
        <v>1032</v>
      </c>
    </row>
    <row r="666">
      <c r="A666" s="1">
        <v>664.0</v>
      </c>
      <c r="B666" s="4" t="s">
        <v>1016</v>
      </c>
      <c r="C666" s="4" t="str">
        <f>IFERROR(__xludf.DUMMYFUNCTION("GOOGLETRANSLATE(D:D,""auto"",""en"")"),"Wendy Zhang Arts test")</f>
        <v>Wendy Zhang Arts test</v>
      </c>
      <c r="D666" s="4" t="s">
        <v>1033</v>
      </c>
      <c r="E666" s="4">
        <v>1.0087595E7</v>
      </c>
      <c r="F666" s="4">
        <v>15.0</v>
      </c>
      <c r="G666" s="4" t="s">
        <v>1034</v>
      </c>
    </row>
    <row r="667">
      <c r="A667" s="1">
        <v>665.0</v>
      </c>
      <c r="B667" s="4" t="s">
        <v>1016</v>
      </c>
      <c r="C667" s="4" t="str">
        <f>IFERROR(__xludf.DUMMYFUNCTION("GOOGLETRANSLATE(D:D,""auto"",""en"")"),"Song Qian fans point to the abalone rice")</f>
        <v>Song Qian fans point to the abalone rice</v>
      </c>
      <c r="D667" s="4" t="s">
        <v>1035</v>
      </c>
      <c r="E667" s="4">
        <v>1.0037849E7</v>
      </c>
      <c r="F667" s="4">
        <v>16.0</v>
      </c>
      <c r="G667" s="4" t="s">
        <v>1036</v>
      </c>
    </row>
    <row r="668">
      <c r="A668" s="1">
        <v>666.0</v>
      </c>
      <c r="B668" s="4" t="s">
        <v>1016</v>
      </c>
      <c r="C668" s="4" t="str">
        <f>IFERROR(__xludf.DUMMYFUNCTION("GOOGLETRANSLATE(D:D,""auto"",""en"")"),"Chinese Foreign uncle uncle Liuniao VS Liuniao")</f>
        <v>Chinese Foreign uncle uncle Liuniao VS Liuniao</v>
      </c>
      <c r="D668" s="4" t="s">
        <v>1037</v>
      </c>
      <c r="E668" s="4">
        <v>1.0025206E7</v>
      </c>
      <c r="F668" s="4">
        <v>17.0</v>
      </c>
      <c r="G668" s="4" t="s">
        <v>1038</v>
      </c>
    </row>
    <row r="669">
      <c r="A669" s="1">
        <v>667.0</v>
      </c>
      <c r="B669" s="4" t="s">
        <v>1016</v>
      </c>
      <c r="C669" s="4" t="str">
        <f>IFERROR(__xludf.DUMMYFUNCTION("GOOGLETRANSLATE(D:D,""auto"",""en"")"),"Look how I go home New Year")</f>
        <v>Look how I go home New Year</v>
      </c>
      <c r="D669" s="4" t="s">
        <v>952</v>
      </c>
      <c r="E669" s="4">
        <v>9975963.0</v>
      </c>
      <c r="F669" s="4">
        <v>18.0</v>
      </c>
      <c r="G669" s="4" t="s">
        <v>953</v>
      </c>
    </row>
    <row r="670">
      <c r="A670" s="1">
        <v>668.0</v>
      </c>
      <c r="B670" s="4" t="s">
        <v>1016</v>
      </c>
      <c r="C670" s="4" t="str">
        <f>IFERROR(__xludf.DUMMYFUNCTION("GOOGLETRANSLATE(D:D,""auto"",""en"")"),"Iran severely revenge bill take effect")</f>
        <v>Iran severely revenge bill take effect</v>
      </c>
      <c r="D670" s="4" t="s">
        <v>1039</v>
      </c>
      <c r="E670" s="4">
        <v>9864331.0</v>
      </c>
      <c r="F670" s="4">
        <v>19.0</v>
      </c>
      <c r="G670" s="4" t="s">
        <v>1040</v>
      </c>
    </row>
    <row r="671">
      <c r="A671" s="1">
        <v>669.0</v>
      </c>
      <c r="B671" s="4" t="s">
        <v>1016</v>
      </c>
      <c r="C671" s="4" t="str">
        <f>IFERROR(__xludf.DUMMYFUNCTION("GOOGLETRANSLATE(D:D,""auto"",""en"")"),"Luo and Deng purple chess tune")</f>
        <v>Luo and Deng purple chess tune</v>
      </c>
      <c r="D671" s="4" t="s">
        <v>1041</v>
      </c>
      <c r="E671" s="4">
        <v>9706397.0</v>
      </c>
      <c r="F671" s="4">
        <v>20.0</v>
      </c>
      <c r="G671" s="4" t="s">
        <v>1042</v>
      </c>
    </row>
    <row r="672">
      <c r="A672" s="1">
        <v>670.0</v>
      </c>
      <c r="B672" s="4" t="s">
        <v>1016</v>
      </c>
      <c r="C672" s="4" t="str">
        <f>IFERROR(__xludf.DUMMYFUNCTION("GOOGLETRANSLATE(D:D,""auto"",""en"")"),"Koala to homes of local residents with drinking water and pet dog")</f>
        <v>Koala to homes of local residents with drinking water and pet dog</v>
      </c>
      <c r="D672" s="4" t="s">
        <v>1043</v>
      </c>
      <c r="E672" s="4">
        <v>9660817.0</v>
      </c>
      <c r="F672" s="4">
        <v>21.0</v>
      </c>
      <c r="G672" s="4" t="s">
        <v>1044</v>
      </c>
    </row>
    <row r="673">
      <c r="A673" s="1">
        <v>671.0</v>
      </c>
      <c r="B673" s="4" t="s">
        <v>1016</v>
      </c>
      <c r="C673" s="4" t="str">
        <f>IFERROR(__xludf.DUMMYFUNCTION("GOOGLETRANSLATE(D:D,""auto"",""en"")"),"Shen Teng cos blue Forgetting")</f>
        <v>Shen Teng cos blue Forgetting</v>
      </c>
      <c r="D673" s="4" t="s">
        <v>1045</v>
      </c>
      <c r="E673" s="4">
        <v>9431755.0</v>
      </c>
      <c r="F673" s="4">
        <v>22.0</v>
      </c>
      <c r="G673" s="4" t="s">
        <v>1046</v>
      </c>
    </row>
    <row r="674">
      <c r="A674" s="1">
        <v>672.0</v>
      </c>
      <c r="B674" s="4" t="s">
        <v>1016</v>
      </c>
      <c r="C674" s="4" t="str">
        <f>IFERROR(__xludf.DUMMYFUNCTION("GOOGLETRANSLATE(D:D,""auto"",""en"")"),"Scarlett dual Oscar nominations")</f>
        <v>Scarlett dual Oscar nominations</v>
      </c>
      <c r="D674" s="4" t="s">
        <v>1047</v>
      </c>
      <c r="E674" s="4">
        <v>9410913.0</v>
      </c>
      <c r="F674" s="4">
        <v>23.0</v>
      </c>
      <c r="G674" s="4" t="s">
        <v>1048</v>
      </c>
    </row>
    <row r="675">
      <c r="A675" s="1">
        <v>673.0</v>
      </c>
      <c r="B675" s="4" t="s">
        <v>1016</v>
      </c>
      <c r="C675" s="4" t="str">
        <f>IFERROR(__xludf.DUMMYFUNCTION("GOOGLETRANSLATE(D:D,""auto"",""en"")"),"A cloud Ga can not fly together with the peace of")</f>
        <v>A cloud Ga can not fly together with the peace of</v>
      </c>
      <c r="D675" s="4" t="s">
        <v>1049</v>
      </c>
      <c r="E675" s="4">
        <v>9337368.0</v>
      </c>
      <c r="F675" s="4">
        <v>24.0</v>
      </c>
      <c r="G675" s="4" t="s">
        <v>1050</v>
      </c>
    </row>
    <row r="676">
      <c r="A676" s="1">
        <v>674.0</v>
      </c>
      <c r="B676" s="4" t="s">
        <v>1016</v>
      </c>
      <c r="C676" s="4" t="str">
        <f>IFERROR(__xludf.DUMMYFUNCTION("GOOGLETRANSLATE(D:D,""auto"",""en"")"),"Small pieces Episode died")</f>
        <v>Small pieces Episode died</v>
      </c>
      <c r="D676" s="4" t="s">
        <v>1051</v>
      </c>
      <c r="E676" s="4">
        <v>9231573.0</v>
      </c>
      <c r="F676" s="4">
        <v>25.0</v>
      </c>
      <c r="G676" s="4" t="s">
        <v>1052</v>
      </c>
    </row>
    <row r="677">
      <c r="A677" s="1">
        <v>675.0</v>
      </c>
      <c r="B677" s="4" t="s">
        <v>1016</v>
      </c>
      <c r="C677" s="4" t="str">
        <f>IFERROR(__xludf.DUMMYFUNCTION("GOOGLETRANSLATE(D:D,""auto"",""en"")"),"Queen Harry couple decided to show respect")</f>
        <v>Queen Harry couple decided to show respect</v>
      </c>
      <c r="D677" s="4" t="s">
        <v>1053</v>
      </c>
      <c r="E677" s="4">
        <v>9189236.0</v>
      </c>
      <c r="F677" s="4">
        <v>26.0</v>
      </c>
      <c r="G677" s="4" t="s">
        <v>1054</v>
      </c>
    </row>
    <row r="678">
      <c r="A678" s="1">
        <v>676.0</v>
      </c>
      <c r="B678" s="4" t="s">
        <v>1016</v>
      </c>
      <c r="C678" s="4" t="str">
        <f>IFERROR(__xludf.DUMMYFUNCTION("GOOGLETRANSLATE(D:D,""auto"",""en"")"),"Du Jiang Huo Siyan respond son was taken nickname")</f>
        <v>Du Jiang Huo Siyan respond son was taken nickname</v>
      </c>
      <c r="D678" s="4" t="s">
        <v>1055</v>
      </c>
      <c r="E678" s="4">
        <v>9186620.0</v>
      </c>
      <c r="F678" s="4">
        <v>27.0</v>
      </c>
      <c r="G678" s="4" t="s">
        <v>1056</v>
      </c>
    </row>
    <row r="679">
      <c r="A679" s="1">
        <v>677.0</v>
      </c>
      <c r="B679" s="4" t="s">
        <v>1016</v>
      </c>
      <c r="C679" s="4" t="str">
        <f>IFERROR(__xludf.DUMMYFUNCTION("GOOGLETRANSLATE(D:D,""auto"",""en"")"),"Zhu Dan Jiangrenleishui response slip of the tongue")</f>
        <v>Zhu Dan Jiangrenleishui response slip of the tongue</v>
      </c>
      <c r="D679" s="4" t="s">
        <v>930</v>
      </c>
      <c r="E679" s="4">
        <v>9138712.0</v>
      </c>
      <c r="F679" s="4">
        <v>28.0</v>
      </c>
      <c r="G679" s="4" t="s">
        <v>931</v>
      </c>
    </row>
    <row r="680">
      <c r="A680" s="1">
        <v>678.0</v>
      </c>
      <c r="B680" s="4" t="s">
        <v>1016</v>
      </c>
      <c r="C680" s="4" t="str">
        <f>IFERROR(__xludf.DUMMYFUNCTION("GOOGLETRANSLATE(D:D,""auto"",""en"")"),"New Year evening visited")</f>
        <v>New Year evening visited</v>
      </c>
      <c r="D680" s="4" t="s">
        <v>1057</v>
      </c>
      <c r="E680" s="4">
        <v>8984187.0</v>
      </c>
      <c r="F680" s="4">
        <v>29.0</v>
      </c>
      <c r="G680" s="4" t="s">
        <v>1058</v>
      </c>
    </row>
    <row r="681">
      <c r="A681" s="1">
        <v>679.0</v>
      </c>
      <c r="B681" s="4" t="s">
        <v>1016</v>
      </c>
      <c r="C681" s="4" t="str">
        <f>IFERROR(__xludf.DUMMYFUNCTION("GOOGLETRANSLATE(D:D,""auto"",""en"")"),"Huang Xiaoming Huang Bo train station was stood up")</f>
        <v>Huang Xiaoming Huang Bo train station was stood up</v>
      </c>
      <c r="D681" s="4" t="s">
        <v>1059</v>
      </c>
      <c r="E681" s="4">
        <v>8979353.0</v>
      </c>
      <c r="F681" s="4">
        <v>30.0</v>
      </c>
      <c r="G681" s="4" t="s">
        <v>1060</v>
      </c>
    </row>
    <row r="682">
      <c r="A682" s="1">
        <v>680.0</v>
      </c>
      <c r="B682" s="4" t="s">
        <v>1016</v>
      </c>
      <c r="C682" s="4" t="str">
        <f>IFERROR(__xludf.DUMMYFUNCTION("GOOGLETRANSLATE(D:D,""auto"",""en"")"),"Tsinghua female school bully firm to select a soldier")</f>
        <v>Tsinghua female school bully firm to select a soldier</v>
      </c>
      <c r="D682" s="4" t="s">
        <v>1061</v>
      </c>
      <c r="E682" s="4">
        <v>8957275.0</v>
      </c>
      <c r="F682" s="4">
        <v>31.0</v>
      </c>
      <c r="G682" s="4" t="s">
        <v>1062</v>
      </c>
    </row>
    <row r="683">
      <c r="A683" s="1">
        <v>681.0</v>
      </c>
      <c r="B683" s="4" t="s">
        <v>1016</v>
      </c>
      <c r="C683" s="4" t="str">
        <f>IFERROR(__xludf.DUMMYFUNCTION("GOOGLETRANSLATE(D:D,""auto"",""en"")"),"CCTV Spring Festival Evening row")</f>
        <v>CCTV Spring Festival Evening row</v>
      </c>
      <c r="D683" s="4" t="s">
        <v>1063</v>
      </c>
      <c r="E683" s="4">
        <v>8939405.0</v>
      </c>
      <c r="F683" s="4">
        <v>32.0</v>
      </c>
      <c r="G683" s="4" t="s">
        <v>1064</v>
      </c>
    </row>
    <row r="684">
      <c r="A684" s="1">
        <v>682.0</v>
      </c>
      <c r="B684" s="4" t="s">
        <v>1016</v>
      </c>
      <c r="C684" s="4" t="str">
        <f>IFERROR(__xludf.DUMMYFUNCTION("GOOGLETRANSLATE(D:D,""auto"",""en"")"),"Open the temptation to go home with the love apartment")</f>
        <v>Open the temptation to go home with the love apartment</v>
      </c>
      <c r="D684" s="4" t="s">
        <v>1065</v>
      </c>
      <c r="E684" s="4">
        <v>8937353.0</v>
      </c>
      <c r="F684" s="4">
        <v>33.0</v>
      </c>
      <c r="G684" s="4" t="s">
        <v>1066</v>
      </c>
    </row>
    <row r="685">
      <c r="A685" s="1">
        <v>683.0</v>
      </c>
      <c r="B685" s="4" t="s">
        <v>1016</v>
      </c>
      <c r="C685" s="4" t="str">
        <f>IFERROR(__xludf.DUMMYFUNCTION("GOOGLETRANSLATE(D:D,""auto"",""en"")"),"Pet cat owners repulsed three wolf protection")</f>
        <v>Pet cat owners repulsed three wolf protection</v>
      </c>
      <c r="D685" s="4" t="s">
        <v>1067</v>
      </c>
      <c r="E685" s="4">
        <v>8792521.0</v>
      </c>
      <c r="F685" s="4">
        <v>34.0</v>
      </c>
      <c r="G685" s="4" t="s">
        <v>1068</v>
      </c>
    </row>
    <row r="686">
      <c r="A686" s="1">
        <v>684.0</v>
      </c>
      <c r="B686" s="4" t="s">
        <v>1016</v>
      </c>
      <c r="C686" s="4" t="str">
        <f>IFERROR(__xludf.DUMMYFUNCTION("GOOGLETRANSLATE(D:D,""auto"",""en"")"),"Qinling zoo gorilla reading the newspaper")</f>
        <v>Qinling zoo gorilla reading the newspaper</v>
      </c>
      <c r="D686" s="4" t="s">
        <v>1069</v>
      </c>
      <c r="E686" s="4">
        <v>8774770.0</v>
      </c>
      <c r="F686" s="4">
        <v>35.0</v>
      </c>
      <c r="G686" s="4" t="s">
        <v>1070</v>
      </c>
    </row>
    <row r="687">
      <c r="A687" s="1">
        <v>685.0</v>
      </c>
      <c r="B687" s="4" t="s">
        <v>1016</v>
      </c>
      <c r="C687" s="4" t="str">
        <f>IFERROR(__xludf.DUMMYFUNCTION("GOOGLETRANSLATE(D:D,""auto"",""en"")"),"Hebe day suspension")</f>
        <v>Hebe day suspension</v>
      </c>
      <c r="D687" s="4" t="s">
        <v>1071</v>
      </c>
      <c r="E687" s="4">
        <v>8762475.0</v>
      </c>
      <c r="F687" s="4">
        <v>36.0</v>
      </c>
      <c r="G687" s="4" t="s">
        <v>1072</v>
      </c>
    </row>
    <row r="688">
      <c r="A688" s="1">
        <v>686.0</v>
      </c>
      <c r="B688" s="4" t="s">
        <v>1016</v>
      </c>
      <c r="C688" s="4" t="str">
        <f>IFERROR(__xludf.DUMMYFUNCTION("GOOGLETRANSLATE(D:D,""auto"",""en"")"),"Xiaozhan white knight style")</f>
        <v>Xiaozhan white knight style</v>
      </c>
      <c r="D688" s="4" t="s">
        <v>1073</v>
      </c>
      <c r="E688" s="4">
        <v>8699202.0</v>
      </c>
      <c r="F688" s="4">
        <v>37.0</v>
      </c>
      <c r="G688" s="4" t="s">
        <v>1074</v>
      </c>
    </row>
    <row r="689">
      <c r="A689" s="1">
        <v>687.0</v>
      </c>
      <c r="B689" s="4" t="s">
        <v>1016</v>
      </c>
      <c r="C689" s="4" t="str">
        <f>IFERROR(__xludf.DUMMYFUNCTION("GOOGLETRANSLATE(D:D,""auto"",""en"")"),"Wang Yibo Zhang posted to the big eyelid paste")</f>
        <v>Wang Yibo Zhang posted to the big eyelid paste</v>
      </c>
      <c r="D689" s="4" t="s">
        <v>960</v>
      </c>
      <c r="E689" s="4">
        <v>8531384.0</v>
      </c>
      <c r="F689" s="4">
        <v>38.0</v>
      </c>
      <c r="G689" s="4" t="s">
        <v>961</v>
      </c>
    </row>
    <row r="690">
      <c r="A690" s="1">
        <v>688.0</v>
      </c>
      <c r="B690" s="4" t="s">
        <v>1016</v>
      </c>
      <c r="C690" s="4" t="str">
        <f>IFERROR(__xludf.DUMMYFUNCTION("GOOGLETRANSLATE(D:D,""auto"",""en"")"),"Iran's female Olympic runner-up fled Europe")</f>
        <v>Iran's female Olympic runner-up fled Europe</v>
      </c>
      <c r="D690" s="4" t="s">
        <v>1075</v>
      </c>
      <c r="E690" s="4">
        <v>8453893.0</v>
      </c>
      <c r="F690" s="4">
        <v>39.0</v>
      </c>
      <c r="G690" s="4" t="s">
        <v>1076</v>
      </c>
    </row>
    <row r="691">
      <c r="A691" s="1">
        <v>689.0</v>
      </c>
      <c r="B691" s="4" t="s">
        <v>1016</v>
      </c>
      <c r="C691" s="4" t="str">
        <f>IFERROR(__xludf.DUMMYFUNCTION("GOOGLETRANSLATE(D:D,""auto"",""en"")"),"Zhang Chao burning verdict pay homage to father")</f>
        <v>Zhang Chao burning verdict pay homage to father</v>
      </c>
      <c r="D691" s="4" t="s">
        <v>1077</v>
      </c>
      <c r="E691" s="4">
        <v>8382942.0</v>
      </c>
      <c r="F691" s="4">
        <v>40.0</v>
      </c>
      <c r="G691" s="4" t="s">
        <v>1078</v>
      </c>
    </row>
    <row r="692">
      <c r="A692" s="1">
        <v>690.0</v>
      </c>
      <c r="B692" s="4" t="s">
        <v>1016</v>
      </c>
      <c r="C692" s="4" t="str">
        <f>IFERROR(__xludf.DUMMYFUNCTION("GOOGLETRANSLATE(D:D,""auto"",""en"")"),"Beyond the snow barefoot Yang")</f>
        <v>Beyond the snow barefoot Yang</v>
      </c>
      <c r="D692" s="4" t="s">
        <v>1079</v>
      </c>
      <c r="E692" s="4">
        <v>8321313.0</v>
      </c>
      <c r="F692" s="4">
        <v>41.0</v>
      </c>
      <c r="G692" s="4" t="s">
        <v>1080</v>
      </c>
    </row>
    <row r="693">
      <c r="A693" s="1">
        <v>691.0</v>
      </c>
      <c r="B693" s="4" t="s">
        <v>1016</v>
      </c>
      <c r="C693" s="4" t="str">
        <f>IFERROR(__xludf.DUMMYFUNCTION("GOOGLETRANSLATE(D:D,""auto"",""en"")"),"Police responded circle of friends Tucao police detained")</f>
        <v>Police responded circle of friends Tucao police detained</v>
      </c>
      <c r="D693" s="4" t="s">
        <v>1081</v>
      </c>
      <c r="E693" s="4">
        <v>8163255.0</v>
      </c>
      <c r="F693" s="4">
        <v>42.0</v>
      </c>
      <c r="G693" s="4" t="s">
        <v>1082</v>
      </c>
    </row>
    <row r="694">
      <c r="A694" s="1">
        <v>692.0</v>
      </c>
      <c r="B694" s="4" t="s">
        <v>1016</v>
      </c>
      <c r="C694" s="4" t="str">
        <f>IFERROR(__xludf.DUMMYFUNCTION("GOOGLETRANSLATE(D:D,""auto"",""en"")"),"How can the world learn every day fun")</f>
        <v>How can the world learn every day fun</v>
      </c>
      <c r="D694" s="4" t="s">
        <v>1083</v>
      </c>
      <c r="E694" s="4">
        <v>8027393.0</v>
      </c>
      <c r="F694" s="4">
        <v>43.0</v>
      </c>
      <c r="G694" s="4" t="s">
        <v>1084</v>
      </c>
    </row>
    <row r="695">
      <c r="A695" s="1">
        <v>693.0</v>
      </c>
      <c r="B695" s="4" t="s">
        <v>1016</v>
      </c>
      <c r="C695" s="4" t="str">
        <f>IFERROR(__xludf.DUMMYFUNCTION("GOOGLETRANSLATE(D:D,""auto"",""en"")"),"The true state after winter break")</f>
        <v>The true state after winter break</v>
      </c>
      <c r="D695" s="4" t="s">
        <v>980</v>
      </c>
      <c r="E695" s="4">
        <v>8024870.0</v>
      </c>
      <c r="F695" s="4">
        <v>44.0</v>
      </c>
      <c r="G695" s="4" t="s">
        <v>981</v>
      </c>
    </row>
    <row r="696">
      <c r="A696" s="1">
        <v>694.0</v>
      </c>
      <c r="B696" s="4" t="s">
        <v>1016</v>
      </c>
      <c r="C696" s="4" t="str">
        <f>IFERROR(__xludf.DUMMYFUNCTION("GOOGLETRANSLATE(D:D,""auto"",""en"")"),"Xiaozhan silver-haired elf")</f>
        <v>Xiaozhan silver-haired elf</v>
      </c>
      <c r="D696" s="4" t="s">
        <v>970</v>
      </c>
      <c r="E696" s="4">
        <v>7902935.0</v>
      </c>
      <c r="F696" s="4">
        <v>45.0</v>
      </c>
      <c r="G696" s="4" t="s">
        <v>971</v>
      </c>
    </row>
    <row r="697">
      <c r="A697" s="1">
        <v>695.0</v>
      </c>
      <c r="B697" s="4" t="s">
        <v>1016</v>
      </c>
      <c r="C697" s="4" t="str">
        <f>IFERROR(__xludf.DUMMYFUNCTION("GOOGLETRANSLATE(D:D,""auto"",""en"")"),"The country and more open marriage registration February 2")</f>
        <v>The country and more open marriage registration February 2</v>
      </c>
      <c r="D697" s="4" t="s">
        <v>1085</v>
      </c>
      <c r="E697" s="4">
        <v>7862978.0</v>
      </c>
      <c r="F697" s="4">
        <v>46.0</v>
      </c>
      <c r="G697" s="4" t="s">
        <v>1086</v>
      </c>
    </row>
    <row r="698">
      <c r="A698" s="1">
        <v>696.0</v>
      </c>
      <c r="B698" s="4" t="s">
        <v>1016</v>
      </c>
      <c r="C698" s="4" t="str">
        <f>IFERROR(__xludf.DUMMYFUNCTION("GOOGLETRANSLATE(D:D,""auto"",""en"")"),"Xu Zheng too late to learn the piano")</f>
        <v>Xu Zheng too late to learn the piano</v>
      </c>
      <c r="D698" s="4" t="s">
        <v>1087</v>
      </c>
      <c r="E698" s="4">
        <v>7774415.0</v>
      </c>
      <c r="F698" s="4">
        <v>47.0</v>
      </c>
      <c r="G698" s="4" t="s">
        <v>1088</v>
      </c>
    </row>
    <row r="699">
      <c r="A699" s="1">
        <v>697.0</v>
      </c>
      <c r="B699" s="4" t="s">
        <v>1016</v>
      </c>
      <c r="C699" s="4" t="str">
        <f>IFERROR(__xludf.DUMMYFUNCTION("GOOGLETRANSLATE(D:D,""auto"",""en"")"),"Father of China's aircraft carrier Liu Huaqing")</f>
        <v>Father of China's aircraft carrier Liu Huaqing</v>
      </c>
      <c r="D699" s="4" t="s">
        <v>1089</v>
      </c>
      <c r="E699" s="4">
        <v>7765336.0</v>
      </c>
      <c r="F699" s="4">
        <v>48.0</v>
      </c>
      <c r="G699" s="4" t="s">
        <v>1090</v>
      </c>
    </row>
    <row r="700">
      <c r="A700" s="1">
        <v>698.0</v>
      </c>
      <c r="B700" s="4" t="s">
        <v>1016</v>
      </c>
      <c r="C700" s="4" t="str">
        <f>IFERROR(__xludf.DUMMYFUNCTION("GOOGLETRANSLATE(D:D,""auto"",""en"")"),"Hammer to fall in love")</f>
        <v>Hammer to fall in love</v>
      </c>
      <c r="D700" s="4" t="s">
        <v>1006</v>
      </c>
      <c r="E700" s="4">
        <v>7690035.0</v>
      </c>
      <c r="F700" s="4">
        <v>49.0</v>
      </c>
      <c r="G700" s="4" t="s">
        <v>1007</v>
      </c>
    </row>
    <row r="701">
      <c r="A701" s="1">
        <v>699.0</v>
      </c>
      <c r="B701" s="4" t="s">
        <v>1016</v>
      </c>
      <c r="C701" s="4" t="str">
        <f>IFERROR(__xludf.DUMMYFUNCTION("GOOGLETRANSLATE(D:D,""auto"",""en"")"),"Zhang Quick teaching dance")</f>
        <v>Zhang Quick teaching dance</v>
      </c>
      <c r="D701" s="4" t="s">
        <v>1091</v>
      </c>
      <c r="E701" s="4">
        <v>7674656.0</v>
      </c>
      <c r="F701" s="4">
        <v>50.0</v>
      </c>
      <c r="G701" s="4" t="s">
        <v>1092</v>
      </c>
    </row>
    <row r="702">
      <c r="A702" s="1">
        <v>700.0</v>
      </c>
      <c r="B702" s="4" t="s">
        <v>1093</v>
      </c>
      <c r="C702" s="4" t="str">
        <f>IFERROR(__xludf.DUMMYFUNCTION("GOOGLETRANSLATE(D:D,""auto"",""en"")"),"Shanghai to lift relations with the Czech Republic Prague Sister Cities")</f>
        <v>Shanghai to lift relations with the Czech Republic Prague Sister Cities</v>
      </c>
      <c r="D702" s="4" t="s">
        <v>1094</v>
      </c>
      <c r="E702" s="4">
        <v>1.1676487E7</v>
      </c>
      <c r="F702" s="4">
        <v>1.0</v>
      </c>
      <c r="G702" s="4" t="s">
        <v>1095</v>
      </c>
    </row>
    <row r="703">
      <c r="A703" s="1">
        <v>701.0</v>
      </c>
      <c r="B703" s="4" t="s">
        <v>1093</v>
      </c>
      <c r="C703" s="4" t="str">
        <f>IFERROR(__xludf.DUMMYFUNCTION("GOOGLETRANSLATE(D:D,""auto"",""en"")"),"Nongfushangquan subsequent water related deforestation")</f>
        <v>Nongfushangquan subsequent water related deforestation</v>
      </c>
      <c r="D703" s="4" t="s">
        <v>1096</v>
      </c>
      <c r="E703" s="4">
        <v>1.1437019E7</v>
      </c>
      <c r="F703" s="4">
        <v>2.0</v>
      </c>
      <c r="G703" s="4" t="s">
        <v>1097</v>
      </c>
    </row>
    <row r="704">
      <c r="A704" s="1">
        <v>702.0</v>
      </c>
      <c r="B704" s="4" t="s">
        <v>1093</v>
      </c>
      <c r="C704" s="4" t="str">
        <f>IFERROR(__xludf.DUMMYFUNCTION("GOOGLETRANSLATE(D:D,""auto"",""en"")"),"Chinese Foreign uncle uncle Liuniao VS Liuniao")</f>
        <v>Chinese Foreign uncle uncle Liuniao VS Liuniao</v>
      </c>
      <c r="D704" s="4" t="s">
        <v>1037</v>
      </c>
      <c r="E704" s="4">
        <v>1.1396237E7</v>
      </c>
      <c r="F704" s="4">
        <v>3.0</v>
      </c>
      <c r="G704" s="4" t="s">
        <v>1038</v>
      </c>
    </row>
    <row r="705">
      <c r="A705" s="1">
        <v>703.0</v>
      </c>
      <c r="B705" s="4" t="s">
        <v>1093</v>
      </c>
      <c r="C705" s="4" t="str">
        <f>IFERROR(__xludf.DUMMYFUNCTION("GOOGLETRANSLATE(D:D,""auto"",""en"")"),"Romance in the Rain starring reunion")</f>
        <v>Romance in the Rain starring reunion</v>
      </c>
      <c r="D705" s="4" t="s">
        <v>1098</v>
      </c>
      <c r="E705" s="4">
        <v>1.1208409E7</v>
      </c>
      <c r="F705" s="4">
        <v>4.0</v>
      </c>
      <c r="G705" s="4" t="s">
        <v>1099</v>
      </c>
    </row>
    <row r="706">
      <c r="A706" s="1">
        <v>704.0</v>
      </c>
      <c r="B706" s="4" t="s">
        <v>1093</v>
      </c>
      <c r="C706" s="4" t="str">
        <f>IFERROR(__xludf.DUMMYFUNCTION("GOOGLETRANSLATE(D:D,""auto"",""en"")"),"Angelababy makeup freckles")</f>
        <v>Angelababy makeup freckles</v>
      </c>
      <c r="D706" s="4" t="s">
        <v>1100</v>
      </c>
      <c r="E706" s="4">
        <v>1.11284E7</v>
      </c>
      <c r="F706" s="4">
        <v>5.0</v>
      </c>
      <c r="G706" s="4" t="s">
        <v>1101</v>
      </c>
    </row>
    <row r="707">
      <c r="A707" s="1">
        <v>705.0</v>
      </c>
      <c r="B707" s="4" t="s">
        <v>1093</v>
      </c>
      <c r="C707" s="4" t="str">
        <f>IFERROR(__xludf.DUMMYFUNCTION("GOOGLETRANSLATE(D:D,""auto"",""en"")"),"Hebe day suspension")</f>
        <v>Hebe day suspension</v>
      </c>
      <c r="D707" s="4" t="s">
        <v>1071</v>
      </c>
      <c r="E707" s="4">
        <v>1.0936228E7</v>
      </c>
      <c r="F707" s="4">
        <v>6.0</v>
      </c>
      <c r="G707" s="4" t="s">
        <v>1072</v>
      </c>
    </row>
    <row r="708">
      <c r="A708" s="1">
        <v>706.0</v>
      </c>
      <c r="B708" s="4" t="s">
        <v>1093</v>
      </c>
      <c r="C708" s="4" t="str">
        <f>IFERROR(__xludf.DUMMYFUNCTION("GOOGLETRANSLATE(D:D,""auto"",""en"")"),"New Marvel Heroes")</f>
        <v>New Marvel Heroes</v>
      </c>
      <c r="D708" s="4" t="s">
        <v>1102</v>
      </c>
      <c r="E708" s="4">
        <v>1.0830154E7</v>
      </c>
      <c r="F708" s="4">
        <v>7.0</v>
      </c>
      <c r="G708" s="4" t="s">
        <v>1103</v>
      </c>
    </row>
    <row r="709">
      <c r="A709" s="1">
        <v>707.0</v>
      </c>
      <c r="B709" s="4" t="s">
        <v>1093</v>
      </c>
      <c r="C709" s="4" t="str">
        <f>IFERROR(__xludf.DUMMYFUNCTION("GOOGLETRANSLATE(D:D,""auto"",""en"")"),"Qi Wei Lee Seung-Hyun exposes help scrubs")</f>
        <v>Qi Wei Lee Seung-Hyun exposes help scrubs</v>
      </c>
      <c r="D709" s="4" t="s">
        <v>1104</v>
      </c>
      <c r="E709" s="4">
        <v>1.062981E7</v>
      </c>
      <c r="F709" s="4">
        <v>8.0</v>
      </c>
      <c r="G709" s="4" t="s">
        <v>1105</v>
      </c>
    </row>
    <row r="710">
      <c r="A710" s="1">
        <v>708.0</v>
      </c>
      <c r="B710" s="4" t="s">
        <v>1093</v>
      </c>
      <c r="C710" s="4" t="str">
        <f>IFERROR(__xludf.DUMMYFUNCTION("GOOGLETRANSLATE(D:D,""auto"",""en"")"),"Xiaozhan need to learn complex")</f>
        <v>Xiaozhan need to learn complex</v>
      </c>
      <c r="D710" s="4" t="s">
        <v>1106</v>
      </c>
      <c r="E710" s="4">
        <v>1.0577666E7</v>
      </c>
      <c r="F710" s="4">
        <v>9.0</v>
      </c>
      <c r="G710" s="4" t="s">
        <v>1107</v>
      </c>
    </row>
    <row r="711">
      <c r="A711" s="1">
        <v>709.0</v>
      </c>
      <c r="B711" s="4" t="s">
        <v>1093</v>
      </c>
      <c r="C711" s="4" t="str">
        <f>IFERROR(__xludf.DUMMYFUNCTION("GOOGLETRANSLATE(D:D,""auto"",""en"")"),"Shen Teng cos blue Forgetting")</f>
        <v>Shen Teng cos blue Forgetting</v>
      </c>
      <c r="D711" s="4" t="s">
        <v>1045</v>
      </c>
      <c r="E711" s="4">
        <v>1.057552E7</v>
      </c>
      <c r="F711" s="4">
        <v>10.0</v>
      </c>
      <c r="G711" s="4" t="s">
        <v>1046</v>
      </c>
    </row>
    <row r="712">
      <c r="A712" s="1">
        <v>710.0</v>
      </c>
      <c r="B712" s="4" t="s">
        <v>1093</v>
      </c>
      <c r="C712" s="4" t="str">
        <f>IFERROR(__xludf.DUMMYFUNCTION("GOOGLETRANSLATE(D:D,""auto"",""en"")"),"Xining pavement collapse in yellow boy was rescued")</f>
        <v>Xining pavement collapse in yellow boy was rescued</v>
      </c>
      <c r="D712" s="4" t="s">
        <v>1108</v>
      </c>
      <c r="E712" s="4">
        <v>1.0567421E7</v>
      </c>
      <c r="F712" s="4">
        <v>11.0</v>
      </c>
      <c r="G712" s="4" t="s">
        <v>1109</v>
      </c>
    </row>
    <row r="713">
      <c r="A713" s="1">
        <v>711.0</v>
      </c>
      <c r="B713" s="4" t="s">
        <v>1093</v>
      </c>
      <c r="C713" s="4" t="str">
        <f>IFERROR(__xludf.DUMMYFUNCTION("GOOGLETRANSLATE(D:D,""auto"",""en"")"),"A cloud Ga can not fly together with the peace of")</f>
        <v>A cloud Ga can not fly together with the peace of</v>
      </c>
      <c r="D713" s="4" t="s">
        <v>1049</v>
      </c>
      <c r="E713" s="4">
        <v>1.0076732E7</v>
      </c>
      <c r="F713" s="4">
        <v>12.0</v>
      </c>
      <c r="G713" s="4" t="s">
        <v>1050</v>
      </c>
    </row>
    <row r="714">
      <c r="A714" s="1">
        <v>712.0</v>
      </c>
      <c r="B714" s="4" t="s">
        <v>1093</v>
      </c>
      <c r="C714" s="4" t="str">
        <f>IFERROR(__xludf.DUMMYFUNCTION("GOOGLETRANSLATE(D:D,""auto"",""en"")"),"Du Jiang Huo Siyan respond son was taken nickname")</f>
        <v>Du Jiang Huo Siyan respond son was taken nickname</v>
      </c>
      <c r="D714" s="4" t="s">
        <v>1055</v>
      </c>
      <c r="E714" s="4">
        <v>1.0022272E7</v>
      </c>
      <c r="F714" s="4">
        <v>13.0</v>
      </c>
      <c r="G714" s="4" t="s">
        <v>1056</v>
      </c>
    </row>
    <row r="715">
      <c r="A715" s="1">
        <v>713.0</v>
      </c>
      <c r="B715" s="4" t="s">
        <v>1093</v>
      </c>
      <c r="C715" s="4" t="str">
        <f>IFERROR(__xludf.DUMMYFUNCTION("GOOGLETRANSLATE(D:D,""auto"",""en"")"),"The stage is everywhere")</f>
        <v>The stage is everywhere</v>
      </c>
      <c r="D715" s="4" t="s">
        <v>188</v>
      </c>
      <c r="E715" s="4">
        <v>9967884.0</v>
      </c>
      <c r="F715" s="4">
        <v>14.0</v>
      </c>
      <c r="G715" s="4" t="s">
        <v>189</v>
      </c>
    </row>
    <row r="716">
      <c r="A716" s="1">
        <v>714.0</v>
      </c>
      <c r="B716" s="4" t="s">
        <v>1093</v>
      </c>
      <c r="C716" s="4" t="str">
        <f>IFERROR(__xludf.DUMMYFUNCTION("GOOGLETRANSLATE(D:D,""auto"",""en"")"),"You are so do the New Year")</f>
        <v>You are so do the New Year</v>
      </c>
      <c r="D716" s="4" t="s">
        <v>1110</v>
      </c>
      <c r="E716" s="4">
        <v>9916393.0</v>
      </c>
      <c r="F716" s="4">
        <v>15.0</v>
      </c>
      <c r="G716" s="4" t="s">
        <v>1111</v>
      </c>
    </row>
    <row r="717">
      <c r="A717" s="1">
        <v>715.0</v>
      </c>
      <c r="B717" s="4" t="s">
        <v>1093</v>
      </c>
      <c r="C717" s="4" t="str">
        <f>IFERROR(__xludf.DUMMYFUNCTION("GOOGLETRANSLATE(D:D,""auto"",""en"")"),"Poor townships to brush white walls actually spent 7.99 million")</f>
        <v>Poor townships to brush white walls actually spent 7.99 million</v>
      </c>
      <c r="D717" s="4" t="s">
        <v>1112</v>
      </c>
      <c r="E717" s="4">
        <v>9876500.0</v>
      </c>
      <c r="F717" s="4">
        <v>16.0</v>
      </c>
      <c r="G717" s="4" t="s">
        <v>1113</v>
      </c>
    </row>
    <row r="718">
      <c r="A718" s="1">
        <v>716.0</v>
      </c>
      <c r="B718" s="4" t="s">
        <v>1093</v>
      </c>
      <c r="C718" s="4" t="str">
        <f>IFERROR(__xludf.DUMMYFUNCTION("GOOGLETRANSLATE(D:D,""auto"",""en"")"),"2020 Oscar nominations")</f>
        <v>2020 Oscar nominations</v>
      </c>
      <c r="D718" s="4" t="s">
        <v>1114</v>
      </c>
      <c r="E718" s="4">
        <v>9788521.0</v>
      </c>
      <c r="F718" s="4">
        <v>17.0</v>
      </c>
      <c r="G718" s="4" t="s">
        <v>1115</v>
      </c>
    </row>
    <row r="719">
      <c r="A719" s="1">
        <v>717.0</v>
      </c>
      <c r="B719" s="4" t="s">
        <v>1093</v>
      </c>
      <c r="C719" s="4" t="str">
        <f>IFERROR(__xludf.DUMMYFUNCTION("GOOGLETRANSLATE(D:D,""auto"",""en"")"),"Corrupt officials seized 674 home shopping card")</f>
        <v>Corrupt officials seized 674 home shopping card</v>
      </c>
      <c r="D719" s="4" t="s">
        <v>1116</v>
      </c>
      <c r="E719" s="4">
        <v>9740105.0</v>
      </c>
      <c r="F719" s="4">
        <v>18.0</v>
      </c>
      <c r="G719" s="4" t="s">
        <v>1117</v>
      </c>
    </row>
    <row r="720">
      <c r="A720" s="1">
        <v>718.0</v>
      </c>
      <c r="B720" s="4" t="s">
        <v>1093</v>
      </c>
      <c r="C720" s="4" t="str">
        <f>IFERROR(__xludf.DUMMYFUNCTION("GOOGLETRANSLATE(D:D,""auto"",""en"")"),"Qizhen on-line")</f>
        <v>Qizhen on-line</v>
      </c>
      <c r="D720" s="4" t="s">
        <v>1118</v>
      </c>
      <c r="E720" s="4">
        <v>9535823.0</v>
      </c>
      <c r="F720" s="4">
        <v>19.0</v>
      </c>
      <c r="G720" s="4" t="s">
        <v>1119</v>
      </c>
    </row>
    <row r="721">
      <c r="A721" s="1">
        <v>719.0</v>
      </c>
      <c r="B721" s="4" t="s">
        <v>1093</v>
      </c>
      <c r="C721" s="4" t="str">
        <f>IFERROR(__xludf.DUMMYFUNCTION("GOOGLETRANSLATE(D:D,""auto"",""en"")"),"Xiaozhan white knight style")</f>
        <v>Xiaozhan white knight style</v>
      </c>
      <c r="D721" s="4" t="s">
        <v>1073</v>
      </c>
      <c r="E721" s="4">
        <v>9362809.0</v>
      </c>
      <c r="F721" s="4">
        <v>20.0</v>
      </c>
      <c r="G721" s="4" t="s">
        <v>1074</v>
      </c>
    </row>
    <row r="722">
      <c r="A722" s="1">
        <v>720.0</v>
      </c>
      <c r="B722" s="4" t="s">
        <v>1093</v>
      </c>
      <c r="C722" s="4" t="str">
        <f>IFERROR(__xludf.DUMMYFUNCTION("GOOGLETRANSLATE(D:D,""auto"",""en"")"),"Star New Year afraid of being asked what relatives")</f>
        <v>Star New Year afraid of being asked what relatives</v>
      </c>
      <c r="D722" s="4" t="s">
        <v>1120</v>
      </c>
      <c r="E722" s="4">
        <v>9360412.0</v>
      </c>
      <c r="F722" s="4">
        <v>21.0</v>
      </c>
      <c r="G722" s="4" t="s">
        <v>1121</v>
      </c>
    </row>
    <row r="723">
      <c r="A723" s="1">
        <v>721.0</v>
      </c>
      <c r="B723" s="4" t="s">
        <v>1093</v>
      </c>
      <c r="C723" s="4" t="str">
        <f>IFERROR(__xludf.DUMMYFUNCTION("GOOGLETRANSLATE(D:D,""auto"",""en"")"),"Huang Xiaoming Huang Bo train station was stood up")</f>
        <v>Huang Xiaoming Huang Bo train station was stood up</v>
      </c>
      <c r="D723" s="4" t="s">
        <v>1059</v>
      </c>
      <c r="E723" s="4">
        <v>9309583.0</v>
      </c>
      <c r="F723" s="4">
        <v>22.0</v>
      </c>
      <c r="G723" s="4" t="s">
        <v>1060</v>
      </c>
    </row>
    <row r="724">
      <c r="A724" s="1">
        <v>722.0</v>
      </c>
      <c r="B724" s="4" t="s">
        <v>1093</v>
      </c>
      <c r="C724" s="4" t="str">
        <f>IFERROR(__xludf.DUMMYFUNCTION("GOOGLETRANSLATE(D:D,""auto"",""en"")"),"Ma Fu word")</f>
        <v>Ma Fu word</v>
      </c>
      <c r="D724" s="4" t="s">
        <v>1122</v>
      </c>
      <c r="E724" s="4">
        <v>9303024.0</v>
      </c>
      <c r="F724" s="4">
        <v>23.0</v>
      </c>
      <c r="G724" s="4" t="s">
        <v>1123</v>
      </c>
    </row>
    <row r="725">
      <c r="A725" s="1">
        <v>723.0</v>
      </c>
      <c r="B725" s="4" t="s">
        <v>1093</v>
      </c>
      <c r="C725" s="4" t="str">
        <f>IFERROR(__xludf.DUMMYFUNCTION("GOOGLETRANSLATE(D:D,""auto"",""en"")"),"Zhang Yixing foreign street performers")</f>
        <v>Zhang Yixing foreign street performers</v>
      </c>
      <c r="D725" s="4" t="s">
        <v>1124</v>
      </c>
      <c r="E725" s="4">
        <v>9114060.0</v>
      </c>
      <c r="F725" s="4">
        <v>24.0</v>
      </c>
      <c r="G725" s="4" t="s">
        <v>1125</v>
      </c>
    </row>
    <row r="726">
      <c r="A726" s="1">
        <v>724.0</v>
      </c>
      <c r="B726" s="4" t="s">
        <v>1093</v>
      </c>
      <c r="C726" s="4" t="str">
        <f>IFERROR(__xludf.DUMMYFUNCTION("GOOGLETRANSLATE(D:D,""auto"",""en"")"),"Travel for three months at home ransacked")</f>
        <v>Travel for three months at home ransacked</v>
      </c>
      <c r="D726" s="4" t="s">
        <v>1126</v>
      </c>
      <c r="E726" s="4">
        <v>9099940.0</v>
      </c>
      <c r="F726" s="4">
        <v>25.0</v>
      </c>
      <c r="G726" s="4" t="s">
        <v>1127</v>
      </c>
    </row>
    <row r="727">
      <c r="A727" s="1">
        <v>725.0</v>
      </c>
      <c r="B727" s="4" t="s">
        <v>1093</v>
      </c>
      <c r="C727" s="4" t="str">
        <f>IFERROR(__xludf.DUMMYFUNCTION("GOOGLETRANSLATE(D:D,""auto"",""en"")"),"After 00 Pa Tsinghua female school to join the army without telling parents")</f>
        <v>After 00 Pa Tsinghua female school to join the army without telling parents</v>
      </c>
      <c r="D727" s="4" t="s">
        <v>1128</v>
      </c>
      <c r="E727" s="4">
        <v>9098338.0</v>
      </c>
      <c r="F727" s="4">
        <v>26.0</v>
      </c>
      <c r="G727" s="4" t="s">
        <v>1129</v>
      </c>
    </row>
    <row r="728">
      <c r="A728" s="1">
        <v>726.0</v>
      </c>
      <c r="B728" s="4" t="s">
        <v>1093</v>
      </c>
      <c r="C728" s="4" t="str">
        <f>IFERROR(__xludf.DUMMYFUNCTION("GOOGLETRANSLATE(D:D,""auto"",""en"")"),"Zhang Quick teaching dance")</f>
        <v>Zhang Quick teaching dance</v>
      </c>
      <c r="D728" s="4" t="s">
        <v>1091</v>
      </c>
      <c r="E728" s="4">
        <v>9046060.0</v>
      </c>
      <c r="F728" s="4">
        <v>27.0</v>
      </c>
      <c r="G728" s="4" t="s">
        <v>1092</v>
      </c>
    </row>
    <row r="729">
      <c r="A729" s="1">
        <v>727.0</v>
      </c>
      <c r="B729" s="4" t="s">
        <v>1093</v>
      </c>
      <c r="C729" s="4" t="str">
        <f>IFERROR(__xludf.DUMMYFUNCTION("GOOGLETRANSLATE(D:D,""auto"",""en"")"),"Xining road subsidence has caused nine people were killed")</f>
        <v>Xining road subsidence has caused nine people were killed</v>
      </c>
      <c r="D729" s="4" t="s">
        <v>1130</v>
      </c>
      <c r="E729" s="4">
        <v>8940585.0</v>
      </c>
      <c r="F729" s="4">
        <v>28.0</v>
      </c>
      <c r="G729" s="4" t="s">
        <v>1131</v>
      </c>
    </row>
    <row r="730">
      <c r="A730" s="1">
        <v>728.0</v>
      </c>
      <c r="B730" s="4" t="s">
        <v>1093</v>
      </c>
      <c r="C730" s="4" t="str">
        <f>IFERROR(__xludf.DUMMYFUNCTION("GOOGLETRANSLATE(D:D,""auto"",""en"")"),"Liang female tractor driver died on the $ 1 bill")</f>
        <v>Liang female tractor driver died on the $ 1 bill</v>
      </c>
      <c r="D730" s="4" t="s">
        <v>1132</v>
      </c>
      <c r="E730" s="4">
        <v>8888165.0</v>
      </c>
      <c r="F730" s="4">
        <v>29.0</v>
      </c>
      <c r="G730" s="4" t="s">
        <v>1133</v>
      </c>
    </row>
    <row r="731">
      <c r="A731" s="1">
        <v>729.0</v>
      </c>
      <c r="B731" s="4" t="s">
        <v>1093</v>
      </c>
      <c r="C731" s="4" t="str">
        <f>IFERROR(__xludf.DUMMYFUNCTION("GOOGLETRANSLATE(D:D,""auto"",""en"")"),"Yin Hong was elected governor of Henan Province")</f>
        <v>Yin Hong was elected governor of Henan Province</v>
      </c>
      <c r="D731" s="4" t="s">
        <v>1134</v>
      </c>
      <c r="E731" s="4">
        <v>8828664.0</v>
      </c>
      <c r="F731" s="4">
        <v>30.0</v>
      </c>
      <c r="G731" s="4" t="s">
        <v>1135</v>
      </c>
    </row>
    <row r="732">
      <c r="A732" s="1">
        <v>730.0</v>
      </c>
      <c r="B732" s="4" t="s">
        <v>1093</v>
      </c>
      <c r="C732" s="4" t="str">
        <f>IFERROR(__xludf.DUMMYFUNCTION("GOOGLETRANSLATE(D:D,""auto"",""en"")"),"Song Yi month with 30 bottles of sunscreen")</f>
        <v>Song Yi month with 30 bottles of sunscreen</v>
      </c>
      <c r="D732" s="4" t="s">
        <v>1136</v>
      </c>
      <c r="E732" s="4">
        <v>8669676.0</v>
      </c>
      <c r="F732" s="4">
        <v>31.0</v>
      </c>
      <c r="G732" s="4" t="s">
        <v>1137</v>
      </c>
    </row>
    <row r="733">
      <c r="A733" s="1">
        <v>731.0</v>
      </c>
      <c r="B733" s="4" t="s">
        <v>1093</v>
      </c>
      <c r="C733" s="4" t="str">
        <f>IFERROR(__xludf.DUMMYFUNCTION("GOOGLETRANSLATE(D:D,""auto"",""en"")"),"Morant vs Harden")</f>
        <v>Morant vs Harden</v>
      </c>
      <c r="D733" s="4" t="s">
        <v>1138</v>
      </c>
      <c r="E733" s="4">
        <v>8668430.0</v>
      </c>
      <c r="F733" s="4">
        <v>32.0</v>
      </c>
      <c r="G733" s="4" t="s">
        <v>1139</v>
      </c>
    </row>
    <row r="734">
      <c r="A734" s="1">
        <v>732.0</v>
      </c>
      <c r="B734" s="4" t="s">
        <v>1093</v>
      </c>
      <c r="C734" s="4" t="str">
        <f>IFERROR(__xludf.DUMMYFUNCTION("GOOGLETRANSLATE(D:D,""auto"",""en"")"),"Doctors continuous operation fell asleep standing knock off front teeth")</f>
        <v>Doctors continuous operation fell asleep standing knock off front teeth</v>
      </c>
      <c r="D734" s="4" t="s">
        <v>1140</v>
      </c>
      <c r="E734" s="4">
        <v>8641631.0</v>
      </c>
      <c r="F734" s="4">
        <v>33.0</v>
      </c>
      <c r="G734" s="4" t="s">
        <v>1141</v>
      </c>
    </row>
    <row r="735">
      <c r="A735" s="1">
        <v>733.0</v>
      </c>
      <c r="B735" s="4" t="s">
        <v>1093</v>
      </c>
      <c r="C735" s="4" t="str">
        <f>IFERROR(__xludf.DUMMYFUNCTION("GOOGLETRANSLATE(D:D,""auto"",""en"")"),"Thailand novel coronavirus cases Wuhan tourists")</f>
        <v>Thailand novel coronavirus cases Wuhan tourists</v>
      </c>
      <c r="D735" s="4" t="s">
        <v>1142</v>
      </c>
      <c r="E735" s="4">
        <v>8628757.0</v>
      </c>
      <c r="F735" s="4">
        <v>34.0</v>
      </c>
      <c r="G735" s="4" t="s">
        <v>1143</v>
      </c>
    </row>
    <row r="736">
      <c r="A736" s="1">
        <v>734.0</v>
      </c>
      <c r="B736" s="4" t="s">
        <v>1093</v>
      </c>
      <c r="C736" s="4" t="str">
        <f>IFERROR(__xludf.DUMMYFUNCTION("GOOGLETRANSLATE(D:D,""auto"",""en"")"),"Since 2020, self-enrollment university canceled")</f>
        <v>Since 2020, self-enrollment university canceled</v>
      </c>
      <c r="D736" s="4" t="s">
        <v>1144</v>
      </c>
      <c r="E736" s="4">
        <v>8465347.0</v>
      </c>
      <c r="F736" s="4">
        <v>35.0</v>
      </c>
      <c r="G736" s="4" t="s">
        <v>1145</v>
      </c>
    </row>
    <row r="737">
      <c r="A737" s="1">
        <v>735.0</v>
      </c>
      <c r="B737" s="4" t="s">
        <v>1093</v>
      </c>
      <c r="C737" s="4" t="str">
        <f>IFERROR(__xludf.DUMMYFUNCTION("GOOGLETRANSLATE(D:D,""auto"",""en"")"),"Liu Hao Ran like most myopic of me")</f>
        <v>Liu Hao Ran like most myopic of me</v>
      </c>
      <c r="D737" s="4" t="s">
        <v>1146</v>
      </c>
      <c r="E737" s="4">
        <v>8448280.0</v>
      </c>
      <c r="F737" s="4">
        <v>36.0</v>
      </c>
      <c r="G737" s="4" t="s">
        <v>1147</v>
      </c>
    </row>
    <row r="738">
      <c r="A738" s="1">
        <v>736.0</v>
      </c>
      <c r="B738" s="4" t="s">
        <v>1093</v>
      </c>
      <c r="C738" s="4" t="str">
        <f>IFERROR(__xludf.DUMMYFUNCTION("GOOGLETRANSLATE(D:D,""auto"",""en"")"),"Follow-up on hot search by song and dance parents to marry")</f>
        <v>Follow-up on hot search by song and dance parents to marry</v>
      </c>
      <c r="D738" s="4" t="s">
        <v>1148</v>
      </c>
      <c r="E738" s="4">
        <v>8421501.0</v>
      </c>
      <c r="F738" s="4">
        <v>37.0</v>
      </c>
      <c r="G738" s="4" t="s">
        <v>1149</v>
      </c>
    </row>
    <row r="739">
      <c r="A739" s="1">
        <v>737.0</v>
      </c>
      <c r="B739" s="4" t="s">
        <v>1093</v>
      </c>
      <c r="C739" s="4" t="str">
        <f>IFERROR(__xludf.DUMMYFUNCTION("GOOGLETRANSLATE(D:D,""auto"",""en"")"),"Iran two missiles hit the Ukrainian airliner picture")</f>
        <v>Iran two missiles hit the Ukrainian airliner picture</v>
      </c>
      <c r="D739" s="4" t="s">
        <v>1150</v>
      </c>
      <c r="E739" s="4">
        <v>8283469.0</v>
      </c>
      <c r="F739" s="4">
        <v>38.0</v>
      </c>
      <c r="G739" s="4" t="s">
        <v>1151</v>
      </c>
    </row>
    <row r="740">
      <c r="A740" s="1">
        <v>738.0</v>
      </c>
      <c r="B740" s="4" t="s">
        <v>1093</v>
      </c>
      <c r="C740" s="4" t="str">
        <f>IFERROR(__xludf.DUMMYFUNCTION("GOOGLETRANSLATE(D:D,""auto"",""en"")"),"5-year-old male baby irreversible degree of myopia 1000")</f>
        <v>5-year-old male baby irreversible degree of myopia 1000</v>
      </c>
      <c r="D740" s="4" t="s">
        <v>1152</v>
      </c>
      <c r="E740" s="4">
        <v>8220082.0</v>
      </c>
      <c r="F740" s="4">
        <v>39.0</v>
      </c>
      <c r="G740" s="4" t="s">
        <v>1153</v>
      </c>
    </row>
    <row r="741">
      <c r="A741" s="1">
        <v>739.0</v>
      </c>
      <c r="B741" s="4" t="s">
        <v>1093</v>
      </c>
      <c r="C741" s="4" t="str">
        <f>IFERROR(__xludf.DUMMYFUNCTION("GOOGLETRANSLATE(D:D,""auto"",""en"")"),"Australia has shot 5000 camel")</f>
        <v>Australia has shot 5000 camel</v>
      </c>
      <c r="D741" s="4" t="s">
        <v>1154</v>
      </c>
      <c r="E741" s="4">
        <v>8215371.0</v>
      </c>
      <c r="F741" s="4">
        <v>40.0</v>
      </c>
      <c r="G741" s="4" t="s">
        <v>1155</v>
      </c>
    </row>
    <row r="742">
      <c r="A742" s="1">
        <v>740.0</v>
      </c>
      <c r="B742" s="4" t="s">
        <v>1093</v>
      </c>
      <c r="C742" s="4" t="str">
        <f>IFERROR(__xludf.DUMMYFUNCTION("GOOGLETRANSLATE(D:D,""auto"",""en"")"),"Cai Xu Kun throwing paper airplanes")</f>
        <v>Cai Xu Kun throwing paper airplanes</v>
      </c>
      <c r="D742" s="4" t="s">
        <v>1156</v>
      </c>
      <c r="E742" s="4">
        <v>8152728.0</v>
      </c>
      <c r="F742" s="4">
        <v>41.0</v>
      </c>
      <c r="G742" s="4" t="s">
        <v>1157</v>
      </c>
    </row>
    <row r="743">
      <c r="A743" s="1">
        <v>741.0</v>
      </c>
      <c r="B743" s="4" t="s">
        <v>1093</v>
      </c>
      <c r="C743" s="4" t="str">
        <f>IFERROR(__xludf.DUMMYFUNCTION("GOOGLETRANSLATE(D:D,""auto"",""en"")"),"Zhuhai firefighters off valve chemical plant explosion site")</f>
        <v>Zhuhai firefighters off valve chemical plant explosion site</v>
      </c>
      <c r="D743" s="4" t="s">
        <v>1158</v>
      </c>
      <c r="E743" s="4">
        <v>8147021.0</v>
      </c>
      <c r="F743" s="4">
        <v>42.0</v>
      </c>
      <c r="G743" s="4" t="s">
        <v>1159</v>
      </c>
    </row>
    <row r="744">
      <c r="A744" s="1">
        <v>742.0</v>
      </c>
      <c r="B744" s="4" t="s">
        <v>1093</v>
      </c>
      <c r="C744" s="4" t="str">
        <f>IFERROR(__xludf.DUMMYFUNCTION("GOOGLETRANSLATE(D:D,""auto"",""en"")"),"Red envelopes of the General Assembly to give you money or not")</f>
        <v>Red envelopes of the General Assembly to give you money or not</v>
      </c>
      <c r="D744" s="4" t="s">
        <v>1160</v>
      </c>
      <c r="E744" s="4">
        <v>8111319.0</v>
      </c>
      <c r="F744" s="4">
        <v>43.0</v>
      </c>
      <c r="G744" s="4" t="s">
        <v>1161</v>
      </c>
    </row>
    <row r="745">
      <c r="A745" s="1">
        <v>743.0</v>
      </c>
      <c r="B745" s="4" t="s">
        <v>1093</v>
      </c>
      <c r="C745" s="4" t="str">
        <f>IFERROR(__xludf.DUMMYFUNCTION("GOOGLETRANSLATE(D:D,""auto"",""en"")"),"Trump blasted Apple")</f>
        <v>Trump blasted Apple</v>
      </c>
      <c r="D745" s="4" t="s">
        <v>1162</v>
      </c>
      <c r="E745" s="4">
        <v>8029539.0</v>
      </c>
      <c r="F745" s="4">
        <v>44.0</v>
      </c>
      <c r="G745" s="4" t="s">
        <v>1163</v>
      </c>
    </row>
    <row r="746">
      <c r="A746" s="1">
        <v>744.0</v>
      </c>
      <c r="B746" s="4" t="s">
        <v>1093</v>
      </c>
      <c r="C746" s="4" t="str">
        <f>IFERROR(__xludf.DUMMYFUNCTION("GOOGLETRANSLATE(D:D,""auto"",""en"")"),"Father the child when baggage in the security apparatus")</f>
        <v>Father the child when baggage in the security apparatus</v>
      </c>
      <c r="D746" s="4" t="s">
        <v>1164</v>
      </c>
      <c r="E746" s="4">
        <v>7998104.0</v>
      </c>
      <c r="F746" s="4">
        <v>45.0</v>
      </c>
      <c r="G746" s="4" t="s">
        <v>1165</v>
      </c>
    </row>
    <row r="747">
      <c r="A747" s="1">
        <v>745.0</v>
      </c>
      <c r="B747" s="4" t="s">
        <v>1093</v>
      </c>
      <c r="C747" s="4" t="str">
        <f>IFERROR(__xludf.DUMMYFUNCTION("GOOGLETRANSLATE(D:D,""auto"",""en"")"),"Wang Shi-old photograph")</f>
        <v>Wang Shi-old photograph</v>
      </c>
      <c r="D747" s="4" t="s">
        <v>1166</v>
      </c>
      <c r="E747" s="4">
        <v>7985456.0</v>
      </c>
      <c r="F747" s="4">
        <v>46.0</v>
      </c>
      <c r="G747" s="4" t="s">
        <v>1167</v>
      </c>
    </row>
    <row r="748">
      <c r="A748" s="1">
        <v>746.0</v>
      </c>
      <c r="B748" s="4" t="s">
        <v>1093</v>
      </c>
      <c r="C748" s="4" t="str">
        <f>IFERROR(__xludf.DUMMYFUNCTION("GOOGLETRANSLATE(D:D,""auto"",""en"")"),"Core journals published 10-year-old student essays")</f>
        <v>Core journals published 10-year-old student essays</v>
      </c>
      <c r="D748" s="4" t="s">
        <v>1168</v>
      </c>
      <c r="E748" s="4">
        <v>7942800.0</v>
      </c>
      <c r="F748" s="4">
        <v>47.0</v>
      </c>
      <c r="G748" s="4" t="s">
        <v>1169</v>
      </c>
    </row>
    <row r="749">
      <c r="A749" s="1">
        <v>747.0</v>
      </c>
      <c r="B749" s="4" t="s">
        <v>1093</v>
      </c>
      <c r="C749" s="4" t="str">
        <f>IFERROR(__xludf.DUMMYFUNCTION("GOOGLETRANSLATE(D:D,""auto"",""en"")"),"Song Qian recognize foreign fans")</f>
        <v>Song Qian recognize foreign fans</v>
      </c>
      <c r="D749" s="4" t="s">
        <v>1170</v>
      </c>
      <c r="E749" s="4">
        <v>7881662.0</v>
      </c>
      <c r="F749" s="4">
        <v>48.0</v>
      </c>
      <c r="G749" s="4" t="s">
        <v>1171</v>
      </c>
    </row>
    <row r="750">
      <c r="A750" s="1">
        <v>748.0</v>
      </c>
      <c r="B750" s="4" t="s">
        <v>1093</v>
      </c>
      <c r="C750" s="4" t="str">
        <f>IFERROR(__xludf.DUMMYFUNCTION("GOOGLETRANSLATE(D:D,""auto"",""en"")"),"Female mayor misappropriation of poverty alleviation funds gambling debts")</f>
        <v>Female mayor misappropriation of poverty alleviation funds gambling debts</v>
      </c>
      <c r="D750" s="4" t="s">
        <v>1172</v>
      </c>
      <c r="E750" s="4">
        <v>7832606.0</v>
      </c>
      <c r="F750" s="4">
        <v>49.0</v>
      </c>
      <c r="G750" s="4" t="s">
        <v>1173</v>
      </c>
    </row>
    <row r="751">
      <c r="A751" s="1">
        <v>749.0</v>
      </c>
      <c r="B751" s="4" t="s">
        <v>1093</v>
      </c>
      <c r="C751" s="4" t="str">
        <f>IFERROR(__xludf.DUMMYFUNCTION("GOOGLETRANSLATE(D:D,""auto"",""en"")"),"Tong Liya Spring Festival presided")</f>
        <v>Tong Liya Spring Festival presided</v>
      </c>
      <c r="D751" s="4" t="s">
        <v>1174</v>
      </c>
      <c r="E751" s="4">
        <v>7811555.0</v>
      </c>
      <c r="F751" s="4">
        <v>50.0</v>
      </c>
      <c r="G751" s="4" t="s">
        <v>1175</v>
      </c>
    </row>
    <row r="752">
      <c r="A752" s="1">
        <v>750.0</v>
      </c>
      <c r="B752" s="4" t="s">
        <v>1176</v>
      </c>
      <c r="C752" s="4" t="str">
        <f>IFERROR(__xludf.DUMMYFUNCTION("GOOGLETRANSLATE(D:D,""auto"",""en"")"),"Luo and Deng purple chess grab a list")</f>
        <v>Luo and Deng purple chess grab a list</v>
      </c>
      <c r="D752" s="4" t="s">
        <v>1177</v>
      </c>
      <c r="E752" s="4">
        <v>1.2189736E7</v>
      </c>
      <c r="F752" s="4">
        <v>1.0</v>
      </c>
      <c r="G752" s="4" t="s">
        <v>1178</v>
      </c>
    </row>
    <row r="753">
      <c r="A753" s="1">
        <v>751.0</v>
      </c>
      <c r="B753" s="4" t="s">
        <v>1176</v>
      </c>
      <c r="C753" s="4" t="str">
        <f>IFERROR(__xludf.DUMMYFUNCTION("GOOGLETRANSLATE(D:D,""auto"",""en"")"),"Yang Zi imitate Li Jiaqi")</f>
        <v>Yang Zi imitate Li Jiaqi</v>
      </c>
      <c r="D753" s="4" t="s">
        <v>1179</v>
      </c>
      <c r="E753" s="4">
        <v>1.1874916E7</v>
      </c>
      <c r="F753" s="4">
        <v>2.0</v>
      </c>
      <c r="G753" s="4" t="s">
        <v>1180</v>
      </c>
    </row>
    <row r="754">
      <c r="A754" s="1">
        <v>752.0</v>
      </c>
      <c r="B754" s="4" t="s">
        <v>1176</v>
      </c>
      <c r="C754" s="4" t="str">
        <f>IFERROR(__xludf.DUMMYFUNCTION("GOOGLETRANSLATE(D:D,""auto"",""en"")"),"Russian government resigned en bloc")</f>
        <v>Russian government resigned en bloc</v>
      </c>
      <c r="D754" s="4" t="s">
        <v>1181</v>
      </c>
      <c r="E754" s="4">
        <v>1.1790332E7</v>
      </c>
      <c r="F754" s="4">
        <v>3.0</v>
      </c>
      <c r="G754" s="4" t="s">
        <v>1182</v>
      </c>
    </row>
    <row r="755">
      <c r="A755" s="1">
        <v>753.0</v>
      </c>
      <c r="B755" s="4" t="s">
        <v>1176</v>
      </c>
      <c r="C755" s="4" t="str">
        <f>IFERROR(__xludf.DUMMYFUNCTION("GOOGLETRANSLATE(D:D,""auto"",""en"")"),"Corrupt officials seized 674 home shopping card")</f>
        <v>Corrupt officials seized 674 home shopping card</v>
      </c>
      <c r="D755" s="4" t="s">
        <v>1116</v>
      </c>
      <c r="E755" s="4">
        <v>1.1582422E7</v>
      </c>
      <c r="F755" s="4">
        <v>4.0</v>
      </c>
      <c r="G755" s="4" t="s">
        <v>1117</v>
      </c>
    </row>
    <row r="756">
      <c r="A756" s="1">
        <v>754.0</v>
      </c>
      <c r="B756" s="4" t="s">
        <v>1176</v>
      </c>
      <c r="C756" s="4" t="str">
        <f>IFERROR(__xludf.DUMMYFUNCTION("GOOGLETRANSLATE(D:D,""auto"",""en"")"),"Danish Anti-Gravity Falls")</f>
        <v>Danish Anti-Gravity Falls</v>
      </c>
      <c r="D756" s="4" t="s">
        <v>1183</v>
      </c>
      <c r="E756" s="4">
        <v>1.134055E7</v>
      </c>
      <c r="F756" s="4">
        <v>5.0</v>
      </c>
      <c r="G756" s="4" t="s">
        <v>1184</v>
      </c>
    </row>
    <row r="757">
      <c r="A757" s="1">
        <v>755.0</v>
      </c>
      <c r="B757" s="4" t="s">
        <v>1176</v>
      </c>
      <c r="C757" s="4" t="str">
        <f>IFERROR(__xludf.DUMMYFUNCTION("GOOGLETRANSLATE(D:D,""auto"",""en"")"),"Farmer spring water to 566 trees destroyed")</f>
        <v>Farmer spring water to 566 trees destroyed</v>
      </c>
      <c r="D757" s="4" t="s">
        <v>1185</v>
      </c>
      <c r="E757" s="4">
        <v>1.116665E7</v>
      </c>
      <c r="F757" s="4">
        <v>6.0</v>
      </c>
      <c r="G757" s="4" t="s">
        <v>1186</v>
      </c>
    </row>
    <row r="758">
      <c r="A758" s="1">
        <v>756.0</v>
      </c>
      <c r="B758" s="4" t="s">
        <v>1176</v>
      </c>
      <c r="C758" s="4" t="str">
        <f>IFERROR(__xludf.DUMMYFUNCTION("GOOGLETRANSLATE(D:D,""auto"",""en"")"),"Your heart can be really something")</f>
        <v>Your heart can be really something</v>
      </c>
      <c r="D758" s="4" t="s">
        <v>1187</v>
      </c>
      <c r="E758" s="4">
        <v>1.1050458E7</v>
      </c>
      <c r="F758" s="4">
        <v>7.0</v>
      </c>
      <c r="G758" s="4" t="s">
        <v>1188</v>
      </c>
    </row>
    <row r="759">
      <c r="A759" s="1">
        <v>757.0</v>
      </c>
      <c r="B759" s="4" t="s">
        <v>1176</v>
      </c>
      <c r="C759" s="4" t="str">
        <f>IFERROR(__xludf.DUMMYFUNCTION("GOOGLETRANSLATE(D:D,""auto"",""en"")"),"Cai Xu Kun throwing paper airplanes")</f>
        <v>Cai Xu Kun throwing paper airplanes</v>
      </c>
      <c r="D759" s="4" t="s">
        <v>1156</v>
      </c>
      <c r="E759" s="4">
        <v>1.083309E7</v>
      </c>
      <c r="F759" s="4">
        <v>8.0</v>
      </c>
      <c r="G759" s="4" t="s">
        <v>1157</v>
      </c>
    </row>
    <row r="760">
      <c r="A760" s="1">
        <v>758.0</v>
      </c>
      <c r="B760" s="4" t="s">
        <v>1176</v>
      </c>
      <c r="C760" s="4" t="str">
        <f>IFERROR(__xludf.DUMMYFUNCTION("GOOGLETRANSLATE(D:D,""auto"",""en"")"),"Zhongxiang died of illness")</f>
        <v>Zhongxiang died of illness</v>
      </c>
      <c r="D760" s="4" t="s">
        <v>1189</v>
      </c>
      <c r="E760" s="4">
        <v>1.0814126E7</v>
      </c>
      <c r="F760" s="4">
        <v>9.0</v>
      </c>
      <c r="G760" s="4" t="s">
        <v>1190</v>
      </c>
    </row>
    <row r="761">
      <c r="A761" s="1">
        <v>759.0</v>
      </c>
      <c r="B761" s="4" t="s">
        <v>1176</v>
      </c>
      <c r="C761" s="4" t="str">
        <f>IFERROR(__xludf.DUMMYFUNCTION("GOOGLETRANSLATE(D:D,""auto"",""en"")"),"Just enough to live affinity")</f>
        <v>Just enough to live affinity</v>
      </c>
      <c r="D761" s="4" t="s">
        <v>1191</v>
      </c>
      <c r="E761" s="4">
        <v>1.0415857E7</v>
      </c>
      <c r="F761" s="4">
        <v>10.0</v>
      </c>
      <c r="G761" s="4" t="s">
        <v>1192</v>
      </c>
    </row>
    <row r="762">
      <c r="A762" s="1">
        <v>760.0</v>
      </c>
      <c r="B762" s="4" t="s">
        <v>1176</v>
      </c>
      <c r="C762" s="4" t="str">
        <f>IFERROR(__xludf.DUMMYFUNCTION("GOOGLETRANSLATE(D:D,""auto"",""en"")"),"Bar drunk feast debut in the United States")</f>
        <v>Bar drunk feast debut in the United States</v>
      </c>
      <c r="D762" s="4" t="s">
        <v>1193</v>
      </c>
      <c r="E762" s="4">
        <v>1.0354135E7</v>
      </c>
      <c r="F762" s="4">
        <v>11.0</v>
      </c>
      <c r="G762" s="4" t="s">
        <v>1194</v>
      </c>
    </row>
    <row r="763">
      <c r="A763" s="1">
        <v>761.0</v>
      </c>
      <c r="B763" s="4" t="s">
        <v>1176</v>
      </c>
      <c r="C763" s="4" t="str">
        <f>IFERROR(__xludf.DUMMYFUNCTION("GOOGLETRANSLATE(D:D,""auto"",""en"")"),"Star New Year afraid of being asked what relatives")</f>
        <v>Star New Year afraid of being asked what relatives</v>
      </c>
      <c r="D763" s="4" t="s">
        <v>1120</v>
      </c>
      <c r="E763" s="4">
        <v>1.0292413E7</v>
      </c>
      <c r="F763" s="4">
        <v>12.0</v>
      </c>
      <c r="G763" s="4" t="s">
        <v>1121</v>
      </c>
    </row>
    <row r="764">
      <c r="A764" s="1">
        <v>762.0</v>
      </c>
      <c r="B764" s="4" t="s">
        <v>1176</v>
      </c>
      <c r="C764" s="4" t="str">
        <f>IFERROR(__xludf.DUMMYFUNCTION("GOOGLETRANSLATE(D:D,""auto"",""en"")"),"Wang Junkai studio romance rumor")</f>
        <v>Wang Junkai studio romance rumor</v>
      </c>
      <c r="D764" s="4" t="s">
        <v>1195</v>
      </c>
      <c r="E764" s="4">
        <v>1.0009316E7</v>
      </c>
      <c r="F764" s="4">
        <v>13.0</v>
      </c>
      <c r="G764" s="4" t="s">
        <v>1196</v>
      </c>
    </row>
    <row r="765">
      <c r="A765" s="1">
        <v>763.0</v>
      </c>
      <c r="B765" s="4" t="s">
        <v>1176</v>
      </c>
      <c r="C765" s="4" t="str">
        <f>IFERROR(__xludf.DUMMYFUNCTION("GOOGLETRANSLATE(D:D,""auto"",""en"")"),"Wang Yibo embarrassing mother theme song")</f>
        <v>Wang Yibo embarrassing mother theme song</v>
      </c>
      <c r="D765" s="4" t="s">
        <v>1197</v>
      </c>
      <c r="E765" s="4">
        <v>9758497.0</v>
      </c>
      <c r="F765" s="4">
        <v>14.0</v>
      </c>
      <c r="G765" s="4" t="s">
        <v>1198</v>
      </c>
    </row>
    <row r="766">
      <c r="A766" s="1">
        <v>764.0</v>
      </c>
      <c r="B766" s="4" t="s">
        <v>1176</v>
      </c>
      <c r="C766" s="4" t="str">
        <f>IFERROR(__xludf.DUMMYFUNCTION("GOOGLETRANSLATE(D:D,""auto"",""en"")"),"Wu Jiayu teach Stengel flower hand dance")</f>
        <v>Wu Jiayu teach Stengel flower hand dance</v>
      </c>
      <c r="D766" s="4" t="s">
        <v>1199</v>
      </c>
      <c r="E766" s="4">
        <v>9555621.0</v>
      </c>
      <c r="F766" s="4">
        <v>15.0</v>
      </c>
      <c r="G766" s="4" t="s">
        <v>1200</v>
      </c>
    </row>
    <row r="767">
      <c r="A767" s="1">
        <v>765.0</v>
      </c>
      <c r="B767" s="4" t="s">
        <v>1176</v>
      </c>
      <c r="C767" s="4" t="str">
        <f>IFERROR(__xludf.DUMMYFUNCTION("GOOGLETRANSLATE(D:D,""auto"",""en"")"),"Admiralty big date with his girlfriend photo")</f>
        <v>Admiralty big date with his girlfriend photo</v>
      </c>
      <c r="D767" s="4" t="s">
        <v>1201</v>
      </c>
      <c r="E767" s="4">
        <v>9358784.0</v>
      </c>
      <c r="F767" s="4">
        <v>16.0</v>
      </c>
      <c r="G767" s="4" t="s">
        <v>1202</v>
      </c>
    </row>
    <row r="768">
      <c r="A768" s="1">
        <v>766.0</v>
      </c>
      <c r="B768" s="4" t="s">
        <v>1176</v>
      </c>
      <c r="C768" s="4" t="str">
        <f>IFERROR(__xludf.DUMMYFUNCTION("GOOGLETRANSLATE(D:D,""auto"",""en"")"),"Putin has accepted the resignation of the Russian government")</f>
        <v>Putin has accepted the resignation of the Russian government</v>
      </c>
      <c r="D768" s="4" t="s">
        <v>1203</v>
      </c>
      <c r="E768" s="4">
        <v>9288195.0</v>
      </c>
      <c r="F768" s="4">
        <v>17.0</v>
      </c>
      <c r="G768" s="4" t="s">
        <v>1204</v>
      </c>
    </row>
    <row r="769">
      <c r="A769" s="1">
        <v>767.0</v>
      </c>
      <c r="B769" s="4" t="s">
        <v>1176</v>
      </c>
      <c r="C769" s="4" t="str">
        <f>IFERROR(__xludf.DUMMYFUNCTION("GOOGLETRANSLATE(D:D,""auto"",""en"")"),"Yi Xi smelt one thousand feelings about the topic")</f>
        <v>Yi Xi smelt one thousand feelings about the topic</v>
      </c>
      <c r="D769" s="4" t="s">
        <v>1205</v>
      </c>
      <c r="E769" s="4">
        <v>9096701.0</v>
      </c>
      <c r="F769" s="4">
        <v>18.0</v>
      </c>
      <c r="G769" s="4" t="s">
        <v>1206</v>
      </c>
    </row>
    <row r="770">
      <c r="A770" s="1">
        <v>768.0</v>
      </c>
      <c r="B770" s="4" t="s">
        <v>1176</v>
      </c>
      <c r="C770" s="4" t="str">
        <f>IFERROR(__xludf.DUMMYFUNCTION("GOOGLETRANSLATE(D:D,""auto"",""en"")"),"Leo said He Shuhuan slag")</f>
        <v>Leo said He Shuhuan slag</v>
      </c>
      <c r="D770" s="4" t="s">
        <v>1207</v>
      </c>
      <c r="E770" s="4">
        <v>9034513.0</v>
      </c>
      <c r="F770" s="4">
        <v>19.0</v>
      </c>
      <c r="G770" s="4" t="s">
        <v>1208</v>
      </c>
    </row>
    <row r="771">
      <c r="A771" s="1">
        <v>769.0</v>
      </c>
      <c r="B771" s="4" t="s">
        <v>1176</v>
      </c>
      <c r="C771" s="4" t="str">
        <f>IFERROR(__xludf.DUMMYFUNCTION("GOOGLETRANSLATE(D:D,""auto"",""en"")"),"Yue Yunpeng was friends with Jin Dong P Figure Zhuangshan")</f>
        <v>Yue Yunpeng was friends with Jin Dong P Figure Zhuangshan</v>
      </c>
      <c r="D771" s="4" t="s">
        <v>1209</v>
      </c>
      <c r="E771" s="4">
        <v>8986064.0</v>
      </c>
      <c r="F771" s="4">
        <v>20.0</v>
      </c>
      <c r="G771" s="4" t="s">
        <v>1210</v>
      </c>
    </row>
    <row r="772">
      <c r="A772" s="1">
        <v>770.0</v>
      </c>
      <c r="B772" s="4" t="s">
        <v>1176</v>
      </c>
      <c r="C772" s="4" t="str">
        <f>IFERROR(__xludf.DUMMYFUNCTION("GOOGLETRANSLATE(D:D,""auto"",""en"")"),"Zhang Heng")</f>
        <v>Zhang Heng</v>
      </c>
      <c r="D772" s="4" t="s">
        <v>1211</v>
      </c>
      <c r="E772" s="4">
        <v>8901513.0</v>
      </c>
      <c r="F772" s="4">
        <v>21.0</v>
      </c>
      <c r="G772" s="4" t="s">
        <v>1212</v>
      </c>
    </row>
    <row r="773">
      <c r="A773" s="1">
        <v>771.0</v>
      </c>
      <c r="B773" s="4" t="s">
        <v>1176</v>
      </c>
      <c r="C773" s="4" t="str">
        <f>IFERROR(__xludf.DUMMYFUNCTION("GOOGLETRANSLATE(D:D,""auto"",""en"")"),"Credit cards also did not owe 175 yuan more than 20,000 now changed")</f>
        <v>Credit cards also did not owe 175 yuan more than 20,000 now changed</v>
      </c>
      <c r="D773" s="4" t="s">
        <v>1213</v>
      </c>
      <c r="E773" s="4">
        <v>8785499.0</v>
      </c>
      <c r="F773" s="4">
        <v>22.0</v>
      </c>
      <c r="G773" s="4" t="s">
        <v>1214</v>
      </c>
    </row>
    <row r="774">
      <c r="A774" s="1">
        <v>772.0</v>
      </c>
      <c r="B774" s="4" t="s">
        <v>1176</v>
      </c>
      <c r="C774" s="4" t="str">
        <f>IFERROR(__xludf.DUMMYFUNCTION("GOOGLETRANSLATE(D:D,""auto"",""en"")"),"Zhongxiang alive one minute video review")</f>
        <v>Zhongxiang alive one minute video review</v>
      </c>
      <c r="D774" s="4" t="s">
        <v>1215</v>
      </c>
      <c r="E774" s="4">
        <v>8688805.0</v>
      </c>
      <c r="F774" s="4">
        <v>23.0</v>
      </c>
      <c r="G774" s="4" t="s">
        <v>1216</v>
      </c>
    </row>
    <row r="775">
      <c r="A775" s="1">
        <v>773.0</v>
      </c>
      <c r="B775" s="4" t="s">
        <v>1176</v>
      </c>
      <c r="C775" s="4" t="str">
        <f>IFERROR(__xludf.DUMMYFUNCTION("GOOGLETRANSLATE(D:D,""auto"",""en"")"),"Yang Zi announcer for the Beijing Olympic Winter Games Countdown")</f>
        <v>Yang Zi announcer for the Beijing Olympic Winter Games Countdown</v>
      </c>
      <c r="D775" s="4" t="s">
        <v>1217</v>
      </c>
      <c r="E775" s="4">
        <v>8654056.0</v>
      </c>
      <c r="F775" s="4">
        <v>24.0</v>
      </c>
      <c r="G775" s="4" t="s">
        <v>1218</v>
      </c>
    </row>
    <row r="776">
      <c r="A776" s="1">
        <v>774.0</v>
      </c>
      <c r="B776" s="4" t="s">
        <v>1176</v>
      </c>
      <c r="C776" s="4" t="str">
        <f>IFERROR(__xludf.DUMMYFUNCTION("GOOGLETRANSLATE(D:D,""auto"",""en"")"),"Trump formally submitted to the Senate impeachment")</f>
        <v>Trump formally submitted to the Senate impeachment</v>
      </c>
      <c r="D776" s="4" t="s">
        <v>1219</v>
      </c>
      <c r="E776" s="4">
        <v>8571486.0</v>
      </c>
      <c r="F776" s="4">
        <v>25.0</v>
      </c>
      <c r="G776" s="4" t="s">
        <v>1220</v>
      </c>
    </row>
    <row r="777">
      <c r="A777" s="1">
        <v>775.0</v>
      </c>
      <c r="B777" s="4" t="s">
        <v>1176</v>
      </c>
      <c r="C777" s="4" t="str">
        <f>IFERROR(__xludf.DUMMYFUNCTION("GOOGLETRANSLATE(D:D,""auto"",""en"")"),"Eddie Peng Han Han")</f>
        <v>Eddie Peng Han Han</v>
      </c>
      <c r="D777" s="4" t="s">
        <v>1221</v>
      </c>
      <c r="E777" s="4">
        <v>8554268.0</v>
      </c>
      <c r="F777" s="4">
        <v>26.0</v>
      </c>
      <c r="G777" s="4" t="s">
        <v>1222</v>
      </c>
    </row>
    <row r="778">
      <c r="A778" s="1">
        <v>776.0</v>
      </c>
      <c r="B778" s="4" t="s">
        <v>1176</v>
      </c>
      <c r="C778" s="4" t="str">
        <f>IFERROR(__xludf.DUMMYFUNCTION("GOOGLETRANSLATE(D:D,""auto"",""en"")"),"Immersive experience towed Minister")</f>
        <v>Immersive experience towed Minister</v>
      </c>
      <c r="D778" s="4" t="s">
        <v>1223</v>
      </c>
      <c r="E778" s="4">
        <v>8460270.0</v>
      </c>
      <c r="F778" s="4">
        <v>27.0</v>
      </c>
      <c r="G778" s="4" t="s">
        <v>1224</v>
      </c>
    </row>
    <row r="779">
      <c r="A779" s="1">
        <v>777.0</v>
      </c>
      <c r="B779" s="4" t="s">
        <v>1176</v>
      </c>
      <c r="C779" s="4" t="str">
        <f>IFERROR(__xludf.DUMMYFUNCTION("GOOGLETRANSLATE(D:D,""auto"",""en"")"),"Moonlit Night renamed the red fox scholar")</f>
        <v>Moonlit Night renamed the red fox scholar</v>
      </c>
      <c r="D779" s="4" t="s">
        <v>1225</v>
      </c>
      <c r="E779" s="4">
        <v>8450159.0</v>
      </c>
      <c r="F779" s="4">
        <v>28.0</v>
      </c>
      <c r="G779" s="4" t="s">
        <v>1226</v>
      </c>
    </row>
    <row r="780">
      <c r="A780" s="1">
        <v>778.0</v>
      </c>
      <c r="B780" s="4" t="s">
        <v>1176</v>
      </c>
      <c r="C780" s="4" t="str">
        <f>IFERROR(__xludf.DUMMYFUNCTION("GOOGLETRANSLATE(D:D,""auto"",""en"")"),"Fireman posing for the elderly grandson meal 1095 days")</f>
        <v>Fireman posing for the elderly grandson meal 1095 days</v>
      </c>
      <c r="D780" s="4" t="s">
        <v>1227</v>
      </c>
      <c r="E780" s="4">
        <v>8399123.0</v>
      </c>
      <c r="F780" s="4">
        <v>29.0</v>
      </c>
      <c r="G780" s="4" t="s">
        <v>1228</v>
      </c>
    </row>
    <row r="781">
      <c r="A781" s="1">
        <v>779.0</v>
      </c>
      <c r="B781" s="4" t="s">
        <v>1176</v>
      </c>
      <c r="C781" s="4" t="str">
        <f>IFERROR(__xludf.DUMMYFUNCTION("GOOGLETRANSLATE(D:D,""auto"",""en"")"),"Dmitry Medvedev, Putin intends to propose new post")</f>
        <v>Dmitry Medvedev, Putin intends to propose new post</v>
      </c>
      <c r="D781" s="4" t="s">
        <v>1229</v>
      </c>
      <c r="E781" s="4">
        <v>8364092.0</v>
      </c>
      <c r="F781" s="4">
        <v>30.0</v>
      </c>
      <c r="G781" s="4" t="s">
        <v>1230</v>
      </c>
    </row>
    <row r="782">
      <c r="A782" s="1">
        <v>780.0</v>
      </c>
      <c r="B782" s="4" t="s">
        <v>1176</v>
      </c>
      <c r="C782" s="4" t="str">
        <f>IFERROR(__xludf.DUMMYFUNCTION("GOOGLETRANSLATE(D:D,""auto"",""en"")"),"Maserati drunk driving caused two dead case hearing")</f>
        <v>Maserati drunk driving caused two dead case hearing</v>
      </c>
      <c r="D782" s="4" t="s">
        <v>1231</v>
      </c>
      <c r="E782" s="4">
        <v>8359151.0</v>
      </c>
      <c r="F782" s="4">
        <v>31.0</v>
      </c>
      <c r="G782" s="4" t="s">
        <v>1232</v>
      </c>
    </row>
    <row r="783">
      <c r="A783" s="1">
        <v>781.0</v>
      </c>
      <c r="B783" s="4" t="s">
        <v>1176</v>
      </c>
      <c r="C783" s="4" t="str">
        <f>IFERROR(__xludf.DUMMYFUNCTION("GOOGLETRANSLATE(D:D,""auto"",""en"")"),"Core journals published 10-year-old student essays")</f>
        <v>Core journals published 10-year-old student essays</v>
      </c>
      <c r="D783" s="4" t="s">
        <v>1168</v>
      </c>
      <c r="E783" s="4">
        <v>8263595.0</v>
      </c>
      <c r="F783" s="4">
        <v>32.0</v>
      </c>
      <c r="G783" s="4" t="s">
        <v>1169</v>
      </c>
    </row>
    <row r="784">
      <c r="A784" s="1">
        <v>782.0</v>
      </c>
      <c r="B784" s="4" t="s">
        <v>1176</v>
      </c>
      <c r="C784" s="4" t="str">
        <f>IFERROR(__xludf.DUMMYFUNCTION("GOOGLETRANSLATE(D:D,""auto"",""en"")"),"Men's March trip home was evacuated girlfriend")</f>
        <v>Men's March trip home was evacuated girlfriend</v>
      </c>
      <c r="D784" s="4" t="s">
        <v>1233</v>
      </c>
      <c r="E784" s="4">
        <v>8180131.0</v>
      </c>
      <c r="F784" s="4">
        <v>33.0</v>
      </c>
      <c r="G784" s="4" t="s">
        <v>1234</v>
      </c>
    </row>
    <row r="785">
      <c r="A785" s="1">
        <v>783.0</v>
      </c>
      <c r="B785" s="4" t="s">
        <v>1176</v>
      </c>
      <c r="C785" s="4" t="str">
        <f>IFERROR(__xludf.DUMMYFUNCTION("GOOGLETRANSLATE(D:D,""auto"",""en"")"),"China shares listed on the first high-speed rail")</f>
        <v>China shares listed on the first high-speed rail</v>
      </c>
      <c r="D785" s="4" t="s">
        <v>1235</v>
      </c>
      <c r="E785" s="4">
        <v>8156770.0</v>
      </c>
      <c r="F785" s="4">
        <v>34.0</v>
      </c>
      <c r="G785" s="4" t="s">
        <v>1236</v>
      </c>
    </row>
    <row r="786">
      <c r="A786" s="1">
        <v>784.0</v>
      </c>
      <c r="B786" s="4" t="s">
        <v>1176</v>
      </c>
      <c r="C786" s="4" t="str">
        <f>IFERROR(__xludf.DUMMYFUNCTION("GOOGLETRANSLATE(D:D,""auto"",""en"")"),"The first phase of the Sino-US economic and trade agreements signed")</f>
        <v>The first phase of the Sino-US economic and trade agreements signed</v>
      </c>
      <c r="D786" s="4" t="s">
        <v>1237</v>
      </c>
      <c r="E786" s="4">
        <v>8138609.0</v>
      </c>
      <c r="F786" s="4">
        <v>35.0</v>
      </c>
      <c r="G786" s="4" t="s">
        <v>1238</v>
      </c>
    </row>
    <row r="787">
      <c r="A787" s="1">
        <v>785.0</v>
      </c>
      <c r="B787" s="4" t="s">
        <v>1176</v>
      </c>
      <c r="C787" s="4" t="str">
        <f>IFERROR(__xludf.DUMMYFUNCTION("GOOGLETRANSLATE(D:D,""auto"",""en"")"),"Eighty man buy arrangement to Beijing")</f>
        <v>Eighty man buy arrangement to Beijing</v>
      </c>
      <c r="D787" s="4" t="s">
        <v>1239</v>
      </c>
      <c r="E787" s="4">
        <v>8086457.0</v>
      </c>
      <c r="F787" s="4">
        <v>36.0</v>
      </c>
      <c r="G787" s="4" t="s">
        <v>1240</v>
      </c>
    </row>
    <row r="788">
      <c r="A788" s="1">
        <v>786.0</v>
      </c>
      <c r="B788" s="4" t="s">
        <v>1176</v>
      </c>
      <c r="C788" s="4" t="str">
        <f>IFERROR(__xludf.DUMMYFUNCTION("GOOGLETRANSLATE(D:D,""auto"",""en"")"),"Animal World dubbing")</f>
        <v>Animal World dubbing</v>
      </c>
      <c r="D788" s="4" t="s">
        <v>1241</v>
      </c>
      <c r="E788" s="4">
        <v>7958157.0</v>
      </c>
      <c r="F788" s="4">
        <v>37.0</v>
      </c>
      <c r="G788" s="4" t="s">
        <v>1242</v>
      </c>
    </row>
    <row r="789">
      <c r="A789" s="1">
        <v>787.0</v>
      </c>
      <c r="B789" s="4" t="s">
        <v>1176</v>
      </c>
      <c r="C789" s="4" t="str">
        <f>IFERROR(__xludf.DUMMYFUNCTION("GOOGLETRANSLATE(D:D,""auto"",""en"")"),"Wang Yibo talk about Mom")</f>
        <v>Wang Yibo talk about Mom</v>
      </c>
      <c r="D789" s="4" t="s">
        <v>1243</v>
      </c>
      <c r="E789" s="4">
        <v>7868176.0</v>
      </c>
      <c r="F789" s="4">
        <v>38.0</v>
      </c>
      <c r="G789" s="4" t="s">
        <v>1244</v>
      </c>
    </row>
    <row r="790">
      <c r="A790" s="1">
        <v>788.0</v>
      </c>
      <c r="B790" s="4" t="s">
        <v>1176</v>
      </c>
      <c r="C790" s="4" t="str">
        <f>IFERROR(__xludf.DUMMYFUNCTION("GOOGLETRANSLATE(D:D,""auto"",""en"")"),"Xining subsidence save the boy's mother died")</f>
        <v>Xining subsidence save the boy's mother died</v>
      </c>
      <c r="D790" s="4" t="s">
        <v>1245</v>
      </c>
      <c r="E790" s="4">
        <v>7850961.0</v>
      </c>
      <c r="F790" s="4">
        <v>39.0</v>
      </c>
      <c r="G790" s="4" t="s">
        <v>1246</v>
      </c>
    </row>
    <row r="791">
      <c r="A791" s="1">
        <v>789.0</v>
      </c>
      <c r="B791" s="4" t="s">
        <v>1176</v>
      </c>
      <c r="C791" s="4" t="str">
        <f>IFERROR(__xludf.DUMMYFUNCTION("GOOGLETRANSLATE(D:D,""auto"",""en"")"),"Men and women sit stacked car with a seat belt system")</f>
        <v>Men and women sit stacked car with a seat belt system</v>
      </c>
      <c r="D791" s="4" t="s">
        <v>1247</v>
      </c>
      <c r="E791" s="4">
        <v>7739607.0</v>
      </c>
      <c r="F791" s="4">
        <v>40.0</v>
      </c>
      <c r="G791" s="4" t="s">
        <v>1248</v>
      </c>
    </row>
    <row r="792">
      <c r="A792" s="1">
        <v>790.0</v>
      </c>
      <c r="B792" s="4" t="s">
        <v>1176</v>
      </c>
      <c r="C792" s="4" t="str">
        <f>IFERROR(__xludf.DUMMYFUNCTION("GOOGLETRANSLATE(D:D,""auto"",""en"")"),"The military clean-up of dead animals killed in fire")</f>
        <v>The military clean-up of dead animals killed in fire</v>
      </c>
      <c r="D792" s="4" t="s">
        <v>1249</v>
      </c>
      <c r="E792" s="4">
        <v>7696904.0</v>
      </c>
      <c r="F792" s="4">
        <v>41.0</v>
      </c>
      <c r="G792" s="4" t="s">
        <v>1250</v>
      </c>
    </row>
    <row r="793">
      <c r="A793" s="1">
        <v>791.0</v>
      </c>
      <c r="B793" s="4" t="s">
        <v>1176</v>
      </c>
      <c r="C793" s="4" t="str">
        <f>IFERROR(__xludf.DUMMYFUNCTION("GOOGLETRANSLATE(D:D,""auto"",""en"")"),"Sun Wenbin intentional homicide sentenced to death")</f>
        <v>Sun Wenbin intentional homicide sentenced to death</v>
      </c>
      <c r="D793" s="4" t="s">
        <v>1251</v>
      </c>
      <c r="E793" s="4">
        <v>7672673.0</v>
      </c>
      <c r="F793" s="4">
        <v>42.0</v>
      </c>
      <c r="G793" s="4" t="s">
        <v>1252</v>
      </c>
    </row>
    <row r="794">
      <c r="A794" s="1">
        <v>792.0</v>
      </c>
      <c r="B794" s="4" t="s">
        <v>1176</v>
      </c>
      <c r="C794" s="4" t="str">
        <f>IFERROR(__xludf.DUMMYFUNCTION("GOOGLETRANSLATE(D:D,""auto"",""en"")"),"Liu Yifei immediately somersaults")</f>
        <v>Liu Yifei immediately somersaults</v>
      </c>
      <c r="D794" s="4" t="s">
        <v>1253</v>
      </c>
      <c r="E794" s="4">
        <v>7626442.0</v>
      </c>
      <c r="F794" s="4">
        <v>43.0</v>
      </c>
      <c r="G794" s="4" t="s">
        <v>1254</v>
      </c>
    </row>
    <row r="795">
      <c r="A795" s="1">
        <v>793.0</v>
      </c>
      <c r="B795" s="4" t="s">
        <v>1176</v>
      </c>
      <c r="C795" s="4" t="str">
        <f>IFERROR(__xludf.DUMMYFUNCTION("GOOGLETRANSLATE(D:D,""auto"",""en"")"),"Shandong hardcore mom spent 666 yuan package to send dumplings")</f>
        <v>Shandong hardcore mom spent 666 yuan package to send dumplings</v>
      </c>
      <c r="D795" s="4" t="s">
        <v>1255</v>
      </c>
      <c r="E795" s="4">
        <v>7544613.0</v>
      </c>
      <c r="F795" s="4">
        <v>44.0</v>
      </c>
      <c r="G795" s="4" t="s">
        <v>1256</v>
      </c>
    </row>
    <row r="796">
      <c r="A796" s="1">
        <v>794.0</v>
      </c>
      <c r="B796" s="4" t="s">
        <v>1176</v>
      </c>
      <c r="C796" s="4" t="str">
        <f>IFERROR(__xludf.DUMMYFUNCTION("GOOGLETRANSLATE(D:D,""auto"",""en"")"),"Since 2020 the implementation of the biannual conscription twice retired")</f>
        <v>Since 2020 the implementation of the biannual conscription twice retired</v>
      </c>
      <c r="D796" s="4" t="s">
        <v>1257</v>
      </c>
      <c r="E796" s="4">
        <v>7537246.0</v>
      </c>
      <c r="F796" s="4">
        <v>45.0</v>
      </c>
      <c r="G796" s="4" t="s">
        <v>1258</v>
      </c>
    </row>
    <row r="797">
      <c r="A797" s="1">
        <v>795.0</v>
      </c>
      <c r="B797" s="4" t="s">
        <v>1176</v>
      </c>
      <c r="C797" s="4" t="str">
        <f>IFERROR(__xludf.DUMMYFUNCTION("GOOGLETRANSLATE(D:D,""auto"",""en"")"),"Eddie bear hug Zhang Hanyu")</f>
        <v>Eddie bear hug Zhang Hanyu</v>
      </c>
      <c r="D797" s="4" t="s">
        <v>1259</v>
      </c>
      <c r="E797" s="4">
        <v>7333813.0</v>
      </c>
      <c r="F797" s="4">
        <v>46.0</v>
      </c>
      <c r="G797" s="4" t="s">
        <v>1260</v>
      </c>
    </row>
    <row r="798">
      <c r="A798" s="1">
        <v>796.0</v>
      </c>
      <c r="B798" s="4" t="s">
        <v>1176</v>
      </c>
      <c r="C798" s="4" t="str">
        <f>IFERROR(__xludf.DUMMYFUNCTION("GOOGLETRANSLATE(D:D,""auto"",""en"")"),"Xiaozhan work is my girlfriend")</f>
        <v>Xiaozhan work is my girlfriend</v>
      </c>
      <c r="D798" s="4" t="s">
        <v>1261</v>
      </c>
      <c r="E798" s="4">
        <v>7279643.0</v>
      </c>
      <c r="F798" s="4">
        <v>47.0</v>
      </c>
      <c r="G798" s="4" t="s">
        <v>1262</v>
      </c>
    </row>
    <row r="799">
      <c r="A799" s="1">
        <v>797.0</v>
      </c>
      <c r="B799" s="4" t="s">
        <v>1176</v>
      </c>
      <c r="C799" s="4" t="str">
        <f>IFERROR(__xludf.DUMMYFUNCTION("GOOGLETRANSLATE(D:D,""auto"",""en"")"),"Te official lineup announced")</f>
        <v>Te official lineup announced</v>
      </c>
      <c r="D799" s="4" t="s">
        <v>1263</v>
      </c>
      <c r="E799" s="4">
        <v>7192013.0</v>
      </c>
      <c r="F799" s="4">
        <v>48.0</v>
      </c>
      <c r="G799" s="4" t="s">
        <v>1264</v>
      </c>
    </row>
    <row r="800">
      <c r="A800" s="1">
        <v>798.0</v>
      </c>
      <c r="B800" s="4" t="s">
        <v>1176</v>
      </c>
      <c r="C800" s="4" t="str">
        <f>IFERROR(__xludf.DUMMYFUNCTION("GOOGLETRANSLATE(D:D,""auto"",""en"")"),"Koalas are fed excess water death")</f>
        <v>Koalas are fed excess water death</v>
      </c>
      <c r="D800" s="4" t="s">
        <v>1265</v>
      </c>
      <c r="E800" s="4">
        <v>7190870.0</v>
      </c>
      <c r="F800" s="4">
        <v>49.0</v>
      </c>
      <c r="G800" s="4" t="s">
        <v>1266</v>
      </c>
    </row>
    <row r="801">
      <c r="A801" s="1">
        <v>799.0</v>
      </c>
      <c r="B801" s="4" t="s">
        <v>1176</v>
      </c>
      <c r="C801" s="4" t="str">
        <f>IFERROR(__xludf.DUMMYFUNCTION("GOOGLETRANSLATE(D:D,""auto"",""en"")"),"Zhou Yang Green Gang Luo hit list")</f>
        <v>Zhou Yang Green Gang Luo hit list</v>
      </c>
      <c r="D801" s="4" t="s">
        <v>1267</v>
      </c>
      <c r="E801" s="4">
        <v>7133766.0</v>
      </c>
      <c r="F801" s="4">
        <v>50.0</v>
      </c>
      <c r="G801" s="4" t="s">
        <v>1268</v>
      </c>
    </row>
    <row r="802">
      <c r="A802" s="1">
        <v>800.0</v>
      </c>
      <c r="B802" s="4" t="s">
        <v>1269</v>
      </c>
      <c r="C802" s="4" t="str">
        <f>IFERROR(__xludf.DUMMYFUNCTION("GOOGLETRANSLATE(D:D,""auto"",""en"")"),"Zhang Chao sudden high blood pressure in hospital")</f>
        <v>Zhang Chao sudden high blood pressure in hospital</v>
      </c>
      <c r="D802" s="4" t="s">
        <v>1270</v>
      </c>
      <c r="E802" s="4">
        <v>1.1643687E7</v>
      </c>
      <c r="F802" s="4">
        <v>1.0</v>
      </c>
      <c r="G802" s="4" t="s">
        <v>1271</v>
      </c>
    </row>
    <row r="803">
      <c r="A803" s="1">
        <v>801.0</v>
      </c>
      <c r="B803" s="4" t="s">
        <v>1269</v>
      </c>
      <c r="C803" s="4" t="str">
        <f>IFERROR(__xludf.DUMMYFUNCTION("GOOGLETRANSLATE(D:D,""auto"",""en"")"),"Admiralty big date with his girlfriend photo")</f>
        <v>Admiralty big date with his girlfriend photo</v>
      </c>
      <c r="D803" s="4" t="s">
        <v>1201</v>
      </c>
      <c r="E803" s="4">
        <v>1.1325237E7</v>
      </c>
      <c r="F803" s="4">
        <v>2.0</v>
      </c>
      <c r="G803" s="4" t="s">
        <v>1202</v>
      </c>
    </row>
    <row r="804">
      <c r="A804" s="1">
        <v>802.0</v>
      </c>
      <c r="B804" s="4" t="s">
        <v>1269</v>
      </c>
      <c r="C804" s="4" t="str">
        <f>IFERROR(__xludf.DUMMYFUNCTION("GOOGLETRANSLATE(D:D,""auto"",""en"")"),"Zhuge aid should vigorously dance")</f>
        <v>Zhuge aid should vigorously dance</v>
      </c>
      <c r="D804" s="4" t="s">
        <v>1272</v>
      </c>
      <c r="E804" s="4">
        <v>1.1321342E7</v>
      </c>
      <c r="F804" s="4">
        <v>3.0</v>
      </c>
      <c r="G804" s="4" t="s">
        <v>1273</v>
      </c>
    </row>
    <row r="805">
      <c r="A805" s="1">
        <v>803.0</v>
      </c>
      <c r="B805" s="4" t="s">
        <v>1269</v>
      </c>
      <c r="C805" s="4" t="str">
        <f>IFERROR(__xludf.DUMMYFUNCTION("GOOGLETRANSLATE(D:D,""auto"",""en"")"),"Zhou Yang Green Gang Luo hit list")</f>
        <v>Zhou Yang Green Gang Luo hit list</v>
      </c>
      <c r="D805" s="4" t="s">
        <v>1267</v>
      </c>
      <c r="E805" s="4">
        <v>1.1036116E7</v>
      </c>
      <c r="F805" s="4">
        <v>4.0</v>
      </c>
      <c r="G805" s="4" t="s">
        <v>1268</v>
      </c>
    </row>
    <row r="806">
      <c r="A806" s="1">
        <v>804.0</v>
      </c>
      <c r="B806" s="4" t="s">
        <v>1269</v>
      </c>
      <c r="C806" s="4" t="str">
        <f>IFERROR(__xludf.DUMMYFUNCTION("GOOGLETRANSLATE(D:D,""auto"",""en"")"),"Maserati drunk driving case, the injured family members sound")</f>
        <v>Maserati drunk driving case, the injured family members sound</v>
      </c>
      <c r="D806" s="4" t="s">
        <v>1274</v>
      </c>
      <c r="E806" s="4">
        <v>1.1024718E7</v>
      </c>
      <c r="F806" s="4">
        <v>5.0</v>
      </c>
      <c r="G806" s="4" t="s">
        <v>1275</v>
      </c>
    </row>
    <row r="807">
      <c r="A807" s="1">
        <v>805.0</v>
      </c>
      <c r="B807" s="4" t="s">
        <v>1269</v>
      </c>
      <c r="C807" s="4" t="str">
        <f>IFERROR(__xludf.DUMMYFUNCTION("GOOGLETRANSLATE(D:D,""auto"",""en"")"),"China will collect a fortune in money")</f>
        <v>China will collect a fortune in money</v>
      </c>
      <c r="D807" s="4" t="s">
        <v>1276</v>
      </c>
      <c r="E807" s="4">
        <v>1.0927733E7</v>
      </c>
      <c r="F807" s="4">
        <v>6.0</v>
      </c>
      <c r="G807" s="4" t="s">
        <v>1277</v>
      </c>
    </row>
    <row r="808">
      <c r="A808" s="1">
        <v>806.0</v>
      </c>
      <c r="B808" s="4" t="s">
        <v>1269</v>
      </c>
      <c r="C808" s="4" t="str">
        <f>IFERROR(__xludf.DUMMYFUNCTION("GOOGLETRANSLATE(D:D,""auto"",""en"")"),"Luo and Deng purple chess grab a list")</f>
        <v>Luo and Deng purple chess grab a list</v>
      </c>
      <c r="D808" s="4" t="s">
        <v>1177</v>
      </c>
      <c r="E808" s="4">
        <v>1.0910203E7</v>
      </c>
      <c r="F808" s="4">
        <v>7.0</v>
      </c>
      <c r="G808" s="4" t="s">
        <v>1178</v>
      </c>
    </row>
    <row r="809">
      <c r="A809" s="1">
        <v>807.0</v>
      </c>
      <c r="B809" s="4" t="s">
        <v>1269</v>
      </c>
      <c r="C809" s="4" t="str">
        <f>IFERROR(__xludf.DUMMYFUNCTION("GOOGLETRANSLATE(D:D,""auto"",""en"")"),"Two Chinese tourists died in accidents in Iceland")</f>
        <v>Two Chinese tourists died in accidents in Iceland</v>
      </c>
      <c r="D809" s="4" t="s">
        <v>1278</v>
      </c>
      <c r="E809" s="4">
        <v>1.0772784E7</v>
      </c>
      <c r="F809" s="4">
        <v>8.0</v>
      </c>
      <c r="G809" s="4" t="s">
        <v>1279</v>
      </c>
    </row>
    <row r="810">
      <c r="A810" s="1">
        <v>808.0</v>
      </c>
      <c r="B810" s="4" t="s">
        <v>1269</v>
      </c>
      <c r="C810" s="4" t="str">
        <f>IFERROR(__xludf.DUMMYFUNCTION("GOOGLETRANSLATE(D:D,""auto"",""en"")"),"R1SE earthy disco")</f>
        <v>R1SE earthy disco</v>
      </c>
      <c r="D810" s="4" t="s">
        <v>1280</v>
      </c>
      <c r="E810" s="4">
        <v>1.0770651E7</v>
      </c>
      <c r="F810" s="4">
        <v>9.0</v>
      </c>
      <c r="G810" s="4" t="s">
        <v>1281</v>
      </c>
    </row>
    <row r="811">
      <c r="A811" s="1">
        <v>809.0</v>
      </c>
      <c r="B811" s="4" t="s">
        <v>1269</v>
      </c>
      <c r="C811" s="4" t="str">
        <f>IFERROR(__xludf.DUMMYFUNCTION("GOOGLETRANSLATE(D:D,""auto"",""en"")"),"Luo respond fight vibrato love dou list")</f>
        <v>Luo respond fight vibrato love dou list</v>
      </c>
      <c r="D811" s="4" t="s">
        <v>1282</v>
      </c>
      <c r="E811" s="4">
        <v>1.0609676E7</v>
      </c>
      <c r="F811" s="4">
        <v>10.0</v>
      </c>
      <c r="G811" s="4" t="s">
        <v>1283</v>
      </c>
    </row>
    <row r="812">
      <c r="A812" s="1">
        <v>810.0</v>
      </c>
      <c r="B812" s="4" t="s">
        <v>1269</v>
      </c>
      <c r="C812" s="4" t="str">
        <f>IFERROR(__xludf.DUMMYFUNCTION("GOOGLETRANSLATE(D:D,""auto"",""en"")"),"Wang Junkai studio romance rumor")</f>
        <v>Wang Junkai studio romance rumor</v>
      </c>
      <c r="D812" s="4" t="s">
        <v>1195</v>
      </c>
      <c r="E812" s="4">
        <v>1.0562733E7</v>
      </c>
      <c r="F812" s="4">
        <v>11.0</v>
      </c>
      <c r="G812" s="4" t="s">
        <v>1196</v>
      </c>
    </row>
    <row r="813">
      <c r="A813" s="1">
        <v>811.0</v>
      </c>
      <c r="B813" s="4" t="s">
        <v>1269</v>
      </c>
      <c r="C813" s="4" t="str">
        <f>IFERROR(__xludf.DUMMYFUNCTION("GOOGLETRANSLATE(D:D,""auto"",""en"")"),"Hate face as Xiaozhan")</f>
        <v>Hate face as Xiaozhan</v>
      </c>
      <c r="D813" s="4" t="s">
        <v>1284</v>
      </c>
      <c r="E813" s="4">
        <v>1.0493017E7</v>
      </c>
      <c r="F813" s="4">
        <v>12.0</v>
      </c>
      <c r="G813" s="4" t="s">
        <v>1285</v>
      </c>
    </row>
    <row r="814">
      <c r="A814" s="1">
        <v>812.0</v>
      </c>
      <c r="B814" s="4" t="s">
        <v>1269</v>
      </c>
      <c r="C814" s="4" t="str">
        <f>IFERROR(__xludf.DUMMYFUNCTION("GOOGLETRANSLATE(D:D,""auto"",""en"")"),"Zhang Heng")</f>
        <v>Zhang Heng</v>
      </c>
      <c r="D814" s="4" t="s">
        <v>1211</v>
      </c>
      <c r="E814" s="4">
        <v>1.0214026E7</v>
      </c>
      <c r="F814" s="4">
        <v>13.0</v>
      </c>
      <c r="G814" s="4" t="s">
        <v>1212</v>
      </c>
    </row>
    <row r="815">
      <c r="A815" s="1">
        <v>813.0</v>
      </c>
      <c r="B815" s="4" t="s">
        <v>1269</v>
      </c>
      <c r="C815" s="4" t="str">
        <f>IFERROR(__xludf.DUMMYFUNCTION("GOOGLETRANSLATE(D:D,""auto"",""en"")"),"Beijing Shougang announced that in exchange for Lin")</f>
        <v>Beijing Shougang announced that in exchange for Lin</v>
      </c>
      <c r="D815" s="4" t="s">
        <v>1286</v>
      </c>
      <c r="E815" s="4">
        <v>1.0207663E7</v>
      </c>
      <c r="F815" s="4">
        <v>14.0</v>
      </c>
      <c r="G815" s="4" t="s">
        <v>1287</v>
      </c>
    </row>
    <row r="816">
      <c r="A816" s="1">
        <v>814.0</v>
      </c>
      <c r="B816" s="4" t="s">
        <v>1269</v>
      </c>
      <c r="C816" s="4" t="str">
        <f>IFERROR(__xludf.DUMMYFUNCTION("GOOGLETRANSLATE(D:D,""auto"",""en"")"),"JJ reverse punch fans")</f>
        <v>JJ reverse punch fans</v>
      </c>
      <c r="D816" s="4" t="s">
        <v>1288</v>
      </c>
      <c r="E816" s="4">
        <v>1.017524E7</v>
      </c>
      <c r="F816" s="4">
        <v>15.0</v>
      </c>
      <c r="G816" s="4" t="s">
        <v>1289</v>
      </c>
    </row>
    <row r="817">
      <c r="A817" s="1">
        <v>815.0</v>
      </c>
      <c r="B817" s="4" t="s">
        <v>1269</v>
      </c>
      <c r="C817" s="4" t="str">
        <f>IFERROR(__xludf.DUMMYFUNCTION("GOOGLETRANSLATE(D:D,""auto"",""en"")"),"Taobao account was closed in 1980")</f>
        <v>Taobao account was closed in 1980</v>
      </c>
      <c r="D817" s="4" t="s">
        <v>1290</v>
      </c>
      <c r="E817" s="4">
        <v>1.0003173E7</v>
      </c>
      <c r="F817" s="4">
        <v>16.0</v>
      </c>
      <c r="G817" s="4" t="s">
        <v>1291</v>
      </c>
    </row>
    <row r="818">
      <c r="A818" s="1">
        <v>816.0</v>
      </c>
      <c r="B818" s="4" t="s">
        <v>1269</v>
      </c>
      <c r="C818" s="4" t="str">
        <f>IFERROR(__xludf.DUMMYFUNCTION("GOOGLETRANSLATE(D:D,""auto"",""en"")"),"Wu Xuan instrument cos Green Snake")</f>
        <v>Wu Xuan instrument cos Green Snake</v>
      </c>
      <c r="D818" s="4" t="s">
        <v>1292</v>
      </c>
      <c r="E818" s="4">
        <v>9955056.0</v>
      </c>
      <c r="F818" s="4">
        <v>17.0</v>
      </c>
      <c r="G818" s="4" t="s">
        <v>1293</v>
      </c>
    </row>
    <row r="819">
      <c r="A819" s="1">
        <v>817.0</v>
      </c>
      <c r="B819" s="4" t="s">
        <v>1269</v>
      </c>
      <c r="C819" s="4" t="str">
        <f>IFERROR(__xludf.DUMMYFUNCTION("GOOGLETRANSLATE(D:D,""auto"",""en"")"),"In small")</f>
        <v>In small</v>
      </c>
      <c r="D819" s="4" t="s">
        <v>1294</v>
      </c>
      <c r="E819" s="4">
        <v>9920298.0</v>
      </c>
      <c r="F819" s="4">
        <v>18.0</v>
      </c>
      <c r="G819" s="4" t="s">
        <v>1295</v>
      </c>
    </row>
    <row r="820">
      <c r="A820" s="1">
        <v>818.0</v>
      </c>
      <c r="B820" s="4" t="s">
        <v>1269</v>
      </c>
      <c r="C820" s="4" t="str">
        <f>IFERROR(__xludf.DUMMYFUNCTION("GOOGLETRANSLATE(D:D,""auto"",""en"")"),"July pregnant wife quietly look firefighter husband")</f>
        <v>July pregnant wife quietly look firefighter husband</v>
      </c>
      <c r="D820" s="4" t="s">
        <v>1296</v>
      </c>
      <c r="E820" s="4">
        <v>9898310.0</v>
      </c>
      <c r="F820" s="4">
        <v>19.0</v>
      </c>
      <c r="G820" s="4" t="s">
        <v>1297</v>
      </c>
    </row>
    <row r="821">
      <c r="A821" s="1">
        <v>819.0</v>
      </c>
      <c r="B821" s="4" t="s">
        <v>1269</v>
      </c>
      <c r="C821" s="4" t="str">
        <f>IFERROR(__xludf.DUMMYFUNCTION("GOOGLETRANSLATE(D:D,""auto"",""en"")"),"Wujing Chun night scene props to eat")</f>
        <v>Wujing Chun night scene props to eat</v>
      </c>
      <c r="D821" s="4" t="s">
        <v>1298</v>
      </c>
      <c r="E821" s="4">
        <v>9662530.0</v>
      </c>
      <c r="F821" s="4">
        <v>20.0</v>
      </c>
      <c r="G821" s="4" t="s">
        <v>1299</v>
      </c>
    </row>
    <row r="822">
      <c r="A822" s="1">
        <v>820.0</v>
      </c>
      <c r="B822" s="4" t="s">
        <v>1269</v>
      </c>
      <c r="C822" s="4" t="str">
        <f>IFERROR(__xludf.DUMMYFUNCTION("GOOGLETRANSLATE(D:D,""auto"",""en"")"),"Lucky grow up")</f>
        <v>Lucky grow up</v>
      </c>
      <c r="D822" s="4" t="s">
        <v>1300</v>
      </c>
      <c r="E822" s="4">
        <v>9538983.0</v>
      </c>
      <c r="F822" s="4">
        <v>21.0</v>
      </c>
      <c r="G822" s="4" t="s">
        <v>1301</v>
      </c>
    </row>
    <row r="823">
      <c r="A823" s="1">
        <v>821.0</v>
      </c>
      <c r="B823" s="4" t="s">
        <v>1269</v>
      </c>
      <c r="C823" s="4" t="str">
        <f>IFERROR(__xludf.DUMMYFUNCTION("GOOGLETRANSLATE(D:D,""auto"",""en"")"),"Takeout little brother all the way to catch the thief Kuangzhui")</f>
        <v>Takeout little brother all the way to catch the thief Kuangzhui</v>
      </c>
      <c r="D823" s="4" t="s">
        <v>1302</v>
      </c>
      <c r="E823" s="4">
        <v>9476501.0</v>
      </c>
      <c r="F823" s="4">
        <v>22.0</v>
      </c>
      <c r="G823" s="4" t="s">
        <v>1303</v>
      </c>
    </row>
    <row r="824">
      <c r="A824" s="1">
        <v>822.0</v>
      </c>
      <c r="B824" s="4" t="s">
        <v>1269</v>
      </c>
      <c r="C824" s="4" t="str">
        <f>IFERROR(__xludf.DUMMYFUNCTION("GOOGLETRANSLATE(D:D,""auto"",""en"")"),"Just enough to live affinity")</f>
        <v>Just enough to live affinity</v>
      </c>
      <c r="D824" s="4" t="s">
        <v>1191</v>
      </c>
      <c r="E824" s="4">
        <v>9313851.0</v>
      </c>
      <c r="F824" s="4">
        <v>23.0</v>
      </c>
      <c r="G824" s="4" t="s">
        <v>1192</v>
      </c>
    </row>
    <row r="825">
      <c r="A825" s="1">
        <v>823.0</v>
      </c>
      <c r="B825" s="4" t="s">
        <v>1269</v>
      </c>
      <c r="C825" s="4" t="str">
        <f>IFERROR(__xludf.DUMMYFUNCTION("GOOGLETRANSLATE(D:D,""auto"",""en"")"),"HyunA dreadlocks")</f>
        <v>HyunA dreadlocks</v>
      </c>
      <c r="D825" s="4" t="s">
        <v>1304</v>
      </c>
      <c r="E825" s="4">
        <v>9194730.0</v>
      </c>
      <c r="F825" s="4">
        <v>24.0</v>
      </c>
      <c r="G825" s="4" t="s">
        <v>1305</v>
      </c>
    </row>
    <row r="826">
      <c r="A826" s="1">
        <v>824.0</v>
      </c>
      <c r="B826" s="4" t="s">
        <v>1269</v>
      </c>
      <c r="C826" s="4" t="str">
        <f>IFERROR(__xludf.DUMMYFUNCTION("GOOGLETRANSLATE(D:D,""auto"",""en"")"),"When Lang Lang met Xiaozhan")</f>
        <v>When Lang Lang met Xiaozhan</v>
      </c>
      <c r="D826" s="4" t="s">
        <v>1306</v>
      </c>
      <c r="E826" s="4">
        <v>9128699.0</v>
      </c>
      <c r="F826" s="4">
        <v>25.0</v>
      </c>
      <c r="G826" s="4" t="s">
        <v>1307</v>
      </c>
    </row>
    <row r="827">
      <c r="A827" s="1">
        <v>825.0</v>
      </c>
      <c r="B827" s="4" t="s">
        <v>1269</v>
      </c>
      <c r="C827" s="4" t="str">
        <f>IFERROR(__xludf.DUMMYFUNCTION("GOOGLETRANSLATE(D:D,""auto"",""en"")"),"Bar drunk feast debut in the United States")</f>
        <v>Bar drunk feast debut in the United States</v>
      </c>
      <c r="D827" s="4" t="s">
        <v>1193</v>
      </c>
      <c r="E827" s="4">
        <v>9076248.0</v>
      </c>
      <c r="F827" s="4">
        <v>26.0</v>
      </c>
      <c r="G827" s="4" t="s">
        <v>1194</v>
      </c>
    </row>
    <row r="828">
      <c r="A828" s="1">
        <v>826.0</v>
      </c>
      <c r="B828" s="4" t="s">
        <v>1269</v>
      </c>
      <c r="C828" s="4" t="str">
        <f>IFERROR(__xludf.DUMMYFUNCTION("GOOGLETRANSLATE(D:D,""auto"",""en"")"),"Lou Yi Xiao dance reproduction tired word")</f>
        <v>Lou Yi Xiao dance reproduction tired word</v>
      </c>
      <c r="D828" s="4" t="s">
        <v>1308</v>
      </c>
      <c r="E828" s="4">
        <v>9012723.0</v>
      </c>
      <c r="F828" s="4">
        <v>27.0</v>
      </c>
      <c r="G828" s="4" t="s">
        <v>1309</v>
      </c>
    </row>
    <row r="829">
      <c r="A829" s="1">
        <v>827.0</v>
      </c>
      <c r="B829" s="4" t="s">
        <v>1269</v>
      </c>
      <c r="C829" s="4" t="str">
        <f>IFERROR(__xludf.DUMMYFUNCTION("GOOGLETRANSLATE(D:D,""auto"",""en"")"),"Wang Junkai pink sweater")</f>
        <v>Wang Junkai pink sweater</v>
      </c>
      <c r="D829" s="4" t="s">
        <v>1310</v>
      </c>
      <c r="E829" s="4">
        <v>8999371.0</v>
      </c>
      <c r="F829" s="4">
        <v>28.0</v>
      </c>
      <c r="G829" s="4" t="s">
        <v>1311</v>
      </c>
    </row>
    <row r="830">
      <c r="A830" s="1">
        <v>828.0</v>
      </c>
      <c r="B830" s="4" t="s">
        <v>1269</v>
      </c>
      <c r="C830" s="4" t="str">
        <f>IFERROR(__xludf.DUMMYFUNCTION("GOOGLETRANSLATE(D:D,""auto"",""en"")"),"Australian rain ecstasy")</f>
        <v>Australian rain ecstasy</v>
      </c>
      <c r="D830" s="4" t="s">
        <v>1312</v>
      </c>
      <c r="E830" s="4">
        <v>8957767.0</v>
      </c>
      <c r="F830" s="4">
        <v>29.0</v>
      </c>
      <c r="G830" s="4" t="s">
        <v>1313</v>
      </c>
    </row>
    <row r="831">
      <c r="A831" s="1">
        <v>829.0</v>
      </c>
      <c r="B831" s="4" t="s">
        <v>1269</v>
      </c>
      <c r="C831" s="4" t="str">
        <f>IFERROR(__xludf.DUMMYFUNCTION("GOOGLETRANSLATE(D:D,""auto"",""en"")"),"Xiaozhan work is my girlfriend")</f>
        <v>Xiaozhan work is my girlfriend</v>
      </c>
      <c r="D831" s="4" t="s">
        <v>1261</v>
      </c>
      <c r="E831" s="4">
        <v>8927706.0</v>
      </c>
      <c r="F831" s="4">
        <v>30.0</v>
      </c>
      <c r="G831" s="4" t="s">
        <v>1262</v>
      </c>
    </row>
    <row r="832">
      <c r="A832" s="1">
        <v>830.0</v>
      </c>
      <c r="B832" s="4" t="s">
        <v>1269</v>
      </c>
      <c r="C832" s="4" t="str">
        <f>IFERROR(__xludf.DUMMYFUNCTION("GOOGLETRANSLATE(D:D,""auto"",""en"")"),"Wang Yibo helmet confession")</f>
        <v>Wang Yibo helmet confession</v>
      </c>
      <c r="D832" s="4" t="s">
        <v>1314</v>
      </c>
      <c r="E832" s="4">
        <v>8857166.0</v>
      </c>
      <c r="F832" s="4">
        <v>31.0</v>
      </c>
      <c r="G832" s="4" t="s">
        <v>1315</v>
      </c>
    </row>
    <row r="833">
      <c r="A833" s="1">
        <v>831.0</v>
      </c>
      <c r="B833" s="4" t="s">
        <v>1269</v>
      </c>
      <c r="C833" s="4" t="str">
        <f>IFERROR(__xludf.DUMMYFUNCTION("GOOGLETRANSLATE(D:D,""auto"",""en"")"),"Wu Yifan hollow glacier blue suit")</f>
        <v>Wu Yifan hollow glacier blue suit</v>
      </c>
      <c r="D833" s="4" t="s">
        <v>1316</v>
      </c>
      <c r="E833" s="4">
        <v>8786519.0</v>
      </c>
      <c r="F833" s="4">
        <v>32.0</v>
      </c>
      <c r="G833" s="4" t="s">
        <v>1317</v>
      </c>
    </row>
    <row r="834">
      <c r="A834" s="1">
        <v>832.0</v>
      </c>
      <c r="B834" s="4" t="s">
        <v>1269</v>
      </c>
      <c r="C834" s="4" t="str">
        <f>IFERROR(__xludf.DUMMYFUNCTION("GOOGLETRANSLATE(D:D,""auto"",""en"")"),"After the man ignited the quilt calm tramp theater")</f>
        <v>After the man ignited the quilt calm tramp theater</v>
      </c>
      <c r="D834" s="4" t="s">
        <v>1318</v>
      </c>
      <c r="E834" s="4">
        <v>8676094.0</v>
      </c>
      <c r="F834" s="4">
        <v>33.0</v>
      </c>
      <c r="G834" s="4" t="s">
        <v>1319</v>
      </c>
    </row>
    <row r="835">
      <c r="A835" s="1">
        <v>833.0</v>
      </c>
      <c r="B835" s="4" t="s">
        <v>1269</v>
      </c>
      <c r="C835" s="4" t="str">
        <f>IFERROR(__xludf.DUMMYFUNCTION("GOOGLETRANSLATE(D:D,""auto"",""en"")"),"Yi Xi smelt one thousand formula refuse wine")</f>
        <v>Yi Xi smelt one thousand formula refuse wine</v>
      </c>
      <c r="D835" s="4" t="s">
        <v>1320</v>
      </c>
      <c r="E835" s="4">
        <v>8673952.0</v>
      </c>
      <c r="F835" s="4">
        <v>34.0</v>
      </c>
      <c r="G835" s="4" t="s">
        <v>1321</v>
      </c>
    </row>
    <row r="836">
      <c r="A836" s="1">
        <v>834.0</v>
      </c>
      <c r="B836" s="4" t="s">
        <v>1269</v>
      </c>
      <c r="C836" s="4" t="str">
        <f>IFERROR(__xludf.DUMMYFUNCTION("GOOGLETRANSLATE(D:D,""auto"",""en"")"),"Te official lineup announced")</f>
        <v>Te official lineup announced</v>
      </c>
      <c r="D836" s="4" t="s">
        <v>1263</v>
      </c>
      <c r="E836" s="4">
        <v>8641036.0</v>
      </c>
      <c r="F836" s="4">
        <v>35.0</v>
      </c>
      <c r="G836" s="4" t="s">
        <v>1264</v>
      </c>
    </row>
    <row r="837">
      <c r="A837" s="1">
        <v>835.0</v>
      </c>
      <c r="B837" s="4" t="s">
        <v>1269</v>
      </c>
      <c r="C837" s="4" t="str">
        <f>IFERROR(__xludf.DUMMYFUNCTION("GOOGLETRANSLATE(D:D,""auto"",""en"")"),"Five years ago the occasional help firefighters kneel Thanksgiving")</f>
        <v>Five years ago the occasional help firefighters kneel Thanksgiving</v>
      </c>
      <c r="D837" s="4" t="s">
        <v>1322</v>
      </c>
      <c r="E837" s="4">
        <v>8493924.0</v>
      </c>
      <c r="F837" s="4">
        <v>36.0</v>
      </c>
      <c r="G837" s="4" t="s">
        <v>1323</v>
      </c>
    </row>
    <row r="838">
      <c r="A838" s="1">
        <v>836.0</v>
      </c>
      <c r="B838" s="4" t="s">
        <v>1269</v>
      </c>
      <c r="C838" s="4" t="str">
        <f>IFERROR(__xludf.DUMMYFUNCTION("GOOGLETRANSLATE(D:D,""auto"",""en"")"),"Li Chen Linong now notice the history of the cheapest")</f>
        <v>Li Chen Linong now notice the history of the cheapest</v>
      </c>
      <c r="D838" s="4" t="s">
        <v>1324</v>
      </c>
      <c r="E838" s="4">
        <v>8441859.0</v>
      </c>
      <c r="F838" s="4">
        <v>37.0</v>
      </c>
      <c r="G838" s="4" t="s">
        <v>1325</v>
      </c>
    </row>
    <row r="839">
      <c r="A839" s="1">
        <v>837.0</v>
      </c>
      <c r="B839" s="4" t="s">
        <v>1269</v>
      </c>
      <c r="C839" s="4" t="str">
        <f>IFERROR(__xludf.DUMMYFUNCTION("GOOGLETRANSLATE(D:D,""auto"",""en"")"),"When the snow north of the South met Bing Gege")</f>
        <v>When the snow north of the South met Bing Gege</v>
      </c>
      <c r="D839" s="4" t="s">
        <v>1326</v>
      </c>
      <c r="E839" s="4">
        <v>8324124.0</v>
      </c>
      <c r="F839" s="4">
        <v>38.0</v>
      </c>
      <c r="G839" s="4" t="s">
        <v>1327</v>
      </c>
    </row>
    <row r="840">
      <c r="A840" s="1">
        <v>838.0</v>
      </c>
      <c r="B840" s="4" t="s">
        <v>1269</v>
      </c>
      <c r="C840" s="4" t="str">
        <f>IFERROR(__xludf.DUMMYFUNCTION("GOOGLETRANSLATE(D:D,""auto"",""en"")"),"Zheng Xu Yang Shuang sent cane")</f>
        <v>Zheng Xu Yang Shuang sent cane</v>
      </c>
      <c r="D840" s="4" t="s">
        <v>1328</v>
      </c>
      <c r="E840" s="4">
        <v>8281832.0</v>
      </c>
      <c r="F840" s="4">
        <v>39.0</v>
      </c>
      <c r="G840" s="4" t="s">
        <v>1329</v>
      </c>
    </row>
    <row r="841">
      <c r="A841" s="1">
        <v>839.0</v>
      </c>
      <c r="B841" s="4" t="s">
        <v>1269</v>
      </c>
      <c r="C841" s="4" t="str">
        <f>IFERROR(__xludf.DUMMYFUNCTION("GOOGLETRANSLATE(D:D,""auto"",""en"")"),"Xue Qian serious weight loss")</f>
        <v>Xue Qian serious weight loss</v>
      </c>
      <c r="D841" s="4" t="s">
        <v>1330</v>
      </c>
      <c r="E841" s="4">
        <v>8195120.0</v>
      </c>
      <c r="F841" s="4">
        <v>40.0</v>
      </c>
      <c r="G841" s="4" t="s">
        <v>1331</v>
      </c>
    </row>
    <row r="842">
      <c r="A842" s="1">
        <v>840.0</v>
      </c>
      <c r="B842" s="4" t="s">
        <v>1269</v>
      </c>
      <c r="C842" s="4" t="str">
        <f>IFERROR(__xludf.DUMMYFUNCTION("GOOGLETRANSLATE(D:D,""auto"",""en"")"),"Hunan TV Spring Festival the host team")</f>
        <v>Hunan TV Spring Festival the host team</v>
      </c>
      <c r="D842" s="4" t="s">
        <v>1332</v>
      </c>
      <c r="E842" s="4">
        <v>8124068.0</v>
      </c>
      <c r="F842" s="4">
        <v>41.0</v>
      </c>
      <c r="G842" s="4" t="s">
        <v>1333</v>
      </c>
    </row>
    <row r="843">
      <c r="A843" s="1">
        <v>841.0</v>
      </c>
      <c r="B843" s="4" t="s">
        <v>1269</v>
      </c>
      <c r="C843" s="4" t="str">
        <f>IFERROR(__xludf.DUMMYFUNCTION("GOOGLETRANSLATE(D:D,""auto"",""en"")"),"Who is a gift of sound")</f>
        <v>Who is a gift of sound</v>
      </c>
      <c r="D843" s="4" t="s">
        <v>1334</v>
      </c>
      <c r="E843" s="4">
        <v>8087020.0</v>
      </c>
      <c r="F843" s="4">
        <v>42.0</v>
      </c>
      <c r="G843" s="4" t="s">
        <v>1335</v>
      </c>
    </row>
    <row r="844">
      <c r="A844" s="1">
        <v>842.0</v>
      </c>
      <c r="B844" s="4" t="s">
        <v>1269</v>
      </c>
      <c r="C844" s="4" t="str">
        <f>IFERROR(__xludf.DUMMYFUNCTION("GOOGLETRANSLATE(D:D,""auto"",""en"")"),"Maserati driver refused to kneel down to apologize")</f>
        <v>Maserati driver refused to kneel down to apologize</v>
      </c>
      <c r="D844" s="4" t="s">
        <v>1336</v>
      </c>
      <c r="E844" s="4">
        <v>7951813.0</v>
      </c>
      <c r="F844" s="4">
        <v>43.0</v>
      </c>
      <c r="G844" s="4" t="s">
        <v>1337</v>
      </c>
    </row>
    <row r="845">
      <c r="A845" s="1">
        <v>843.0</v>
      </c>
      <c r="B845" s="4" t="s">
        <v>1269</v>
      </c>
      <c r="C845" s="4" t="str">
        <f>IFERROR(__xludf.DUMMYFUNCTION("GOOGLETRANSLATE(D:D,""auto"",""en"")"),"Chinese Shao received a threatening Express")</f>
        <v>Chinese Shao received a threatening Express</v>
      </c>
      <c r="D845" s="4" t="s">
        <v>1338</v>
      </c>
      <c r="E845" s="4">
        <v>7880033.0</v>
      </c>
      <c r="F845" s="4">
        <v>44.0</v>
      </c>
      <c r="G845" s="4" t="s">
        <v>1339</v>
      </c>
    </row>
    <row r="846">
      <c r="A846" s="1">
        <v>844.0</v>
      </c>
      <c r="B846" s="4" t="s">
        <v>1269</v>
      </c>
      <c r="C846" s="4" t="str">
        <f>IFERROR(__xludf.DUMMYFUNCTION("GOOGLETRANSLATE(D:D,""auto"",""en"")"),"13-year-old orphan girl called himself a burden")</f>
        <v>13-year-old orphan girl called himself a burden</v>
      </c>
      <c r="D846" s="4" t="s">
        <v>1340</v>
      </c>
      <c r="E846" s="4">
        <v>7771262.0</v>
      </c>
      <c r="F846" s="4">
        <v>45.0</v>
      </c>
      <c r="G846" s="4" t="s">
        <v>1341</v>
      </c>
    </row>
    <row r="847">
      <c r="A847" s="1">
        <v>845.0</v>
      </c>
      <c r="B847" s="4" t="s">
        <v>1269</v>
      </c>
      <c r="C847" s="4" t="str">
        <f>IFERROR(__xludf.DUMMYFUNCTION("GOOGLETRANSLATE(D:D,""auto"",""en"")"),"The US military said the Iranian missile attacks caused 11 people were injured")</f>
        <v>The US military said the Iranian missile attacks caused 11 people were injured</v>
      </c>
      <c r="D847" s="4" t="s">
        <v>1342</v>
      </c>
      <c r="E847" s="4">
        <v>7719556.0</v>
      </c>
      <c r="F847" s="4">
        <v>46.0</v>
      </c>
      <c r="G847" s="4" t="s">
        <v>1343</v>
      </c>
    </row>
    <row r="848">
      <c r="A848" s="1">
        <v>846.0</v>
      </c>
      <c r="B848" s="4" t="s">
        <v>1269</v>
      </c>
      <c r="C848" s="4" t="str">
        <f>IFERROR(__xludf.DUMMYFUNCTION("GOOGLETRANSLATE(D:D,""auto"",""en"")"),"Buddies Liu Hao Ran Wei Chen singing")</f>
        <v>Buddies Liu Hao Ran Wei Chen singing</v>
      </c>
      <c r="D848" s="4" t="s">
        <v>1344</v>
      </c>
      <c r="E848" s="4">
        <v>7708568.0</v>
      </c>
      <c r="F848" s="4">
        <v>47.0</v>
      </c>
      <c r="G848" s="4" t="s">
        <v>1345</v>
      </c>
    </row>
    <row r="849">
      <c r="A849" s="1">
        <v>847.0</v>
      </c>
      <c r="B849" s="4" t="s">
        <v>1269</v>
      </c>
      <c r="C849" s="4" t="str">
        <f>IFERROR(__xludf.DUMMYFUNCTION("GOOGLETRANSLATE(D:D,""auto"",""en"")"),"Wei Chen Wang Ou sing for the one I love")</f>
        <v>Wei Chen Wang Ou sing for the one I love</v>
      </c>
      <c r="D849" s="4" t="s">
        <v>1346</v>
      </c>
      <c r="E849" s="4">
        <v>7688497.0</v>
      </c>
      <c r="F849" s="4">
        <v>48.0</v>
      </c>
      <c r="G849" s="4" t="s">
        <v>1347</v>
      </c>
    </row>
    <row r="850">
      <c r="A850" s="1">
        <v>848.0</v>
      </c>
      <c r="B850" s="4" t="s">
        <v>1269</v>
      </c>
      <c r="C850" s="4" t="str">
        <f>IFERROR(__xludf.DUMMYFUNCTION("GOOGLETRANSLATE(D:D,""auto"",""en"")"),"Guy 2 years of training 200 stray dogs")</f>
        <v>Guy 2 years of training 200 stray dogs</v>
      </c>
      <c r="D850" s="4" t="s">
        <v>1348</v>
      </c>
      <c r="E850" s="4">
        <v>7674340.0</v>
      </c>
      <c r="F850" s="4">
        <v>49.0</v>
      </c>
      <c r="G850" s="4" t="s">
        <v>1349</v>
      </c>
    </row>
    <row r="851">
      <c r="A851" s="1">
        <v>849.0</v>
      </c>
      <c r="B851" s="4" t="s">
        <v>1269</v>
      </c>
      <c r="C851" s="4" t="str">
        <f>IFERROR(__xludf.DUMMYFUNCTION("GOOGLETRANSLATE(D:D,""auto"",""en"")"),"Expert analysis of all the Russian government to resign")</f>
        <v>Expert analysis of all the Russian government to resign</v>
      </c>
      <c r="D851" s="4" t="s">
        <v>1350</v>
      </c>
      <c r="E851" s="4">
        <v>7618046.0</v>
      </c>
      <c r="F851" s="4">
        <v>50.0</v>
      </c>
      <c r="G851" s="4" t="s">
        <v>1351</v>
      </c>
    </row>
    <row r="852">
      <c r="A852" s="1">
        <v>850.0</v>
      </c>
      <c r="B852" s="4" t="s">
        <v>1352</v>
      </c>
      <c r="C852" s="4" t="str">
        <f>IFERROR(__xludf.DUMMYFUNCTION("GOOGLETRANSLATE(D:D,""auto"",""en"")"),"Chen Qian Cherry jump 11 Dance")</f>
        <v>Chen Qian Cherry jump 11 Dance</v>
      </c>
      <c r="D852" s="4" t="s">
        <v>1353</v>
      </c>
      <c r="E852" s="4">
        <v>1.3809044E7</v>
      </c>
      <c r="F852" s="4">
        <v>1.0</v>
      </c>
      <c r="G852" s="4" t="s">
        <v>1354</v>
      </c>
    </row>
    <row r="853">
      <c r="A853" s="1">
        <v>851.0</v>
      </c>
      <c r="B853" s="4" t="s">
        <v>1352</v>
      </c>
      <c r="C853" s="4" t="str">
        <f>IFERROR(__xludf.DUMMYFUNCTION("GOOGLETRANSLATE(D:D,""auto"",""en"")"),"Spring Festival Evening performances in the end what Wang Yibo")</f>
        <v>Spring Festival Evening performances in the end what Wang Yibo</v>
      </c>
      <c r="D853" s="4" t="s">
        <v>1355</v>
      </c>
      <c r="E853" s="4">
        <v>1.3437122E7</v>
      </c>
      <c r="F853" s="4">
        <v>2.0</v>
      </c>
      <c r="G853" s="4" t="s">
        <v>1356</v>
      </c>
    </row>
    <row r="854">
      <c r="A854" s="1">
        <v>852.0</v>
      </c>
      <c r="B854" s="4" t="s">
        <v>1352</v>
      </c>
      <c r="C854" s="4" t="str">
        <f>IFERROR(__xludf.DUMMYFUNCTION("GOOGLETRANSLATE(D:D,""auto"",""en"")"),"Yi Xi smelt one thousand formula refuse wine")</f>
        <v>Yi Xi smelt one thousand formula refuse wine</v>
      </c>
      <c r="D854" s="4" t="s">
        <v>1320</v>
      </c>
      <c r="E854" s="4">
        <v>1.3047422E7</v>
      </c>
      <c r="F854" s="4">
        <v>3.0</v>
      </c>
      <c r="G854" s="4" t="s">
        <v>1321</v>
      </c>
    </row>
    <row r="855">
      <c r="A855" s="1">
        <v>853.0</v>
      </c>
      <c r="B855" s="4" t="s">
        <v>1352</v>
      </c>
      <c r="C855" s="4" t="str">
        <f>IFERROR(__xludf.DUMMYFUNCTION("GOOGLETRANSLATE(D:D,""auto"",""en"")"),"Devon community sealing Yi Hai years")</f>
        <v>Devon community sealing Yi Hai years</v>
      </c>
      <c r="D855" s="4" t="s">
        <v>1357</v>
      </c>
      <c r="E855" s="4">
        <v>1.2688148E7</v>
      </c>
      <c r="F855" s="4">
        <v>4.0</v>
      </c>
      <c r="G855" s="4" t="s">
        <v>1358</v>
      </c>
    </row>
    <row r="856">
      <c r="A856" s="1">
        <v>854.0</v>
      </c>
      <c r="B856" s="4" t="s">
        <v>1352</v>
      </c>
      <c r="C856" s="4" t="str">
        <f>IFERROR(__xludf.DUMMYFUNCTION("GOOGLETRANSLATE(D:D,""auto"",""en"")"),"Zhuge aid should vigorously dance")</f>
        <v>Zhuge aid should vigorously dance</v>
      </c>
      <c r="D856" s="4" t="s">
        <v>1272</v>
      </c>
      <c r="E856" s="4">
        <v>1.2504565E7</v>
      </c>
      <c r="F856" s="4">
        <v>5.0</v>
      </c>
      <c r="G856" s="4" t="s">
        <v>1273</v>
      </c>
    </row>
    <row r="857">
      <c r="A857" s="1">
        <v>855.0</v>
      </c>
      <c r="B857" s="4" t="s">
        <v>1352</v>
      </c>
      <c r="C857" s="4" t="str">
        <f>IFERROR(__xludf.DUMMYFUNCTION("GOOGLETRANSLATE(D:D,""auto"",""en"")"),"When Lang Lang met Xiaozhan")</f>
        <v>When Lang Lang met Xiaozhan</v>
      </c>
      <c r="D857" s="4" t="s">
        <v>1306</v>
      </c>
      <c r="E857" s="4">
        <v>1.2080957E7</v>
      </c>
      <c r="F857" s="4">
        <v>6.0</v>
      </c>
      <c r="G857" s="4" t="s">
        <v>1307</v>
      </c>
    </row>
    <row r="858">
      <c r="A858" s="1">
        <v>856.0</v>
      </c>
      <c r="B858" s="4" t="s">
        <v>1352</v>
      </c>
      <c r="C858" s="4" t="str">
        <f>IFERROR(__xludf.DUMMYFUNCTION("GOOGLETRANSLATE(D:D,""auto"",""en"")"),"13-year-old orphan girl called himself a burden")</f>
        <v>13-year-old orphan girl called himself a burden</v>
      </c>
      <c r="D858" s="4" t="s">
        <v>1340</v>
      </c>
      <c r="E858" s="4">
        <v>1.1750666E7</v>
      </c>
      <c r="F858" s="4">
        <v>7.0</v>
      </c>
      <c r="G858" s="4" t="s">
        <v>1341</v>
      </c>
    </row>
    <row r="859">
      <c r="A859" s="1">
        <v>857.0</v>
      </c>
      <c r="B859" s="4" t="s">
        <v>1352</v>
      </c>
      <c r="C859" s="4" t="str">
        <f>IFERROR(__xludf.DUMMYFUNCTION("GOOGLETRANSLATE(D:D,""auto"",""en"")"),"Our men than women, more than 30.49 million")</f>
        <v>Our men than women, more than 30.49 million</v>
      </c>
      <c r="D859" s="4" t="s">
        <v>1359</v>
      </c>
      <c r="E859" s="4">
        <v>1.1662424E7</v>
      </c>
      <c r="F859" s="4">
        <v>8.0</v>
      </c>
      <c r="G859" s="4" t="s">
        <v>1360</v>
      </c>
    </row>
    <row r="860">
      <c r="A860" s="1">
        <v>858.0</v>
      </c>
      <c r="B860" s="4" t="s">
        <v>1352</v>
      </c>
      <c r="C860" s="4" t="str">
        <f>IFERROR(__xludf.DUMMYFUNCTION("GOOGLETRANSLATE(D:D,""auto"",""en"")"),"IN Asia tide")</f>
        <v>IN Asia tide</v>
      </c>
      <c r="D860" s="4" t="s">
        <v>1361</v>
      </c>
      <c r="E860" s="4">
        <v>1.159972E7</v>
      </c>
      <c r="F860" s="4">
        <v>9.0</v>
      </c>
      <c r="G860" s="4" t="s">
        <v>1362</v>
      </c>
    </row>
    <row r="861">
      <c r="A861" s="1">
        <v>859.0</v>
      </c>
      <c r="B861" s="4" t="s">
        <v>1352</v>
      </c>
      <c r="C861" s="4" t="str">
        <f>IFERROR(__xludf.DUMMYFUNCTION("GOOGLETRANSLATE(D:D,""auto"",""en"")"),"The stage is everywhere")</f>
        <v>The stage is everywhere</v>
      </c>
      <c r="D861" s="4" t="s">
        <v>188</v>
      </c>
      <c r="E861" s="4">
        <v>1.1524247E7</v>
      </c>
      <c r="F861" s="4">
        <v>10.0</v>
      </c>
      <c r="G861" s="4" t="s">
        <v>189</v>
      </c>
    </row>
    <row r="862">
      <c r="A862" s="1">
        <v>860.0</v>
      </c>
      <c r="B862" s="4" t="s">
        <v>1352</v>
      </c>
      <c r="C862" s="4" t="str">
        <f>IFERROR(__xludf.DUMMYFUNCTION("GOOGLETRANSLATE(D:D,""auto"",""en"")"),"Australian rain ecstasy")</f>
        <v>Australian rain ecstasy</v>
      </c>
      <c r="D862" s="4" t="s">
        <v>1312</v>
      </c>
      <c r="E862" s="4">
        <v>1.1448775E7</v>
      </c>
      <c r="F862" s="4">
        <v>11.0</v>
      </c>
      <c r="G862" s="4" t="s">
        <v>1313</v>
      </c>
    </row>
    <row r="863">
      <c r="A863" s="1">
        <v>861.0</v>
      </c>
      <c r="B863" s="4" t="s">
        <v>1352</v>
      </c>
      <c r="C863" s="4" t="str">
        <f>IFERROR(__xludf.DUMMYFUNCTION("GOOGLETRANSLATE(D:D,""auto"",""en"")"),"Who is a gift of sound")</f>
        <v>Who is a gift of sound</v>
      </c>
      <c r="D863" s="4" t="s">
        <v>1334</v>
      </c>
      <c r="E863" s="4">
        <v>1.1149867E7</v>
      </c>
      <c r="F863" s="4">
        <v>12.0</v>
      </c>
      <c r="G863" s="4" t="s">
        <v>1335</v>
      </c>
    </row>
    <row r="864">
      <c r="A864" s="1">
        <v>862.0</v>
      </c>
      <c r="B864" s="4" t="s">
        <v>1352</v>
      </c>
      <c r="C864" s="4" t="str">
        <f>IFERROR(__xludf.DUMMYFUNCTION("GOOGLETRANSLATE(D:D,""auto"",""en"")"),"Search and rescue dogs go to the doctor seized a small turtle hibernation")</f>
        <v>Search and rescue dogs go to the doctor seized a small turtle hibernation</v>
      </c>
      <c r="D864" s="4" t="s">
        <v>1363</v>
      </c>
      <c r="E864" s="4">
        <v>1.1130595E7</v>
      </c>
      <c r="F864" s="4">
        <v>13.0</v>
      </c>
      <c r="G864" s="4" t="s">
        <v>1364</v>
      </c>
    </row>
    <row r="865">
      <c r="A865" s="1">
        <v>863.0</v>
      </c>
      <c r="B865" s="4" t="s">
        <v>1352</v>
      </c>
      <c r="C865" s="4" t="str">
        <f>IFERROR(__xludf.DUMMYFUNCTION("GOOGLETRANSLATE(D:D,""auto"",""en"")"),"Party Secretary of the General Assembly on the cadres Rage")</f>
        <v>Party Secretary of the General Assembly on the cadres Rage</v>
      </c>
      <c r="D865" s="4" t="s">
        <v>1365</v>
      </c>
      <c r="E865" s="4">
        <v>1.0815423E7</v>
      </c>
      <c r="F865" s="4">
        <v>14.0</v>
      </c>
      <c r="G865" s="4" t="s">
        <v>1366</v>
      </c>
    </row>
    <row r="866">
      <c r="A866" s="1">
        <v>864.0</v>
      </c>
      <c r="B866" s="4" t="s">
        <v>1352</v>
      </c>
      <c r="C866" s="4" t="str">
        <f>IFERROR(__xludf.DUMMYFUNCTION("GOOGLETRANSLATE(D:D,""auto"",""en"")"),"William Chan Yan Zheng Xu boast high value")</f>
        <v>William Chan Yan Zheng Xu boast high value</v>
      </c>
      <c r="D866" s="4" t="s">
        <v>1367</v>
      </c>
      <c r="E866" s="4">
        <v>1.0544432E7</v>
      </c>
      <c r="F866" s="4">
        <v>15.0</v>
      </c>
      <c r="G866" s="4" t="s">
        <v>1368</v>
      </c>
    </row>
    <row r="867">
      <c r="A867" s="1">
        <v>865.0</v>
      </c>
      <c r="B867" s="4" t="s">
        <v>1352</v>
      </c>
      <c r="C867" s="4" t="str">
        <f>IFERROR(__xludf.DUMMYFUNCTION("GOOGLETRANSLATE(D:D,""auto"",""en"")"),"Wendy Zhang Yi test results")</f>
        <v>Wendy Zhang Yi test results</v>
      </c>
      <c r="D867" s="4" t="s">
        <v>1369</v>
      </c>
      <c r="E867" s="4">
        <v>1.0511389E7</v>
      </c>
      <c r="F867" s="4">
        <v>16.0</v>
      </c>
      <c r="G867" s="4" t="s">
        <v>1370</v>
      </c>
    </row>
    <row r="868">
      <c r="A868" s="1">
        <v>866.0</v>
      </c>
      <c r="B868" s="4" t="s">
        <v>1352</v>
      </c>
      <c r="C868" s="4" t="str">
        <f>IFERROR(__xludf.DUMMYFUNCTION("GOOGLETRANSLATE(D:D,""auto"",""en"")"),"1 minute 52 seconds railway married couple still have not time")</f>
        <v>1 minute 52 seconds railway married couple still have not time</v>
      </c>
      <c r="D868" s="4" t="s">
        <v>1371</v>
      </c>
      <c r="E868" s="4">
        <v>1.024593E7</v>
      </c>
      <c r="F868" s="4">
        <v>17.0</v>
      </c>
      <c r="G868" s="4" t="s">
        <v>1372</v>
      </c>
    </row>
    <row r="869">
      <c r="A869" s="1">
        <v>867.0</v>
      </c>
      <c r="B869" s="4" t="s">
        <v>1352</v>
      </c>
      <c r="C869" s="4" t="str">
        <f>IFERROR(__xludf.DUMMYFUNCTION("GOOGLETRANSLATE(D:D,""auto"",""en"")"),"Film Chinese women's volleyball team changed its name to win")</f>
        <v>Film Chinese women's volleyball team changed its name to win</v>
      </c>
      <c r="D869" s="4" t="s">
        <v>1373</v>
      </c>
      <c r="E869" s="4">
        <v>9981636.0</v>
      </c>
      <c r="F869" s="4">
        <v>18.0</v>
      </c>
      <c r="G869" s="4" t="s">
        <v>1374</v>
      </c>
    </row>
    <row r="870">
      <c r="A870" s="1">
        <v>868.0</v>
      </c>
      <c r="B870" s="4" t="s">
        <v>1352</v>
      </c>
      <c r="C870" s="4" t="str">
        <f>IFERROR(__xludf.DUMMYFUNCTION("GOOGLETRANSLATE(D:D,""auto"",""en"")"),"IS head caught fat to fit police")</f>
        <v>IS head caught fat to fit police</v>
      </c>
      <c r="D870" s="4" t="s">
        <v>1375</v>
      </c>
      <c r="E870" s="4">
        <v>9764582.0</v>
      </c>
      <c r="F870" s="4">
        <v>19.0</v>
      </c>
      <c r="G870" s="4" t="s">
        <v>1376</v>
      </c>
    </row>
    <row r="871">
      <c r="A871" s="1">
        <v>869.0</v>
      </c>
      <c r="B871" s="4" t="s">
        <v>1352</v>
      </c>
      <c r="C871" s="4" t="str">
        <f>IFERROR(__xludf.DUMMYFUNCTION("GOOGLETRANSLATE(D:D,""auto"",""en"")"),"Xining collapse search and rescue ground stop")</f>
        <v>Xining collapse search and rescue ground stop</v>
      </c>
      <c r="D871" s="4" t="s">
        <v>1377</v>
      </c>
      <c r="E871" s="4">
        <v>9657950.0</v>
      </c>
      <c r="F871" s="4">
        <v>20.0</v>
      </c>
      <c r="G871" s="4" t="s">
        <v>1378</v>
      </c>
    </row>
    <row r="872">
      <c r="A872" s="1">
        <v>870.0</v>
      </c>
      <c r="B872" s="4" t="s">
        <v>1352</v>
      </c>
      <c r="C872" s="4" t="str">
        <f>IFERROR(__xludf.DUMMYFUNCTION("GOOGLETRANSLATE(D:D,""auto"",""en"")"),"February overseas Chinese citizens passport Global Office")</f>
        <v>February overseas Chinese citizens passport Global Office</v>
      </c>
      <c r="D872" s="4" t="s">
        <v>1379</v>
      </c>
      <c r="E872" s="4">
        <v>9519093.0</v>
      </c>
      <c r="F872" s="4">
        <v>21.0</v>
      </c>
      <c r="G872" s="4" t="s">
        <v>1380</v>
      </c>
    </row>
    <row r="873">
      <c r="A873" s="1">
        <v>871.0</v>
      </c>
      <c r="B873" s="4" t="s">
        <v>1352</v>
      </c>
      <c r="C873" s="4" t="str">
        <f>IFERROR(__xludf.DUMMYFUNCTION("GOOGLETRANSLATE(D:D,""auto"",""en"")"),"Yiyangqianxi Huang Zaitao blood counterparts")</f>
        <v>Yiyangqianxi Huang Zaitao blood counterparts</v>
      </c>
      <c r="D873" s="4" t="s">
        <v>1381</v>
      </c>
      <c r="E873" s="4">
        <v>9273087.0</v>
      </c>
      <c r="F873" s="4">
        <v>22.0</v>
      </c>
      <c r="G873" s="4" t="s">
        <v>1382</v>
      </c>
    </row>
    <row r="874">
      <c r="A874" s="1">
        <v>872.0</v>
      </c>
      <c r="B874" s="4" t="s">
        <v>1352</v>
      </c>
      <c r="C874" s="4" t="str">
        <f>IFERROR(__xludf.DUMMYFUNCTION("GOOGLETRANSLATE(D:D,""auto"",""en"")"),"Li Chen Linong now notice the history of the cheapest")</f>
        <v>Li Chen Linong now notice the history of the cheapest</v>
      </c>
      <c r="D874" s="4" t="s">
        <v>1324</v>
      </c>
      <c r="E874" s="4">
        <v>9220923.0</v>
      </c>
      <c r="F874" s="4">
        <v>23.0</v>
      </c>
      <c r="G874" s="4" t="s">
        <v>1325</v>
      </c>
    </row>
    <row r="875">
      <c r="A875" s="1">
        <v>873.0</v>
      </c>
      <c r="B875" s="4" t="s">
        <v>1352</v>
      </c>
      <c r="C875" s="4" t="str">
        <f>IFERROR(__xludf.DUMMYFUNCTION("GOOGLETRANSLATE(D:D,""auto"",""en"")"),"18-year-old firefighter and mother embracing station End Gang")</f>
        <v>18-year-old firefighter and mother embracing station End Gang</v>
      </c>
      <c r="D875" s="4" t="s">
        <v>1383</v>
      </c>
      <c r="E875" s="4">
        <v>9039230.0</v>
      </c>
      <c r="F875" s="4">
        <v>24.0</v>
      </c>
      <c r="G875" s="4" t="s">
        <v>1384</v>
      </c>
    </row>
    <row r="876">
      <c r="A876" s="1">
        <v>874.0</v>
      </c>
      <c r="B876" s="4" t="s">
        <v>1352</v>
      </c>
      <c r="C876" s="4" t="str">
        <f>IFERROR(__xludf.DUMMYFUNCTION("GOOGLETRANSLATE(D:D,""auto"",""en"")"),"Wu Yifan good pet Zhao Jinmailang")</f>
        <v>Wu Yifan good pet Zhao Jinmailang</v>
      </c>
      <c r="D876" s="4" t="s">
        <v>1385</v>
      </c>
      <c r="E876" s="4">
        <v>8816294.0</v>
      </c>
      <c r="F876" s="4">
        <v>25.0</v>
      </c>
      <c r="G876" s="4" t="s">
        <v>1386</v>
      </c>
    </row>
    <row r="877">
      <c r="A877" s="1">
        <v>875.0</v>
      </c>
      <c r="B877" s="4" t="s">
        <v>1352</v>
      </c>
      <c r="C877" s="4" t="str">
        <f>IFERROR(__xludf.DUMMYFUNCTION("GOOGLETRANSLATE(D:D,""auto"",""en"")"),"Lou Yi Xiao dance reproduction tired word")</f>
        <v>Lou Yi Xiao dance reproduction tired word</v>
      </c>
      <c r="D877" s="4" t="s">
        <v>1308</v>
      </c>
      <c r="E877" s="4">
        <v>8646813.0</v>
      </c>
      <c r="F877" s="4">
        <v>26.0</v>
      </c>
      <c r="G877" s="4" t="s">
        <v>1309</v>
      </c>
    </row>
    <row r="878">
      <c r="A878" s="1">
        <v>876.0</v>
      </c>
      <c r="B878" s="4" t="s">
        <v>1352</v>
      </c>
      <c r="C878" s="4" t="str">
        <f>IFERROR(__xludf.DUMMYFUNCTION("GOOGLETRANSLATE(D:D,""auto"",""en"")"),"Luo respond fight vibrato love dou list")</f>
        <v>Luo respond fight vibrato love dou list</v>
      </c>
      <c r="D878" s="4" t="s">
        <v>1282</v>
      </c>
      <c r="E878" s="4">
        <v>8630715.0</v>
      </c>
      <c r="F878" s="4">
        <v>27.0</v>
      </c>
      <c r="G878" s="4" t="s">
        <v>1283</v>
      </c>
    </row>
    <row r="879">
      <c r="A879" s="1">
        <v>877.0</v>
      </c>
      <c r="B879" s="4" t="s">
        <v>1352</v>
      </c>
      <c r="C879" s="4" t="str">
        <f>IFERROR(__xludf.DUMMYFUNCTION("GOOGLETRANSLATE(D:D,""auto"",""en"")"),"Zhang Chao sudden high blood pressure in hospital")</f>
        <v>Zhang Chao sudden high blood pressure in hospital</v>
      </c>
      <c r="D879" s="4" t="s">
        <v>1270</v>
      </c>
      <c r="E879" s="4">
        <v>8629148.0</v>
      </c>
      <c r="F879" s="4">
        <v>28.0</v>
      </c>
      <c r="G879" s="4" t="s">
        <v>1271</v>
      </c>
    </row>
    <row r="880">
      <c r="A880" s="1">
        <v>878.0</v>
      </c>
      <c r="B880" s="4" t="s">
        <v>1352</v>
      </c>
      <c r="C880" s="4" t="str">
        <f>IFERROR(__xludf.DUMMYFUNCTION("GOOGLETRANSLATE(D:D,""auto"",""en"")"),"Godfrey Zhejiang Satellite TV has negotiated compensation")</f>
        <v>Godfrey Zhejiang Satellite TV has negotiated compensation</v>
      </c>
      <c r="D880" s="4" t="s">
        <v>1387</v>
      </c>
      <c r="E880" s="4">
        <v>8595973.0</v>
      </c>
      <c r="F880" s="4">
        <v>29.0</v>
      </c>
      <c r="G880" s="4" t="s">
        <v>1388</v>
      </c>
    </row>
    <row r="881">
      <c r="A881" s="1">
        <v>879.0</v>
      </c>
      <c r="B881" s="4" t="s">
        <v>1352</v>
      </c>
      <c r="C881" s="4" t="str">
        <f>IFERROR(__xludf.DUMMYFUNCTION("GOOGLETRANSLATE(D:D,""auto"",""en"")"),"Koala million people signed up to move into New Zealand")</f>
        <v>Koala million people signed up to move into New Zealand</v>
      </c>
      <c r="D881" s="4" t="s">
        <v>1389</v>
      </c>
      <c r="E881" s="4">
        <v>8454021.0</v>
      </c>
      <c r="F881" s="4">
        <v>30.0</v>
      </c>
      <c r="G881" s="4" t="s">
        <v>1390</v>
      </c>
    </row>
    <row r="882">
      <c r="A882" s="1">
        <v>880.0</v>
      </c>
      <c r="B882" s="4" t="s">
        <v>1352</v>
      </c>
      <c r="C882" s="4" t="str">
        <f>IFERROR(__xludf.DUMMYFUNCTION("GOOGLETRANSLATE(D:D,""auto"",""en"")"),"Comfort teach strong selfie")</f>
        <v>Comfort teach strong selfie</v>
      </c>
      <c r="D882" s="4" t="s">
        <v>1391</v>
      </c>
      <c r="E882" s="4">
        <v>8358614.0</v>
      </c>
      <c r="F882" s="4">
        <v>31.0</v>
      </c>
      <c r="G882" s="4" t="s">
        <v>1392</v>
      </c>
    </row>
    <row r="883">
      <c r="A883" s="1">
        <v>881.0</v>
      </c>
      <c r="B883" s="4" t="s">
        <v>1352</v>
      </c>
      <c r="C883" s="4" t="str">
        <f>IFERROR(__xludf.DUMMYFUNCTION("GOOGLETRANSLATE(D:D,""auto"",""en"")"),"Maserati driver drunk driving trial crying")</f>
        <v>Maserati driver drunk driving trial crying</v>
      </c>
      <c r="D883" s="4" t="s">
        <v>1393</v>
      </c>
      <c r="E883" s="4">
        <v>8313477.0</v>
      </c>
      <c r="F883" s="4">
        <v>32.0</v>
      </c>
      <c r="G883" s="4" t="s">
        <v>1394</v>
      </c>
    </row>
    <row r="884">
      <c r="A884" s="1">
        <v>882.0</v>
      </c>
      <c r="B884" s="4" t="s">
        <v>1352</v>
      </c>
      <c r="C884" s="4" t="str">
        <f>IFERROR(__xludf.DUMMYFUNCTION("GOOGLETRANSLATE(D:D,""auto"",""en"")"),"Angelababy 车 技")</f>
        <v>Angelababy 车 技</v>
      </c>
      <c r="D884" s="4" t="s">
        <v>1395</v>
      </c>
      <c r="E884" s="4">
        <v>8185031.0</v>
      </c>
      <c r="F884" s="4">
        <v>33.0</v>
      </c>
      <c r="G884" s="4" t="s">
        <v>1396</v>
      </c>
    </row>
    <row r="885">
      <c r="A885" s="1">
        <v>883.0</v>
      </c>
      <c r="B885" s="4" t="s">
        <v>1352</v>
      </c>
      <c r="C885" s="4" t="str">
        <f>IFERROR(__xludf.DUMMYFUNCTION("GOOGLETRANSLATE(D:D,""auto"",""en"")"),"China and Armenia comprehensive visa")</f>
        <v>China and Armenia comprehensive visa</v>
      </c>
      <c r="D885" s="4" t="s">
        <v>1397</v>
      </c>
      <c r="E885" s="4">
        <v>8120729.0</v>
      </c>
      <c r="F885" s="4">
        <v>34.0</v>
      </c>
      <c r="G885" s="4" t="s">
        <v>1398</v>
      </c>
    </row>
    <row r="886">
      <c r="A886" s="1">
        <v>884.0</v>
      </c>
      <c r="B886" s="4" t="s">
        <v>1352</v>
      </c>
      <c r="C886" s="4" t="str">
        <f>IFERROR(__xludf.DUMMYFUNCTION("GOOGLETRANSLATE(D:D,""auto"",""en"")"),"Garrison Officers rotation departures")</f>
        <v>Garrison Officers rotation departures</v>
      </c>
      <c r="D886" s="4" t="s">
        <v>1399</v>
      </c>
      <c r="E886" s="4">
        <v>7976331.0</v>
      </c>
      <c r="F886" s="4">
        <v>35.0</v>
      </c>
      <c r="G886" s="4" t="s">
        <v>1400</v>
      </c>
    </row>
    <row r="887">
      <c r="A887" s="1">
        <v>885.0</v>
      </c>
      <c r="B887" s="4" t="s">
        <v>1352</v>
      </c>
      <c r="C887" s="4" t="str">
        <f>IFERROR(__xludf.DUMMYFUNCTION("GOOGLETRANSLATE(D:D,""auto"",""en"")"),"Lucky grow up")</f>
        <v>Lucky grow up</v>
      </c>
      <c r="D887" s="4" t="s">
        <v>1300</v>
      </c>
      <c r="E887" s="4">
        <v>7950448.0</v>
      </c>
      <c r="F887" s="4">
        <v>36.0</v>
      </c>
      <c r="G887" s="4" t="s">
        <v>1301</v>
      </c>
    </row>
    <row r="888">
      <c r="A888" s="1">
        <v>886.0</v>
      </c>
      <c r="B888" s="4" t="s">
        <v>1352</v>
      </c>
      <c r="C888" s="4" t="str">
        <f>IFERROR(__xludf.DUMMYFUNCTION("GOOGLETRANSLATE(D:D,""auto"",""en"")"),"JJ reverse punch fans")</f>
        <v>JJ reverse punch fans</v>
      </c>
      <c r="D888" s="4" t="s">
        <v>1288</v>
      </c>
      <c r="E888" s="4">
        <v>7881828.0</v>
      </c>
      <c r="F888" s="4">
        <v>37.0</v>
      </c>
      <c r="G888" s="4" t="s">
        <v>1289</v>
      </c>
    </row>
    <row r="889">
      <c r="A889" s="1">
        <v>887.0</v>
      </c>
      <c r="B889" s="4" t="s">
        <v>1352</v>
      </c>
      <c r="C889" s="4" t="str">
        <f>IFERROR(__xludf.DUMMYFUNCTION("GOOGLETRANSLATE(D:D,""auto"",""en"")"),"Morant empty dunks")</f>
        <v>Morant empty dunks</v>
      </c>
      <c r="D889" s="4" t="s">
        <v>1401</v>
      </c>
      <c r="E889" s="4">
        <v>7767536.0</v>
      </c>
      <c r="F889" s="4">
        <v>38.0</v>
      </c>
      <c r="G889" s="4" t="s">
        <v>1402</v>
      </c>
    </row>
    <row r="890">
      <c r="A890" s="1">
        <v>888.0</v>
      </c>
      <c r="B890" s="4" t="s">
        <v>1352</v>
      </c>
      <c r="C890" s="4" t="str">
        <f>IFERROR(__xludf.DUMMYFUNCTION("GOOGLETRANSLATE(D:D,""auto"",""en"")"),"William Chan secretly and say hello to Li Guang Jie")</f>
        <v>William Chan secretly and say hello to Li Guang Jie</v>
      </c>
      <c r="D890" s="4" t="s">
        <v>1403</v>
      </c>
      <c r="E890" s="4">
        <v>7751187.0</v>
      </c>
      <c r="F890" s="4">
        <v>39.0</v>
      </c>
      <c r="G890" s="4" t="s">
        <v>1404</v>
      </c>
    </row>
    <row r="891">
      <c r="A891" s="1">
        <v>889.0</v>
      </c>
      <c r="B891" s="4" t="s">
        <v>1352</v>
      </c>
      <c r="C891" s="4" t="str">
        <f>IFERROR(__xludf.DUMMYFUNCTION("GOOGLETRANSLATE(D:D,""auto"",""en"")"),"Guizhou Fuquan a chemical plant deflagration")</f>
        <v>Guizhou Fuquan a chemical plant deflagration</v>
      </c>
      <c r="D891" s="4" t="s">
        <v>1405</v>
      </c>
      <c r="E891" s="4">
        <v>7588437.0</v>
      </c>
      <c r="F891" s="4">
        <v>40.0</v>
      </c>
      <c r="G891" s="4" t="s">
        <v>1406</v>
      </c>
    </row>
    <row r="892">
      <c r="A892" s="1">
        <v>890.0</v>
      </c>
      <c r="B892" s="4" t="s">
        <v>1352</v>
      </c>
      <c r="C892" s="4" t="str">
        <f>IFERROR(__xludf.DUMMYFUNCTION("GOOGLETRANSLATE(D:D,""auto"",""en"")"),"Eddie Oh Se-hoon in frame")</f>
        <v>Eddie Oh Se-hoon in frame</v>
      </c>
      <c r="D892" s="4" t="s">
        <v>1407</v>
      </c>
      <c r="E892" s="4">
        <v>7418240.0</v>
      </c>
      <c r="F892" s="4">
        <v>41.0</v>
      </c>
      <c r="G892" s="4" t="s">
        <v>1408</v>
      </c>
    </row>
    <row r="893">
      <c r="A893" s="1">
        <v>891.0</v>
      </c>
      <c r="B893" s="4" t="s">
        <v>1352</v>
      </c>
      <c r="C893" s="4" t="str">
        <f>IFERROR(__xludf.DUMMYFUNCTION("GOOGLETRANSLATE(D:D,""auto"",""en"")"),"Jay Happy Birthday")</f>
        <v>Jay Happy Birthday</v>
      </c>
      <c r="D893" s="4" t="s">
        <v>1409</v>
      </c>
      <c r="E893" s="4">
        <v>7409171.0</v>
      </c>
      <c r="F893" s="4">
        <v>42.0</v>
      </c>
      <c r="G893" s="4" t="s">
        <v>1410</v>
      </c>
    </row>
    <row r="894">
      <c r="A894" s="1">
        <v>892.0</v>
      </c>
      <c r="B894" s="4" t="s">
        <v>1352</v>
      </c>
      <c r="C894" s="4" t="str">
        <f>IFERROR(__xludf.DUMMYFUNCTION("GOOGLETRANSLATE(D:D,""auto"",""en"")"),"Tibet Blizzard")</f>
        <v>Tibet Blizzard</v>
      </c>
      <c r="D894" s="4" t="s">
        <v>1411</v>
      </c>
      <c r="E894" s="4">
        <v>7301791.0</v>
      </c>
      <c r="F894" s="4">
        <v>43.0</v>
      </c>
      <c r="G894" s="4" t="s">
        <v>1412</v>
      </c>
    </row>
    <row r="895">
      <c r="A895" s="1">
        <v>893.0</v>
      </c>
      <c r="B895" s="4" t="s">
        <v>1352</v>
      </c>
      <c r="C895" s="4" t="str">
        <f>IFERROR(__xludf.DUMMYFUNCTION("GOOGLETRANSLATE(D:D,""auto"",""en"")"),"Ministry of Foreign Affairs to respond to US warships through the Strait of Taiwan Airlines")</f>
        <v>Ministry of Foreign Affairs to respond to US warships through the Strait of Taiwan Airlines</v>
      </c>
      <c r="D895" s="4" t="s">
        <v>1413</v>
      </c>
      <c r="E895" s="4">
        <v>7275537.0</v>
      </c>
      <c r="F895" s="4">
        <v>44.0</v>
      </c>
      <c r="G895" s="4" t="s">
        <v>1414</v>
      </c>
    </row>
    <row r="896">
      <c r="A896" s="1">
        <v>894.0</v>
      </c>
      <c r="B896" s="4" t="s">
        <v>1352</v>
      </c>
      <c r="C896" s="4" t="str">
        <f>IFERROR(__xludf.DUMMYFUNCTION("GOOGLETRANSLATE(D:D,""auto"",""en"")"),"Julian Cheung Anita gave the play a small role in the positive")</f>
        <v>Julian Cheung Anita gave the play a small role in the positive</v>
      </c>
      <c r="D896" s="4" t="s">
        <v>1415</v>
      </c>
      <c r="E896" s="4">
        <v>7275260.0</v>
      </c>
      <c r="F896" s="4">
        <v>45.0</v>
      </c>
      <c r="G896" s="4" t="s">
        <v>1416</v>
      </c>
    </row>
    <row r="897">
      <c r="A897" s="1">
        <v>895.0</v>
      </c>
      <c r="B897" s="4" t="s">
        <v>1352</v>
      </c>
      <c r="C897" s="4" t="str">
        <f>IFERROR(__xludf.DUMMYFUNCTION("GOOGLETRANSLATE(D:D,""auto"",""en"")"),"Zhejiang Provincial Education Minister tortured soul")</f>
        <v>Zhejiang Provincial Education Minister tortured soul</v>
      </c>
      <c r="D897" s="4" t="s">
        <v>1417</v>
      </c>
      <c r="E897" s="4">
        <v>7049992.0</v>
      </c>
      <c r="F897" s="4">
        <v>46.0</v>
      </c>
      <c r="G897" s="4" t="s">
        <v>1418</v>
      </c>
    </row>
    <row r="898">
      <c r="A898" s="1">
        <v>896.0</v>
      </c>
      <c r="B898" s="4" t="s">
        <v>1352</v>
      </c>
      <c r="C898" s="4" t="str">
        <f>IFERROR(__xludf.DUMMYFUNCTION("GOOGLETRANSLATE(D:D,""auto"",""en"")"),"Summon 肖战")</f>
        <v>Summon 肖战</v>
      </c>
      <c r="D898" s="4" t="s">
        <v>1419</v>
      </c>
      <c r="E898" s="4">
        <v>7046507.0</v>
      </c>
      <c r="F898" s="4">
        <v>47.0</v>
      </c>
      <c r="G898" s="4" t="s">
        <v>1420</v>
      </c>
    </row>
    <row r="899">
      <c r="A899" s="1">
        <v>897.0</v>
      </c>
      <c r="B899" s="4" t="s">
        <v>1352</v>
      </c>
      <c r="C899" s="4" t="str">
        <f>IFERROR(__xludf.DUMMYFUNCTION("GOOGLETRANSLATE(D:D,""auto"",""en"")"),"China will collect a fortune in money")</f>
        <v>China will collect a fortune in money</v>
      </c>
      <c r="D899" s="4" t="s">
        <v>1276</v>
      </c>
      <c r="E899" s="4">
        <v>7015972.0</v>
      </c>
      <c r="F899" s="4">
        <v>48.0</v>
      </c>
      <c r="G899" s="4" t="s">
        <v>1277</v>
      </c>
    </row>
    <row r="900">
      <c r="A900" s="1">
        <v>898.0</v>
      </c>
      <c r="B900" s="4" t="s">
        <v>1352</v>
      </c>
      <c r="C900" s="4" t="str">
        <f>IFERROR(__xludf.DUMMYFUNCTION("GOOGLETRANSLATE(D:D,""auto"",""en"")"),"Wang Junkai New Year back home")</f>
        <v>Wang Junkai New Year back home</v>
      </c>
      <c r="D900" s="4" t="s">
        <v>1421</v>
      </c>
      <c r="E900" s="4">
        <v>6979623.0</v>
      </c>
      <c r="F900" s="4">
        <v>49.0</v>
      </c>
      <c r="G900" s="4" t="s">
        <v>1422</v>
      </c>
    </row>
    <row r="901">
      <c r="A901" s="1">
        <v>899.0</v>
      </c>
      <c r="B901" s="4" t="s">
        <v>1352</v>
      </c>
      <c r="C901" s="4" t="str">
        <f>IFERROR(__xludf.DUMMYFUNCTION("GOOGLETRANSLATE(D:D,""auto"",""en"")"),"R1SE earthy disco")</f>
        <v>R1SE earthy disco</v>
      </c>
      <c r="D901" s="4" t="s">
        <v>1280</v>
      </c>
      <c r="E901" s="4">
        <v>6956094.0</v>
      </c>
      <c r="F901" s="4">
        <v>50.0</v>
      </c>
      <c r="G901" s="4" t="s">
        <v>1281</v>
      </c>
    </row>
    <row r="902">
      <c r="A902" s="1">
        <v>900.0</v>
      </c>
      <c r="B902" s="4" t="s">
        <v>1423</v>
      </c>
      <c r="C902" s="4" t="str">
        <f>IFERROR(__xludf.DUMMYFUNCTION("GOOGLETRANSLATE(D:D,""auto"",""en"")"),"Guoyanguoyu")</f>
        <v>Guoyanguoyu</v>
      </c>
      <c r="D902" s="4" t="s">
        <v>1424</v>
      </c>
      <c r="E902" s="4">
        <v>1.2138931E7</v>
      </c>
      <c r="F902" s="4">
        <v>1.0</v>
      </c>
      <c r="G902" s="4" t="s">
        <v>1425</v>
      </c>
    </row>
    <row r="903">
      <c r="A903" s="1">
        <v>901.0</v>
      </c>
      <c r="B903" s="4" t="s">
        <v>1423</v>
      </c>
      <c r="C903" s="4" t="str">
        <f>IFERROR(__xludf.DUMMYFUNCTION("GOOGLETRANSLATE(D:D,""auto"",""en"")"),"ZICO AnySong dance")</f>
        <v>ZICO AnySong dance</v>
      </c>
      <c r="D903" s="4" t="s">
        <v>1426</v>
      </c>
      <c r="E903" s="4">
        <v>1.1650284E7</v>
      </c>
      <c r="F903" s="4">
        <v>2.0</v>
      </c>
      <c r="G903" s="4" t="s">
        <v>1427</v>
      </c>
    </row>
    <row r="904">
      <c r="A904" s="1">
        <v>902.0</v>
      </c>
      <c r="B904" s="4" t="s">
        <v>1423</v>
      </c>
      <c r="C904" s="4" t="str">
        <f>IFERROR(__xludf.DUMMYFUNCTION("GOOGLETRANSLATE(D:D,""auto"",""en"")"),"Wang Junkai drive yourself to participate in the show Townhouse")</f>
        <v>Wang Junkai drive yourself to participate in the show Townhouse</v>
      </c>
      <c r="D904" s="4" t="s">
        <v>1428</v>
      </c>
      <c r="E904" s="4">
        <v>1.1320581E7</v>
      </c>
      <c r="F904" s="4">
        <v>3.0</v>
      </c>
      <c r="G904" s="4" t="s">
        <v>1429</v>
      </c>
    </row>
    <row r="905">
      <c r="A905" s="1">
        <v>903.0</v>
      </c>
      <c r="B905" s="4" t="s">
        <v>1423</v>
      </c>
      <c r="C905" s="4" t="str">
        <f>IFERROR(__xludf.DUMMYFUNCTION("GOOGLETRANSLATE(D:D,""auto"",""en"")"),"Tibet Blizzard")</f>
        <v>Tibet Blizzard</v>
      </c>
      <c r="D905" s="4" t="s">
        <v>1411</v>
      </c>
      <c r="E905" s="4">
        <v>1.1094311E7</v>
      </c>
      <c r="F905" s="4">
        <v>4.0</v>
      </c>
      <c r="G905" s="4" t="s">
        <v>1412</v>
      </c>
    </row>
    <row r="906">
      <c r="A906" s="1">
        <v>904.0</v>
      </c>
      <c r="B906" s="4" t="s">
        <v>1423</v>
      </c>
      <c r="C906" s="4" t="str">
        <f>IFERROR(__xludf.DUMMYFUNCTION("GOOGLETRANSLATE(D:D,""auto"",""en"")"),"Koala million people signed up to move into New Zealand")</f>
        <v>Koala million people signed up to move into New Zealand</v>
      </c>
      <c r="D906" s="4" t="s">
        <v>1389</v>
      </c>
      <c r="E906" s="4">
        <v>1.0797884E7</v>
      </c>
      <c r="F906" s="4">
        <v>5.0</v>
      </c>
      <c r="G906" s="4" t="s">
        <v>1390</v>
      </c>
    </row>
    <row r="907">
      <c r="A907" s="1">
        <v>905.0</v>
      </c>
      <c r="B907" s="4" t="s">
        <v>1423</v>
      </c>
      <c r="C907" s="4" t="str">
        <f>IFERROR(__xludf.DUMMYFUNCTION("GOOGLETRANSLATE(D:D,""auto"",""en"")"),"Chen Qian Cherry jump 11 Dance")</f>
        <v>Chen Qian Cherry jump 11 Dance</v>
      </c>
      <c r="D907" s="4" t="s">
        <v>1353</v>
      </c>
      <c r="E907" s="4">
        <v>1.0560223E7</v>
      </c>
      <c r="F907" s="4">
        <v>6.0</v>
      </c>
      <c r="G907" s="4" t="s">
        <v>1354</v>
      </c>
    </row>
    <row r="908">
      <c r="A908" s="1">
        <v>906.0</v>
      </c>
      <c r="B908" s="4" t="s">
        <v>1423</v>
      </c>
      <c r="C908" s="4" t="str">
        <f>IFERROR(__xludf.DUMMYFUNCTION("GOOGLETRANSLATE(D:D,""auto"",""en"")"),"Xiaozhan mindful quit staying up late")</f>
        <v>Xiaozhan mindful quit staying up late</v>
      </c>
      <c r="D908" s="4" t="s">
        <v>1430</v>
      </c>
      <c r="E908" s="4">
        <v>1.0272907E7</v>
      </c>
      <c r="F908" s="4">
        <v>7.0</v>
      </c>
      <c r="G908" s="4" t="s">
        <v>1431</v>
      </c>
    </row>
    <row r="909">
      <c r="A909" s="1">
        <v>907.0</v>
      </c>
      <c r="B909" s="4" t="s">
        <v>1423</v>
      </c>
      <c r="C909" s="4" t="str">
        <f>IFERROR(__xludf.DUMMYFUNCTION("GOOGLETRANSLATE(D:D,""auto"",""en"")"),"Last Dance top")</f>
        <v>Last Dance top</v>
      </c>
      <c r="D909" s="4" t="s">
        <v>1432</v>
      </c>
      <c r="E909" s="4">
        <v>1.0215067E7</v>
      </c>
      <c r="F909" s="4">
        <v>8.0</v>
      </c>
      <c r="G909" s="4" t="s">
        <v>1433</v>
      </c>
    </row>
    <row r="910">
      <c r="A910" s="1">
        <v>908.0</v>
      </c>
      <c r="B910" s="4" t="s">
        <v>1423</v>
      </c>
      <c r="C910" s="4" t="str">
        <f>IFERROR(__xludf.DUMMYFUNCTION("GOOGLETRANSLATE(D:D,""auto"",""en"")"),"Xinzhi Lei Yin Song prototype female captain")</f>
        <v>Xinzhi Lei Yin Song prototype female captain</v>
      </c>
      <c r="D910" s="4" t="s">
        <v>1434</v>
      </c>
      <c r="E910" s="4">
        <v>1.0169073E7</v>
      </c>
      <c r="F910" s="4">
        <v>9.0</v>
      </c>
      <c r="G910" s="4" t="s">
        <v>1435</v>
      </c>
    </row>
    <row r="911">
      <c r="A911" s="1">
        <v>909.0</v>
      </c>
      <c r="B911" s="4" t="s">
        <v>1423</v>
      </c>
      <c r="C911" s="4" t="str">
        <f>IFERROR(__xludf.DUMMYFUNCTION("GOOGLETRANSLATE(D:D,""auto"",""en"")"),"Cai Xu Kun rebirth")</f>
        <v>Cai Xu Kun rebirth</v>
      </c>
      <c r="D911" s="4" t="s">
        <v>1436</v>
      </c>
      <c r="E911" s="4">
        <v>9998178.0</v>
      </c>
      <c r="F911" s="4">
        <v>10.0</v>
      </c>
      <c r="G911" s="4" t="s">
        <v>1437</v>
      </c>
    </row>
    <row r="912">
      <c r="A912" s="1">
        <v>910.0</v>
      </c>
      <c r="B912" s="4" t="s">
        <v>1423</v>
      </c>
      <c r="C912" s="4" t="str">
        <f>IFERROR(__xludf.DUMMYFUNCTION("GOOGLETRANSLATE(D:D,""auto"",""en"")"),"If I have any door")</f>
        <v>If I have any door</v>
      </c>
      <c r="D912" s="4" t="s">
        <v>1438</v>
      </c>
      <c r="E912" s="4">
        <v>9871818.0</v>
      </c>
      <c r="F912" s="4">
        <v>11.0</v>
      </c>
      <c r="G912" s="4" t="s">
        <v>1439</v>
      </c>
    </row>
    <row r="913">
      <c r="A913" s="1">
        <v>911.0</v>
      </c>
      <c r="B913" s="4" t="s">
        <v>1423</v>
      </c>
      <c r="C913" s="4" t="str">
        <f>IFERROR(__xludf.DUMMYFUNCTION("GOOGLETRANSLATE(D:D,""auto"",""en"")"),"Shannon had a home in")</f>
        <v>Shannon had a home in</v>
      </c>
      <c r="D913" s="4" t="s">
        <v>1440</v>
      </c>
      <c r="E913" s="4">
        <v>9808638.0</v>
      </c>
      <c r="F913" s="4">
        <v>12.0</v>
      </c>
      <c r="G913" s="4" t="s">
        <v>1441</v>
      </c>
    </row>
    <row r="914">
      <c r="A914" s="1">
        <v>912.0</v>
      </c>
      <c r="B914" s="4" t="s">
        <v>1423</v>
      </c>
      <c r="C914" s="4" t="str">
        <f>IFERROR(__xludf.DUMMYFUNCTION("GOOGLETRANSLATE(D:D,""auto"",""en"")"),"Jay Happy Birthday")</f>
        <v>Jay Happy Birthday</v>
      </c>
      <c r="D914" s="4" t="s">
        <v>1409</v>
      </c>
      <c r="E914" s="4">
        <v>9549199.0</v>
      </c>
      <c r="F914" s="4">
        <v>13.0</v>
      </c>
      <c r="G914" s="4" t="s">
        <v>1410</v>
      </c>
    </row>
    <row r="915">
      <c r="A915" s="1">
        <v>913.0</v>
      </c>
      <c r="B915" s="4" t="s">
        <v>1423</v>
      </c>
      <c r="C915" s="4" t="str">
        <f>IFERROR(__xludf.DUMMYFUNCTION("GOOGLETRANSLATE(D:D,""auto"",""en"")"),"Wu Yifan good pet Zhao Jinmailang")</f>
        <v>Wu Yifan good pet Zhao Jinmailang</v>
      </c>
      <c r="D915" s="4" t="s">
        <v>1385</v>
      </c>
      <c r="E915" s="4">
        <v>9469287.0</v>
      </c>
      <c r="F915" s="4">
        <v>14.0</v>
      </c>
      <c r="G915" s="4" t="s">
        <v>1386</v>
      </c>
    </row>
    <row r="916">
      <c r="A916" s="1">
        <v>914.0</v>
      </c>
      <c r="B916" s="4" t="s">
        <v>1423</v>
      </c>
      <c r="C916" s="4" t="str">
        <f>IFERROR(__xludf.DUMMYFUNCTION("GOOGLETRANSLATE(D:D,""auto"",""en"")"),"Cai Xu Kun is trying to gain weight in")</f>
        <v>Cai Xu Kun is trying to gain weight in</v>
      </c>
      <c r="D916" s="4" t="s">
        <v>1442</v>
      </c>
      <c r="E916" s="4">
        <v>9458796.0</v>
      </c>
      <c r="F916" s="4">
        <v>15.0</v>
      </c>
      <c r="G916" s="4" t="s">
        <v>1443</v>
      </c>
    </row>
    <row r="917">
      <c r="A917" s="1">
        <v>915.0</v>
      </c>
      <c r="B917" s="4" t="s">
        <v>1423</v>
      </c>
      <c r="C917" s="4" t="str">
        <f>IFERROR(__xludf.DUMMYFUNCTION("GOOGLETRANSLATE(D:D,""auto"",""en"")"),"Godfrey embarrassing Mom and Dad to see the premiere")</f>
        <v>Godfrey embarrassing Mom and Dad to see the premiere</v>
      </c>
      <c r="D917" s="4" t="s">
        <v>1444</v>
      </c>
      <c r="E917" s="4">
        <v>9383761.0</v>
      </c>
      <c r="F917" s="4">
        <v>16.0</v>
      </c>
      <c r="G917" s="4" t="s">
        <v>1445</v>
      </c>
    </row>
    <row r="918">
      <c r="A918" s="1">
        <v>916.0</v>
      </c>
      <c r="B918" s="4" t="s">
        <v>1423</v>
      </c>
      <c r="C918" s="4" t="str">
        <f>IFERROR(__xludf.DUMMYFUNCTION("GOOGLETRANSLATE(D:D,""auto"",""en"")"),"Wang Yibo ran with the staff clap")</f>
        <v>Wang Yibo ran with the staff clap</v>
      </c>
      <c r="D918" s="4" t="s">
        <v>1446</v>
      </c>
      <c r="E918" s="4">
        <v>9378595.0</v>
      </c>
      <c r="F918" s="4">
        <v>17.0</v>
      </c>
      <c r="G918" s="4" t="s">
        <v>1447</v>
      </c>
    </row>
    <row r="919">
      <c r="A919" s="1">
        <v>917.0</v>
      </c>
      <c r="B919" s="4" t="s">
        <v>1423</v>
      </c>
      <c r="C919" s="4" t="str">
        <f>IFERROR(__xludf.DUMMYFUNCTION("GOOGLETRANSLATE(D:D,""auto"",""en"")"),"Wendy Zhang Yi test results")</f>
        <v>Wendy Zhang Yi test results</v>
      </c>
      <c r="D919" s="4" t="s">
        <v>1369</v>
      </c>
      <c r="E919" s="4">
        <v>9206731.0</v>
      </c>
      <c r="F919" s="4">
        <v>18.0</v>
      </c>
      <c r="G919" s="4" t="s">
        <v>1370</v>
      </c>
    </row>
    <row r="920">
      <c r="A920" s="1">
        <v>918.0</v>
      </c>
      <c r="B920" s="4" t="s">
        <v>1423</v>
      </c>
      <c r="C920" s="4" t="str">
        <f>IFERROR(__xludf.DUMMYFUNCTION("GOOGLETRANSLATE(D:D,""auto"",""en"")"),"AnySong dance")</f>
        <v>AnySong dance</v>
      </c>
      <c r="D920" s="4" t="s">
        <v>1448</v>
      </c>
      <c r="E920" s="4">
        <v>9179882.0</v>
      </c>
      <c r="F920" s="4">
        <v>19.0</v>
      </c>
      <c r="G920" s="4" t="s">
        <v>1449</v>
      </c>
    </row>
    <row r="921">
      <c r="A921" s="1">
        <v>919.0</v>
      </c>
      <c r="B921" s="4" t="s">
        <v>1423</v>
      </c>
      <c r="C921" s="4" t="str">
        <f>IFERROR(__xludf.DUMMYFUNCTION("GOOGLETRANSLATE(D:D,""auto"",""en"")"),"Song Qian carrying pots of soup")</f>
        <v>Song Qian carrying pots of soup</v>
      </c>
      <c r="D921" s="4" t="s">
        <v>1450</v>
      </c>
      <c r="E921" s="4">
        <v>8966747.0</v>
      </c>
      <c r="F921" s="4">
        <v>20.0</v>
      </c>
      <c r="G921" s="4" t="s">
        <v>1451</v>
      </c>
    </row>
    <row r="922">
      <c r="A922" s="1">
        <v>920.0</v>
      </c>
      <c r="B922" s="4" t="s">
        <v>1423</v>
      </c>
      <c r="C922" s="4" t="str">
        <f>IFERROR(__xludf.DUMMYFUNCTION("GOOGLETRANSLATE(D:D,""auto"",""en"")"),"Conductor 90 minutes schematic drawing 807 points")</f>
        <v>Conductor 90 minutes schematic drawing 807 points</v>
      </c>
      <c r="D922" s="4" t="s">
        <v>1452</v>
      </c>
      <c r="E922" s="4">
        <v>8841406.0</v>
      </c>
      <c r="F922" s="4">
        <v>21.0</v>
      </c>
      <c r="G922" s="4" t="s">
        <v>1453</v>
      </c>
    </row>
    <row r="923">
      <c r="A923" s="1">
        <v>921.0</v>
      </c>
      <c r="B923" s="4" t="s">
        <v>1423</v>
      </c>
      <c r="C923" s="4" t="str">
        <f>IFERROR(__xludf.DUMMYFUNCTION("GOOGLETRANSLATE(D:D,""auto"",""en"")"),"Yiyangqianxi online broadcast eat")</f>
        <v>Yiyangqianxi online broadcast eat</v>
      </c>
      <c r="D923" s="4" t="s">
        <v>1454</v>
      </c>
      <c r="E923" s="4">
        <v>8785634.0</v>
      </c>
      <c r="F923" s="4">
        <v>22.0</v>
      </c>
      <c r="G923" s="4" t="s">
        <v>1455</v>
      </c>
    </row>
    <row r="924">
      <c r="A924" s="1">
        <v>922.0</v>
      </c>
      <c r="B924" s="4" t="s">
        <v>1423</v>
      </c>
      <c r="C924" s="4" t="str">
        <f>IFERROR(__xludf.DUMMYFUNCTION("GOOGLETRANSLATE(D:D,""auto"",""en"")"),"Shirley family fighting over the estate")</f>
        <v>Shirley family fighting over the estate</v>
      </c>
      <c r="D924" s="4" t="s">
        <v>1456</v>
      </c>
      <c r="E924" s="4">
        <v>8778391.0</v>
      </c>
      <c r="F924" s="4">
        <v>23.0</v>
      </c>
      <c r="G924" s="4" t="s">
        <v>1457</v>
      </c>
    </row>
    <row r="925">
      <c r="A925" s="1">
        <v>923.0</v>
      </c>
      <c r="B925" s="4" t="s">
        <v>1423</v>
      </c>
      <c r="C925" s="4" t="str">
        <f>IFERROR(__xludf.DUMMYFUNCTION("GOOGLETRANSLATE(D:D,""auto"",""en"")"),"TKO cowboy gun mouth 40 seconds")</f>
        <v>TKO cowboy gun mouth 40 seconds</v>
      </c>
      <c r="D925" s="4" t="s">
        <v>1458</v>
      </c>
      <c r="E925" s="4">
        <v>8580655.0</v>
      </c>
      <c r="F925" s="4">
        <v>24.0</v>
      </c>
      <c r="G925" s="4" t="s">
        <v>1459</v>
      </c>
    </row>
    <row r="926">
      <c r="A926" s="1">
        <v>924.0</v>
      </c>
      <c r="B926" s="4" t="s">
        <v>1423</v>
      </c>
      <c r="C926" s="4" t="str">
        <f>IFERROR(__xludf.DUMMYFUNCTION("GOOGLETRANSLATE(D:D,""auto"",""en"")"),"Zhan Qingyun BBking")</f>
        <v>Zhan Qingyun BBking</v>
      </c>
      <c r="D926" s="4" t="s">
        <v>1460</v>
      </c>
      <c r="E926" s="4">
        <v>8566405.0</v>
      </c>
      <c r="F926" s="4">
        <v>25.0</v>
      </c>
      <c r="G926" s="4" t="s">
        <v>1461</v>
      </c>
    </row>
    <row r="927">
      <c r="A927" s="1">
        <v>925.0</v>
      </c>
      <c r="B927" s="4" t="s">
        <v>1423</v>
      </c>
      <c r="C927" s="4" t="str">
        <f>IFERROR(__xludf.DUMMYFUNCTION("GOOGLETRANSLATE(D:D,""auto"",""en"")"),"Zhang Ruoyun get ringtones")</f>
        <v>Zhang Ruoyun get ringtones</v>
      </c>
      <c r="D927" s="4" t="s">
        <v>1462</v>
      </c>
      <c r="E927" s="4">
        <v>8478227.0</v>
      </c>
      <c r="F927" s="4">
        <v>26.0</v>
      </c>
      <c r="G927" s="4" t="s">
        <v>1463</v>
      </c>
    </row>
    <row r="928">
      <c r="A928" s="1">
        <v>926.0</v>
      </c>
      <c r="B928" s="4" t="s">
        <v>1423</v>
      </c>
      <c r="C928" s="4" t="str">
        <f>IFERROR(__xludf.DUMMYFUNCTION("GOOGLETRANSLATE(D:D,""auto"",""en"")"),"Chongqing scenic let bungee pig")</f>
        <v>Chongqing scenic let bungee pig</v>
      </c>
      <c r="D928" s="4" t="s">
        <v>1464</v>
      </c>
      <c r="E928" s="4">
        <v>8440014.0</v>
      </c>
      <c r="F928" s="4">
        <v>27.0</v>
      </c>
      <c r="G928" s="4" t="s">
        <v>1465</v>
      </c>
    </row>
    <row r="929">
      <c r="A929" s="1">
        <v>927.0</v>
      </c>
      <c r="B929" s="4" t="s">
        <v>1423</v>
      </c>
      <c r="C929" s="4" t="str">
        <f>IFERROR(__xludf.DUMMYFUNCTION("GOOGLETRANSLATE(D:D,""auto"",""en"")"),"Fans protest requires Admiralty big retreat team")</f>
        <v>Fans protest requires Admiralty big retreat team</v>
      </c>
      <c r="D929" s="4" t="s">
        <v>1466</v>
      </c>
      <c r="E929" s="4">
        <v>8434236.0</v>
      </c>
      <c r="F929" s="4">
        <v>28.0</v>
      </c>
      <c r="G929" s="4" t="s">
        <v>1467</v>
      </c>
    </row>
    <row r="930">
      <c r="A930" s="1">
        <v>928.0</v>
      </c>
      <c r="B930" s="4" t="s">
        <v>1423</v>
      </c>
      <c r="C930" s="4" t="str">
        <f>IFERROR(__xludf.DUMMYFUNCTION("GOOGLETRANSLATE(D:D,""auto"",""en"")"),"Film Chinese women's volleyball team changed its name to win")</f>
        <v>Film Chinese women's volleyball team changed its name to win</v>
      </c>
      <c r="D930" s="4" t="s">
        <v>1373</v>
      </c>
      <c r="E930" s="4">
        <v>8360725.0</v>
      </c>
      <c r="F930" s="4">
        <v>29.0</v>
      </c>
      <c r="G930" s="4" t="s">
        <v>1374</v>
      </c>
    </row>
    <row r="931">
      <c r="A931" s="1">
        <v>929.0</v>
      </c>
      <c r="B931" s="4" t="s">
        <v>1423</v>
      </c>
      <c r="C931" s="4" t="str">
        <f>IFERROR(__xludf.DUMMYFUNCTION("GOOGLETRANSLATE(D:D,""auto"",""en"")"),"LV president into a new world's richest man")</f>
        <v>LV president into a new world's richest man</v>
      </c>
      <c r="D931" s="4" t="s">
        <v>1468</v>
      </c>
      <c r="E931" s="4">
        <v>8360524.0</v>
      </c>
      <c r="F931" s="4">
        <v>30.0</v>
      </c>
      <c r="G931" s="4" t="s">
        <v>1469</v>
      </c>
    </row>
    <row r="932">
      <c r="A932" s="1">
        <v>930.0</v>
      </c>
      <c r="B932" s="4" t="s">
        <v>1423</v>
      </c>
      <c r="C932" s="4" t="str">
        <f>IFERROR(__xludf.DUMMYFUNCTION("GOOGLETRANSLATE(D:D,""auto"",""en"")"),"Guo Kirin buy a sports car immediately after the injury")</f>
        <v>Guo Kirin buy a sports car immediately after the injury</v>
      </c>
      <c r="D932" s="4" t="s">
        <v>1470</v>
      </c>
      <c r="E932" s="4">
        <v>8346996.0</v>
      </c>
      <c r="F932" s="4">
        <v>31.0</v>
      </c>
      <c r="G932" s="4" t="s">
        <v>1471</v>
      </c>
    </row>
    <row r="933">
      <c r="A933" s="1">
        <v>931.0</v>
      </c>
      <c r="B933" s="4" t="s">
        <v>1423</v>
      </c>
      <c r="C933" s="4" t="str">
        <f>IFERROR(__xludf.DUMMYFUNCTION("GOOGLETRANSLATE(D:D,""auto"",""en"")"),"Fellow accelerator physicist Fang Shouxian death")</f>
        <v>Fellow accelerator physicist Fang Shouxian death</v>
      </c>
      <c r="D933" s="4" t="s">
        <v>1472</v>
      </c>
      <c r="E933" s="4">
        <v>8306887.0</v>
      </c>
      <c r="F933" s="4">
        <v>32.0</v>
      </c>
      <c r="G933" s="4" t="s">
        <v>1473</v>
      </c>
    </row>
    <row r="934">
      <c r="A934" s="1">
        <v>932.0</v>
      </c>
      <c r="B934" s="4" t="s">
        <v>1423</v>
      </c>
      <c r="C934" s="4" t="str">
        <f>IFERROR(__xludf.DUMMYFUNCTION("GOOGLETRANSLATE(D:D,""auto"",""en"")"),"Wang Han Xie Na response, then presided over the looting")</f>
        <v>Wang Han Xie Na response, then presided over the looting</v>
      </c>
      <c r="D934" s="4" t="s">
        <v>1474</v>
      </c>
      <c r="E934" s="4">
        <v>8244162.0</v>
      </c>
      <c r="F934" s="4">
        <v>33.0</v>
      </c>
      <c r="G934" s="4" t="s">
        <v>1475</v>
      </c>
    </row>
    <row r="935">
      <c r="A935" s="1">
        <v>933.0</v>
      </c>
      <c r="B935" s="4" t="s">
        <v>1423</v>
      </c>
      <c r="C935" s="4" t="str">
        <f>IFERROR(__xludf.DUMMYFUNCTION("GOOGLETRANSLATE(D:D,""auto"",""en"")"),"Blizzard Canada")</f>
        <v>Blizzard Canada</v>
      </c>
      <c r="D935" s="4" t="s">
        <v>1476</v>
      </c>
      <c r="E935" s="4">
        <v>8227787.0</v>
      </c>
      <c r="F935" s="4">
        <v>34.0</v>
      </c>
      <c r="G935" s="4" t="s">
        <v>1477</v>
      </c>
    </row>
    <row r="936">
      <c r="A936" s="1">
        <v>934.0</v>
      </c>
      <c r="B936" s="4" t="s">
        <v>1423</v>
      </c>
      <c r="C936" s="4" t="str">
        <f>IFERROR(__xludf.DUMMYFUNCTION("GOOGLETRANSLATE(D:D,""auto"",""en"")"),"A cloud Ga Zheng Yunlong Chorus")</f>
        <v>A cloud Ga Zheng Yunlong Chorus</v>
      </c>
      <c r="D936" s="4" t="s">
        <v>1478</v>
      </c>
      <c r="E936" s="4">
        <v>8155329.0</v>
      </c>
      <c r="F936" s="4">
        <v>35.0</v>
      </c>
      <c r="G936" s="4" t="s">
        <v>1479</v>
      </c>
    </row>
    <row r="937">
      <c r="A937" s="1">
        <v>935.0</v>
      </c>
      <c r="B937" s="4" t="s">
        <v>1423</v>
      </c>
      <c r="C937" s="4" t="str">
        <f>IFERROR(__xludf.DUMMYFUNCTION("GOOGLETRANSLATE(D:D,""auto"",""en"")"),"Abolish career preparation before the end of 2020")</f>
        <v>Abolish career preparation before the end of 2020</v>
      </c>
      <c r="D937" s="4" t="s">
        <v>1480</v>
      </c>
      <c r="E937" s="4">
        <v>8108985.0</v>
      </c>
      <c r="F937" s="4">
        <v>36.0</v>
      </c>
      <c r="G937" s="4" t="s">
        <v>1481</v>
      </c>
    </row>
    <row r="938">
      <c r="A938" s="1">
        <v>936.0</v>
      </c>
      <c r="B938" s="4" t="s">
        <v>1423</v>
      </c>
      <c r="C938" s="4" t="str">
        <f>IFERROR(__xludf.DUMMYFUNCTION("GOOGLETRANSLATE(D:D,""auto"",""en"")"),"Xiaozhan large nursing cubs site")</f>
        <v>Xiaozhan large nursing cubs site</v>
      </c>
      <c r="D938" s="4" t="s">
        <v>1482</v>
      </c>
      <c r="E938" s="4">
        <v>8061026.0</v>
      </c>
      <c r="F938" s="4">
        <v>37.0</v>
      </c>
      <c r="G938" s="4" t="s">
        <v>1483</v>
      </c>
    </row>
    <row r="939">
      <c r="A939" s="1">
        <v>937.0</v>
      </c>
      <c r="B939" s="4" t="s">
        <v>1423</v>
      </c>
      <c r="C939" s="4" t="str">
        <f>IFERROR(__xludf.DUMMYFUNCTION("GOOGLETRANSLATE(D:D,""auto"",""en"")"),"Stengel came again with Mangzhong")</f>
        <v>Stengel came again with Mangzhong</v>
      </c>
      <c r="D939" s="4" t="s">
        <v>1484</v>
      </c>
      <c r="E939" s="4">
        <v>8020610.0</v>
      </c>
      <c r="F939" s="4">
        <v>38.0</v>
      </c>
      <c r="G939" s="4" t="s">
        <v>1485</v>
      </c>
    </row>
    <row r="940">
      <c r="A940" s="1">
        <v>938.0</v>
      </c>
      <c r="B940" s="4" t="s">
        <v>1423</v>
      </c>
      <c r="C940" s="4" t="str">
        <f>IFERROR(__xludf.DUMMYFUNCTION("GOOGLETRANSLATE(D:D,""auto"",""en"")"),"Wuhan new novel coronavirus pneumonia cases, 17 cases")</f>
        <v>Wuhan new novel coronavirus pneumonia cases, 17 cases</v>
      </c>
      <c r="D940" s="4" t="s">
        <v>1486</v>
      </c>
      <c r="E940" s="4">
        <v>7984478.0</v>
      </c>
      <c r="F940" s="4">
        <v>39.0</v>
      </c>
      <c r="G940" s="4" t="s">
        <v>1487</v>
      </c>
    </row>
    <row r="941">
      <c r="A941" s="1">
        <v>939.0</v>
      </c>
      <c r="B941" s="4" t="s">
        <v>1423</v>
      </c>
      <c r="C941" s="4" t="str">
        <f>IFERROR(__xludf.DUMMYFUNCTION("GOOGLETRANSLATE(D:D,""auto"",""en"")"),"He Jiuhua ankle")</f>
        <v>He Jiuhua ankle</v>
      </c>
      <c r="D941" s="4" t="s">
        <v>1488</v>
      </c>
      <c r="E941" s="4">
        <v>7984328.0</v>
      </c>
      <c r="F941" s="4">
        <v>40.0</v>
      </c>
      <c r="G941" s="4" t="s">
        <v>1489</v>
      </c>
    </row>
    <row r="942">
      <c r="A942" s="1">
        <v>940.0</v>
      </c>
      <c r="B942" s="4" t="s">
        <v>1423</v>
      </c>
      <c r="C942" s="4" t="str">
        <f>IFERROR(__xludf.DUMMYFUNCTION("GOOGLETRANSLATE(D:D,""auto"",""en"")"),"Xiaozhan show talking elbow")</f>
        <v>Xiaozhan show talking elbow</v>
      </c>
      <c r="D942" s="4" t="s">
        <v>1490</v>
      </c>
      <c r="E942" s="4">
        <v>7945866.0</v>
      </c>
      <c r="F942" s="4">
        <v>41.0</v>
      </c>
      <c r="G942" s="4" t="s">
        <v>1491</v>
      </c>
    </row>
    <row r="943">
      <c r="A943" s="1">
        <v>941.0</v>
      </c>
      <c r="B943" s="4" t="s">
        <v>1423</v>
      </c>
      <c r="C943" s="4" t="str">
        <f>IFERROR(__xludf.DUMMYFUNCTION("GOOGLETRANSLATE(D:D,""auto"",""en"")"),"Men fleeing forced into stealing police revive")</f>
        <v>Men fleeing forced into stealing police revive</v>
      </c>
      <c r="D943" s="4" t="s">
        <v>1492</v>
      </c>
      <c r="E943" s="4">
        <v>7819083.0</v>
      </c>
      <c r="F943" s="4">
        <v>42.0</v>
      </c>
      <c r="G943" s="4" t="s">
        <v>1493</v>
      </c>
    </row>
    <row r="944">
      <c r="A944" s="1">
        <v>942.0</v>
      </c>
      <c r="B944" s="4" t="s">
        <v>1423</v>
      </c>
      <c r="C944" s="4" t="str">
        <f>IFERROR(__xludf.DUMMYFUNCTION("GOOGLETRANSLATE(D:D,""auto"",""en"")"),"The police informed the parents break the nose nurse")</f>
        <v>The police informed the parents break the nose nurse</v>
      </c>
      <c r="D944" s="4" t="s">
        <v>1494</v>
      </c>
      <c r="E944" s="4">
        <v>7791006.0</v>
      </c>
      <c r="F944" s="4">
        <v>43.0</v>
      </c>
      <c r="G944" s="4" t="s">
        <v>1495</v>
      </c>
    </row>
    <row r="945">
      <c r="A945" s="1">
        <v>943.0</v>
      </c>
      <c r="B945" s="4" t="s">
        <v>1423</v>
      </c>
      <c r="C945" s="4" t="str">
        <f>IFERROR(__xludf.DUMMYFUNCTION("GOOGLETRANSLATE(D:D,""auto"",""en"")"),"Na Ying Faye Wong won OST")</f>
        <v>Na Ying Faye Wong won OST</v>
      </c>
      <c r="D945" s="4" t="s">
        <v>1496</v>
      </c>
      <c r="E945" s="4">
        <v>7775142.0</v>
      </c>
      <c r="F945" s="4">
        <v>44.0</v>
      </c>
      <c r="G945" s="4" t="s">
        <v>1497</v>
      </c>
    </row>
    <row r="946">
      <c r="A946" s="1">
        <v>944.0</v>
      </c>
      <c r="B946" s="4" t="s">
        <v>1423</v>
      </c>
      <c r="C946" s="4" t="str">
        <f>IFERROR(__xludf.DUMMYFUNCTION("GOOGLETRANSLATE(D:D,""auto"",""en"")"),"One person is charged for the New Year New Year")</f>
        <v>One person is charged for the New Year New Year</v>
      </c>
      <c r="D946" s="4" t="s">
        <v>1498</v>
      </c>
      <c r="E946" s="4">
        <v>7724012.0</v>
      </c>
      <c r="F946" s="4">
        <v>45.0</v>
      </c>
      <c r="G946" s="4" t="s">
        <v>1499</v>
      </c>
    </row>
    <row r="947">
      <c r="A947" s="1">
        <v>945.0</v>
      </c>
      <c r="B947" s="4" t="s">
        <v>1423</v>
      </c>
      <c r="C947" s="4" t="str">
        <f>IFERROR(__xludf.DUMMYFUNCTION("GOOGLETRANSLATE(D:D,""auto"",""en"")"),"Drunk driving traffic police team entered three early in the morning")</f>
        <v>Drunk driving traffic police team entered three early in the morning</v>
      </c>
      <c r="D947" s="4" t="s">
        <v>1500</v>
      </c>
      <c r="E947" s="4">
        <v>7597239.0</v>
      </c>
      <c r="F947" s="4">
        <v>46.0</v>
      </c>
      <c r="G947" s="4" t="s">
        <v>1501</v>
      </c>
    </row>
    <row r="948">
      <c r="A948" s="1">
        <v>946.0</v>
      </c>
      <c r="B948" s="4" t="s">
        <v>1423</v>
      </c>
      <c r="C948" s="4" t="str">
        <f>IFERROR(__xludf.DUMMYFUNCTION("GOOGLETRANSLATE(D:D,""auto"",""en"")"),"Poison the Queen who set collapse site")</f>
        <v>Poison the Queen who set collapse site</v>
      </c>
      <c r="D948" s="4" t="s">
        <v>1502</v>
      </c>
      <c r="E948" s="4">
        <v>7533731.0</v>
      </c>
      <c r="F948" s="4">
        <v>47.0</v>
      </c>
      <c r="G948" s="4" t="s">
        <v>1503</v>
      </c>
    </row>
    <row r="949">
      <c r="A949" s="1">
        <v>947.0</v>
      </c>
      <c r="B949" s="4" t="s">
        <v>1423</v>
      </c>
      <c r="C949" s="4" t="str">
        <f>IFERROR(__xludf.DUMMYFUNCTION("GOOGLETRANSLATE(D:D,""auto"",""en"")"),"New Year throw everything Jieke")</f>
        <v>New Year throw everything Jieke</v>
      </c>
      <c r="D949" s="4" t="s">
        <v>1504</v>
      </c>
      <c r="E949" s="4">
        <v>7496808.0</v>
      </c>
      <c r="F949" s="4">
        <v>48.0</v>
      </c>
      <c r="G949" s="4" t="s">
        <v>1505</v>
      </c>
    </row>
    <row r="950">
      <c r="A950" s="1">
        <v>948.0</v>
      </c>
      <c r="B950" s="4" t="s">
        <v>1423</v>
      </c>
      <c r="C950" s="4" t="str">
        <f>IFERROR(__xludf.DUMMYFUNCTION("GOOGLETRANSLATE(D:D,""auto"",""en"")"),"Emergency role prototype collective sing the theme song")</f>
        <v>Emergency role prototype collective sing the theme song</v>
      </c>
      <c r="D950" s="4" t="s">
        <v>1506</v>
      </c>
      <c r="E950" s="4">
        <v>7445337.0</v>
      </c>
      <c r="F950" s="4">
        <v>49.0</v>
      </c>
      <c r="G950" s="4" t="s">
        <v>1507</v>
      </c>
    </row>
    <row r="951">
      <c r="A951" s="1">
        <v>949.0</v>
      </c>
      <c r="B951" s="4" t="s">
        <v>1423</v>
      </c>
      <c r="C951" s="4" t="str">
        <f>IFERROR(__xludf.DUMMYFUNCTION("GOOGLETRANSLATE(D:D,""auto"",""en"")"),"Geng Xu Zheng Xi with Xi to Yi smelt one thousand concert tickets")</f>
        <v>Geng Xu Zheng Xi with Xi to Yi smelt one thousand concert tickets</v>
      </c>
      <c r="D951" s="4" t="s">
        <v>1508</v>
      </c>
      <c r="E951" s="4">
        <v>7434690.0</v>
      </c>
      <c r="F951" s="4">
        <v>50.0</v>
      </c>
      <c r="G951" s="4" t="s">
        <v>1509</v>
      </c>
    </row>
    <row r="952">
      <c r="A952" s="1">
        <v>950.0</v>
      </c>
      <c r="B952" s="4" t="s">
        <v>1510</v>
      </c>
      <c r="C952" s="4" t="str">
        <f>IFERROR(__xludf.DUMMYFUNCTION("GOOGLETRANSLATE(D:D,""auto"",""en"")"),"Zhang Jin activate martial arts techniques stream")</f>
        <v>Zhang Jin activate martial arts techniques stream</v>
      </c>
      <c r="D952" s="4" t="s">
        <v>1511</v>
      </c>
      <c r="E952" s="4">
        <v>1.1939924E7</v>
      </c>
      <c r="F952" s="4">
        <v>1.0</v>
      </c>
      <c r="G952" s="4" t="s">
        <v>1512</v>
      </c>
    </row>
    <row r="953">
      <c r="A953" s="1">
        <v>951.0</v>
      </c>
      <c r="B953" s="4" t="s">
        <v>1510</v>
      </c>
      <c r="C953" s="4" t="str">
        <f>IFERROR(__xludf.DUMMYFUNCTION("GOOGLETRANSLATE(D:D,""auto"",""en"")"),"Lee cameo movie to win now")</f>
        <v>Lee cameo movie to win now</v>
      </c>
      <c r="D953" s="4" t="s">
        <v>1513</v>
      </c>
      <c r="E953" s="4">
        <v>1.12782E7</v>
      </c>
      <c r="F953" s="4">
        <v>2.0</v>
      </c>
      <c r="G953" s="4" t="s">
        <v>1514</v>
      </c>
    </row>
    <row r="954">
      <c r="A954" s="1">
        <v>952.0</v>
      </c>
      <c r="B954" s="4" t="s">
        <v>1510</v>
      </c>
      <c r="C954" s="4" t="str">
        <f>IFERROR(__xludf.DUMMYFUNCTION("GOOGLETRANSLATE(D:D,""auto"",""en"")"),"Guoyanguoyu")</f>
        <v>Guoyanguoyu</v>
      </c>
      <c r="D954" s="4" t="s">
        <v>1424</v>
      </c>
      <c r="E954" s="4">
        <v>1.0983628E7</v>
      </c>
      <c r="F954" s="4">
        <v>3.0</v>
      </c>
      <c r="G954" s="4" t="s">
        <v>1425</v>
      </c>
    </row>
    <row r="955">
      <c r="A955" s="1">
        <v>953.0</v>
      </c>
      <c r="B955" s="4" t="s">
        <v>1510</v>
      </c>
      <c r="C955" s="4" t="str">
        <f>IFERROR(__xludf.DUMMYFUNCTION("GOOGLETRANSLATE(D:D,""auto"",""en"")"),"Huachen Yu Ma Tianyu propan Ao cos Zha")</f>
        <v>Huachen Yu Ma Tianyu propan Ao cos Zha</v>
      </c>
      <c r="D955" s="4" t="s">
        <v>1515</v>
      </c>
      <c r="E955" s="4">
        <v>1.0724751E7</v>
      </c>
      <c r="F955" s="4">
        <v>4.0</v>
      </c>
      <c r="G955" s="4" t="s">
        <v>1516</v>
      </c>
    </row>
    <row r="956">
      <c r="A956" s="1">
        <v>954.0</v>
      </c>
      <c r="B956" s="4" t="s">
        <v>1510</v>
      </c>
      <c r="C956" s="4" t="str">
        <f>IFERROR(__xludf.DUMMYFUNCTION("GOOGLETRANSLATE(D:D,""auto"",""en"")"),"Guo Kirin buy a sports car immediately after the injury")</f>
        <v>Guo Kirin buy a sports car immediately after the injury</v>
      </c>
      <c r="D956" s="4" t="s">
        <v>1470</v>
      </c>
      <c r="E956" s="4">
        <v>1.0475361E7</v>
      </c>
      <c r="F956" s="4">
        <v>5.0</v>
      </c>
      <c r="G956" s="4" t="s">
        <v>1471</v>
      </c>
    </row>
    <row r="957">
      <c r="A957" s="1">
        <v>955.0</v>
      </c>
      <c r="B957" s="4" t="s">
        <v>1510</v>
      </c>
      <c r="C957" s="4" t="str">
        <f>IFERROR(__xludf.DUMMYFUNCTION("GOOGLETRANSLATE(D:D,""auto"",""en"")"),"Xu Guanghan large snow")</f>
        <v>Xu Guanghan large snow</v>
      </c>
      <c r="D957" s="4" t="s">
        <v>1517</v>
      </c>
      <c r="E957" s="4">
        <v>1.0427887E7</v>
      </c>
      <c r="F957" s="4">
        <v>6.0</v>
      </c>
      <c r="G957" s="4" t="s">
        <v>1518</v>
      </c>
    </row>
    <row r="958">
      <c r="A958" s="1">
        <v>956.0</v>
      </c>
      <c r="B958" s="4" t="s">
        <v>1510</v>
      </c>
      <c r="C958" s="4" t="str">
        <f>IFERROR(__xludf.DUMMYFUNCTION("GOOGLETRANSLATE(D:D,""auto"",""en"")"),"Wang Han Xie Na response, then presided over the looting")</f>
        <v>Wang Han Xie Na response, then presided over the looting</v>
      </c>
      <c r="D958" s="4" t="s">
        <v>1474</v>
      </c>
      <c r="E958" s="4">
        <v>1.0175127E7</v>
      </c>
      <c r="F958" s="4">
        <v>7.0</v>
      </c>
      <c r="G958" s="4" t="s">
        <v>1475</v>
      </c>
    </row>
    <row r="959">
      <c r="A959" s="1">
        <v>957.0</v>
      </c>
      <c r="B959" s="4" t="s">
        <v>1510</v>
      </c>
      <c r="C959" s="4" t="str">
        <f>IFERROR(__xludf.DUMMYFUNCTION("GOOGLETRANSLATE(D:D,""auto"",""en"")"),"Zhao Liying Zheng Kai asked when the mother is still difficult filming difficult")</f>
        <v>Zhao Liying Zheng Kai asked when the mother is still difficult filming difficult</v>
      </c>
      <c r="D959" s="4" t="s">
        <v>1519</v>
      </c>
      <c r="E959" s="4">
        <v>1.0129739E7</v>
      </c>
      <c r="F959" s="4">
        <v>8.0</v>
      </c>
      <c r="G959" s="4" t="s">
        <v>1520</v>
      </c>
    </row>
    <row r="960">
      <c r="A960" s="1">
        <v>958.0</v>
      </c>
      <c r="B960" s="4" t="s">
        <v>1510</v>
      </c>
      <c r="C960" s="4" t="str">
        <f>IFERROR(__xludf.DUMMYFUNCTION("GOOGLETRANSLATE(D:D,""auto"",""en"")"),"Conductor 90 minutes schematic drawing 807 points")</f>
        <v>Conductor 90 minutes schematic drawing 807 points</v>
      </c>
      <c r="D960" s="4" t="s">
        <v>1452</v>
      </c>
      <c r="E960" s="4">
        <v>1.0039322E7</v>
      </c>
      <c r="F960" s="4">
        <v>9.0</v>
      </c>
      <c r="G960" s="4" t="s">
        <v>1453</v>
      </c>
    </row>
    <row r="961">
      <c r="A961" s="1">
        <v>959.0</v>
      </c>
      <c r="B961" s="4" t="s">
        <v>1510</v>
      </c>
      <c r="C961" s="4" t="str">
        <f>IFERROR(__xludf.DUMMYFUNCTION("GOOGLETRANSLATE(D:D,""auto"",""en"")"),"Teenage activists")</f>
        <v>Teenage activists</v>
      </c>
      <c r="D961" s="4" t="s">
        <v>1521</v>
      </c>
      <c r="E961" s="4">
        <v>9941088.0</v>
      </c>
      <c r="F961" s="4">
        <v>10.0</v>
      </c>
      <c r="G961" s="4" t="s">
        <v>1522</v>
      </c>
    </row>
    <row r="962">
      <c r="A962" s="1">
        <v>960.0</v>
      </c>
      <c r="B962" s="4" t="s">
        <v>1510</v>
      </c>
      <c r="C962" s="4" t="str">
        <f>IFERROR(__xludf.DUMMYFUNCTION("GOOGLETRANSLATE(D:D,""auto"",""en"")"),"Ming Sang Sang female identity is seen through")</f>
        <v>Ming Sang Sang female identity is seen through</v>
      </c>
      <c r="D962" s="4" t="s">
        <v>1523</v>
      </c>
      <c r="E962" s="4">
        <v>9900614.0</v>
      </c>
      <c r="F962" s="4">
        <v>11.0</v>
      </c>
      <c r="G962" s="4" t="s">
        <v>1524</v>
      </c>
    </row>
    <row r="963">
      <c r="A963" s="1">
        <v>961.0</v>
      </c>
      <c r="B963" s="4" t="s">
        <v>1510</v>
      </c>
      <c r="C963" s="4" t="str">
        <f>IFERROR(__xludf.DUMMYFUNCTION("GOOGLETRANSLATE(D:D,""auto"",""en"")"),"Last Dance top")</f>
        <v>Last Dance top</v>
      </c>
      <c r="D963" s="4" t="s">
        <v>1432</v>
      </c>
      <c r="E963" s="4">
        <v>9554775.0</v>
      </c>
      <c r="F963" s="4">
        <v>12.0</v>
      </c>
      <c r="G963" s="4" t="s">
        <v>1433</v>
      </c>
    </row>
    <row r="964">
      <c r="A964" s="1">
        <v>962.0</v>
      </c>
      <c r="B964" s="4" t="s">
        <v>1510</v>
      </c>
      <c r="C964" s="4" t="str">
        <f>IFERROR(__xludf.DUMMYFUNCTION("GOOGLETRANSLATE(D:D,""auto"",""en"")"),"Zhongxiang funeral")</f>
        <v>Zhongxiang funeral</v>
      </c>
      <c r="D964" s="4" t="s">
        <v>1525</v>
      </c>
      <c r="E964" s="4">
        <v>9466780.0</v>
      </c>
      <c r="F964" s="4">
        <v>13.0</v>
      </c>
      <c r="G964" s="4" t="s">
        <v>1526</v>
      </c>
    </row>
    <row r="965">
      <c r="A965" s="1">
        <v>963.0</v>
      </c>
      <c r="B965" s="4" t="s">
        <v>1510</v>
      </c>
      <c r="C965" s="4" t="str">
        <f>IFERROR(__xludf.DUMMYFUNCTION("GOOGLETRANSLATE(D:D,""auto"",""en"")"),"Earthquake pick up the phone call a halt trains do not run")</f>
        <v>Earthquake pick up the phone call a halt trains do not run</v>
      </c>
      <c r="D965" s="4" t="s">
        <v>1527</v>
      </c>
      <c r="E965" s="4">
        <v>9208839.0</v>
      </c>
      <c r="F965" s="4">
        <v>14.0</v>
      </c>
      <c r="G965" s="4" t="s">
        <v>1528</v>
      </c>
    </row>
    <row r="966">
      <c r="A966" s="1">
        <v>964.0</v>
      </c>
      <c r="B966" s="4" t="s">
        <v>1510</v>
      </c>
      <c r="C966" s="4" t="str">
        <f>IFERROR(__xludf.DUMMYFUNCTION("GOOGLETRANSLATE(D:D,""auto"",""en"")"),"If I have any door")</f>
        <v>If I have any door</v>
      </c>
      <c r="D966" s="4" t="s">
        <v>1438</v>
      </c>
      <c r="E966" s="4">
        <v>9085589.0</v>
      </c>
      <c r="F966" s="4">
        <v>15.0</v>
      </c>
      <c r="G966" s="4" t="s">
        <v>1439</v>
      </c>
    </row>
    <row r="967">
      <c r="A967" s="1">
        <v>965.0</v>
      </c>
      <c r="B967" s="4" t="s">
        <v>1510</v>
      </c>
      <c r="C967" s="4" t="str">
        <f>IFERROR(__xludf.DUMMYFUNCTION("GOOGLETRANSLATE(D:D,""auto"",""en"")"),"Shannon had a home in")</f>
        <v>Shannon had a home in</v>
      </c>
      <c r="D967" s="4" t="s">
        <v>1440</v>
      </c>
      <c r="E967" s="4">
        <v>8881104.0</v>
      </c>
      <c r="F967" s="4">
        <v>16.0</v>
      </c>
      <c r="G967" s="4" t="s">
        <v>1441</v>
      </c>
    </row>
    <row r="968">
      <c r="A968" s="1">
        <v>966.0</v>
      </c>
      <c r="B968" s="4" t="s">
        <v>1510</v>
      </c>
      <c r="C968" s="4" t="str">
        <f>IFERROR(__xludf.DUMMYFUNCTION("GOOGLETRANSLATE(D:D,""auto"",""en"")"),"I look a bit like the past")</f>
        <v>I look a bit like the past</v>
      </c>
      <c r="D968" s="4" t="s">
        <v>1529</v>
      </c>
      <c r="E968" s="4">
        <v>8786292.0</v>
      </c>
      <c r="F968" s="4">
        <v>17.0</v>
      </c>
      <c r="G968" s="4" t="s">
        <v>1530</v>
      </c>
    </row>
    <row r="969">
      <c r="A969" s="1">
        <v>967.0</v>
      </c>
      <c r="B969" s="4" t="s">
        <v>1510</v>
      </c>
      <c r="C969" s="4" t="str">
        <f>IFERROR(__xludf.DUMMYFUNCTION("GOOGLETRANSLATE(D:D,""auto"",""en"")"),"Huang Bo Gong Li to talk for the first time cooperation")</f>
        <v>Huang Bo Gong Li to talk for the first time cooperation</v>
      </c>
      <c r="D969" s="4" t="s">
        <v>1531</v>
      </c>
      <c r="E969" s="4">
        <v>8782709.0</v>
      </c>
      <c r="F969" s="4">
        <v>18.0</v>
      </c>
      <c r="G969" s="4" t="s">
        <v>1532</v>
      </c>
    </row>
    <row r="970">
      <c r="A970" s="1">
        <v>968.0</v>
      </c>
      <c r="B970" s="4" t="s">
        <v>1510</v>
      </c>
      <c r="C970" s="4" t="str">
        <f>IFERROR(__xludf.DUMMYFUNCTION("GOOGLETRANSLATE(D:D,""auto"",""en"")"),"Mom really fight for my blind date")</f>
        <v>Mom really fight for my blind date</v>
      </c>
      <c r="D970" s="4" t="s">
        <v>1533</v>
      </c>
      <c r="E970" s="4">
        <v>8593532.0</v>
      </c>
      <c r="F970" s="4">
        <v>19.0</v>
      </c>
      <c r="G970" s="4" t="s">
        <v>1534</v>
      </c>
    </row>
    <row r="971">
      <c r="A971" s="1">
        <v>969.0</v>
      </c>
      <c r="B971" s="4" t="s">
        <v>1510</v>
      </c>
      <c r="C971" s="4" t="str">
        <f>IFERROR(__xludf.DUMMYFUNCTION("GOOGLETRANSLATE(D:D,""auto"",""en"")"),"Beijing confirmed two cases of novel coronavirus pneumonia")</f>
        <v>Beijing confirmed two cases of novel coronavirus pneumonia</v>
      </c>
      <c r="D971" s="4" t="s">
        <v>1535</v>
      </c>
      <c r="E971" s="4">
        <v>8547696.0</v>
      </c>
      <c r="F971" s="4">
        <v>20.0</v>
      </c>
      <c r="G971" s="4" t="s">
        <v>1536</v>
      </c>
    </row>
    <row r="972">
      <c r="A972" s="1">
        <v>970.0</v>
      </c>
      <c r="B972" s="4" t="s">
        <v>1510</v>
      </c>
      <c r="C972" s="4" t="str">
        <f>IFERROR(__xludf.DUMMYFUNCTION("GOOGLETRANSLATE(D:D,""auto"",""en"")"),"Two Chinese citizens have been killed in the streets of Madrid")</f>
        <v>Two Chinese citizens have been killed in the streets of Madrid</v>
      </c>
      <c r="D972" s="4" t="s">
        <v>1537</v>
      </c>
      <c r="E972" s="4">
        <v>8410495.0</v>
      </c>
      <c r="F972" s="4">
        <v>21.0</v>
      </c>
      <c r="G972" s="4" t="s">
        <v>1538</v>
      </c>
    </row>
    <row r="973">
      <c r="A973" s="1">
        <v>971.0</v>
      </c>
      <c r="B973" s="4" t="s">
        <v>1510</v>
      </c>
      <c r="C973" s="4" t="str">
        <f>IFERROR(__xludf.DUMMYFUNCTION("GOOGLETRANSLATE(D:D,""auto"",""en"")"),"Mercedes-Benz wore many cars Honda Lianzhuang")</f>
        <v>Mercedes-Benz wore many cars Honda Lianzhuang</v>
      </c>
      <c r="D973" s="4" t="s">
        <v>1539</v>
      </c>
      <c r="E973" s="4">
        <v>8241148.0</v>
      </c>
      <c r="F973" s="4">
        <v>22.0</v>
      </c>
      <c r="G973" s="4" t="s">
        <v>1540</v>
      </c>
    </row>
    <row r="974">
      <c r="A974" s="1">
        <v>972.0</v>
      </c>
      <c r="B974" s="4" t="s">
        <v>1510</v>
      </c>
      <c r="C974" s="4" t="str">
        <f>IFERROR(__xludf.DUMMYFUNCTION("GOOGLETRANSLATE(D:D,""auto"",""en"")"),"Right Zhi-long blue suit")</f>
        <v>Right Zhi-long blue suit</v>
      </c>
      <c r="D974" s="4" t="s">
        <v>1541</v>
      </c>
      <c r="E974" s="4">
        <v>8184208.0</v>
      </c>
      <c r="F974" s="4">
        <v>23.0</v>
      </c>
      <c r="G974" s="4" t="s">
        <v>1542</v>
      </c>
    </row>
    <row r="975">
      <c r="A975" s="1">
        <v>973.0</v>
      </c>
      <c r="B975" s="4" t="s">
        <v>1510</v>
      </c>
      <c r="C975" s="4" t="str">
        <f>IFERROR(__xludf.DUMMYFUNCTION("GOOGLETRANSLATE(D:D,""auto"",""en"")"),"Lin Yun children with a la carte Chinese")</f>
        <v>Lin Yun children with a la carte Chinese</v>
      </c>
      <c r="D975" s="4" t="s">
        <v>1543</v>
      </c>
      <c r="E975" s="4">
        <v>8171180.0</v>
      </c>
      <c r="F975" s="4">
        <v>24.0</v>
      </c>
      <c r="G975" s="4" t="s">
        <v>1544</v>
      </c>
    </row>
    <row r="976">
      <c r="A976" s="1">
        <v>974.0</v>
      </c>
      <c r="B976" s="4" t="s">
        <v>1510</v>
      </c>
      <c r="C976" s="4" t="str">
        <f>IFERROR(__xludf.DUMMYFUNCTION("GOOGLETRANSLATE(D:D,""auto"",""en"")"),"Yang Yang white suit vacuo")</f>
        <v>Yang Yang white suit vacuo</v>
      </c>
      <c r="D976" s="4" t="s">
        <v>1545</v>
      </c>
      <c r="E976" s="4">
        <v>8151401.0</v>
      </c>
      <c r="F976" s="4">
        <v>25.0</v>
      </c>
      <c r="G976" s="4" t="s">
        <v>1546</v>
      </c>
    </row>
    <row r="977">
      <c r="A977" s="1">
        <v>975.0</v>
      </c>
      <c r="B977" s="4" t="s">
        <v>1510</v>
      </c>
      <c r="C977" s="4" t="str">
        <f>IFERROR(__xludf.DUMMYFUNCTION("GOOGLETRANSLATE(D:D,""auto"",""en"")"),"HyunA and her boyfriend kissing in the pool")</f>
        <v>HyunA and her boyfriend kissing in the pool</v>
      </c>
      <c r="D977" s="4" t="s">
        <v>1547</v>
      </c>
      <c r="E977" s="4">
        <v>8086958.0</v>
      </c>
      <c r="F977" s="4">
        <v>26.0</v>
      </c>
      <c r="G977" s="4" t="s">
        <v>1548</v>
      </c>
    </row>
    <row r="978">
      <c r="A978" s="1">
        <v>976.0</v>
      </c>
      <c r="B978" s="4" t="s">
        <v>1510</v>
      </c>
      <c r="C978" s="4" t="str">
        <f>IFERROR(__xludf.DUMMYFUNCTION("GOOGLETRANSLATE(D:D,""auto"",""en"")"),"After the resignation of former Russian Prime Minister Dmitry Medvedev starting sound")</f>
        <v>After the resignation of former Russian Prime Minister Dmitry Medvedev starting sound</v>
      </c>
      <c r="D978" s="4" t="s">
        <v>1549</v>
      </c>
      <c r="E978" s="4">
        <v>8004808.0</v>
      </c>
      <c r="F978" s="4">
        <v>27.0</v>
      </c>
      <c r="G978" s="4" t="s">
        <v>1550</v>
      </c>
    </row>
    <row r="979">
      <c r="A979" s="1">
        <v>977.0</v>
      </c>
      <c r="B979" s="4" t="s">
        <v>1510</v>
      </c>
      <c r="C979" s="4" t="str">
        <f>IFERROR(__xludf.DUMMYFUNCTION("GOOGLETRANSLATE(D:D,""auto"",""en"")"),"Show wisdom states")</f>
        <v>Show wisdom states</v>
      </c>
      <c r="D979" s="4" t="s">
        <v>1551</v>
      </c>
      <c r="E979" s="4">
        <v>7852063.0</v>
      </c>
      <c r="F979" s="4">
        <v>28.0</v>
      </c>
      <c r="G979" s="4" t="s">
        <v>1552</v>
      </c>
    </row>
    <row r="980">
      <c r="A980" s="1">
        <v>978.0</v>
      </c>
      <c r="B980" s="4" t="s">
        <v>1510</v>
      </c>
      <c r="C980" s="4" t="str">
        <f>IFERROR(__xludf.DUMMYFUNCTION("GOOGLETRANSLATE(D:D,""auto"",""en"")"),"The new territory of 217 cases diagnosed with pneumonia")</f>
        <v>The new territory of 217 cases diagnosed with pneumonia</v>
      </c>
      <c r="D980" s="4" t="s">
        <v>1553</v>
      </c>
      <c r="E980" s="4">
        <v>7836341.0</v>
      </c>
      <c r="F980" s="4">
        <v>29.0</v>
      </c>
      <c r="G980" s="4" t="s">
        <v>1554</v>
      </c>
    </row>
    <row r="981">
      <c r="A981" s="1">
        <v>979.0</v>
      </c>
      <c r="B981" s="4" t="s">
        <v>1510</v>
      </c>
      <c r="C981" s="4" t="str">
        <f>IFERROR(__xludf.DUMMYFUNCTION("GOOGLETRANSLATE(D:D,""auto"",""en"")"),"Mom embarrassing to mention")</f>
        <v>Mom embarrassing to mention</v>
      </c>
      <c r="D981" s="4" t="s">
        <v>1555</v>
      </c>
      <c r="E981" s="4">
        <v>7835122.0</v>
      </c>
      <c r="F981" s="4">
        <v>30.0</v>
      </c>
      <c r="G981" s="4" t="s">
        <v>1556</v>
      </c>
    </row>
    <row r="982">
      <c r="A982" s="1">
        <v>980.0</v>
      </c>
      <c r="B982" s="4" t="s">
        <v>1510</v>
      </c>
      <c r="C982" s="4" t="str">
        <f>IFERROR(__xludf.DUMMYFUNCTION("GOOGLETRANSLATE(D:D,""auto"",""en"")"),"Zhou deep Hacken our song title")</f>
        <v>Zhou deep Hacken our song title</v>
      </c>
      <c r="D982" s="4" t="s">
        <v>1557</v>
      </c>
      <c r="E982" s="4">
        <v>7739768.0</v>
      </c>
      <c r="F982" s="4">
        <v>31.0</v>
      </c>
      <c r="G982" s="4" t="s">
        <v>1558</v>
      </c>
    </row>
    <row r="983">
      <c r="A983" s="1">
        <v>981.0</v>
      </c>
      <c r="B983" s="4" t="s">
        <v>1510</v>
      </c>
      <c r="C983" s="4" t="str">
        <f>IFERROR(__xludf.DUMMYFUNCTION("GOOGLETRANSLATE(D:D,""auto"",""en"")"),"Himalayan avalanche lost to four Chinese tourists")</f>
        <v>Himalayan avalanche lost to four Chinese tourists</v>
      </c>
      <c r="D983" s="4" t="s">
        <v>1559</v>
      </c>
      <c r="E983" s="4">
        <v>7735362.0</v>
      </c>
      <c r="F983" s="4">
        <v>32.0</v>
      </c>
      <c r="G983" s="4" t="s">
        <v>1560</v>
      </c>
    </row>
    <row r="984">
      <c r="A984" s="1">
        <v>982.0</v>
      </c>
      <c r="B984" s="4" t="s">
        <v>1510</v>
      </c>
      <c r="C984" s="4" t="str">
        <f>IFERROR(__xludf.DUMMYFUNCTION("GOOGLETRANSLATE(D:D,""auto"",""en"")"),"Xiaozhan useless way to red")</f>
        <v>Xiaozhan useless way to red</v>
      </c>
      <c r="D984" s="4" t="s">
        <v>1561</v>
      </c>
      <c r="E984" s="4">
        <v>7709052.0</v>
      </c>
      <c r="F984" s="4">
        <v>33.0</v>
      </c>
      <c r="G984" s="4" t="s">
        <v>1562</v>
      </c>
    </row>
    <row r="985">
      <c r="A985" s="1">
        <v>983.0</v>
      </c>
      <c r="B985" s="4" t="s">
        <v>1510</v>
      </c>
      <c r="C985" s="4" t="str">
        <f>IFERROR(__xludf.DUMMYFUNCTION("GOOGLETRANSLATE(D:D,""auto"",""en"")"),"Big Chill")</f>
        <v>Big Chill</v>
      </c>
      <c r="D985" s="4" t="s">
        <v>1563</v>
      </c>
      <c r="E985" s="4">
        <v>7648373.0</v>
      </c>
      <c r="F985" s="4">
        <v>34.0</v>
      </c>
      <c r="G985" s="4" t="s">
        <v>1564</v>
      </c>
    </row>
    <row r="986">
      <c r="A986" s="1">
        <v>984.0</v>
      </c>
      <c r="B986" s="4" t="s">
        <v>1510</v>
      </c>
      <c r="C986" s="4" t="str">
        <f>IFERROR(__xludf.DUMMYFUNCTION("GOOGLETRANSLATE(D:D,""auto"",""en"")"),"I guess you draw Xiaozhan")</f>
        <v>I guess you draw Xiaozhan</v>
      </c>
      <c r="D986" s="4" t="s">
        <v>1565</v>
      </c>
      <c r="E986" s="4">
        <v>7602454.0</v>
      </c>
      <c r="F986" s="4">
        <v>35.0</v>
      </c>
      <c r="G986" s="4" t="s">
        <v>1566</v>
      </c>
    </row>
    <row r="987">
      <c r="A987" s="1">
        <v>985.0</v>
      </c>
      <c r="B987" s="4" t="s">
        <v>1510</v>
      </c>
      <c r="C987" s="4" t="str">
        <f>IFERROR(__xludf.DUMMYFUNCTION("GOOGLETRANSLATE(D:D,""auto"",""en"")"),"Xin Zhang Do you think I kind of like the past")</f>
        <v>Xin Zhang Do you think I kind of like the past</v>
      </c>
      <c r="D987" s="4" t="s">
        <v>1567</v>
      </c>
      <c r="E987" s="4">
        <v>7558872.0</v>
      </c>
      <c r="F987" s="4">
        <v>36.0</v>
      </c>
      <c r="G987" s="4" t="s">
        <v>1568</v>
      </c>
    </row>
    <row r="988">
      <c r="A988" s="1">
        <v>986.0</v>
      </c>
      <c r="B988" s="4" t="s">
        <v>1510</v>
      </c>
      <c r="C988" s="4" t="str">
        <f>IFERROR(__xludf.DUMMYFUNCTION("GOOGLETRANSLATE(D:D,""auto"",""en"")"),"Xiaozhan large nursing cubs site")</f>
        <v>Xiaozhan large nursing cubs site</v>
      </c>
      <c r="D988" s="4" t="s">
        <v>1482</v>
      </c>
      <c r="E988" s="4">
        <v>7516697.0</v>
      </c>
      <c r="F988" s="4">
        <v>37.0</v>
      </c>
      <c r="G988" s="4" t="s">
        <v>1483</v>
      </c>
    </row>
    <row r="989">
      <c r="A989" s="1">
        <v>987.0</v>
      </c>
      <c r="B989" s="4" t="s">
        <v>1510</v>
      </c>
      <c r="C989" s="4" t="str">
        <f>IFERROR(__xludf.DUMMYFUNCTION("GOOGLETRANSLATE(D:D,""auto"",""en"")"),"Lisa oblique fringe")</f>
        <v>Lisa oblique fringe</v>
      </c>
      <c r="D989" s="4" t="s">
        <v>1569</v>
      </c>
      <c r="E989" s="4">
        <v>7443169.0</v>
      </c>
      <c r="F989" s="4">
        <v>38.0</v>
      </c>
      <c r="G989" s="4" t="s">
        <v>1570</v>
      </c>
    </row>
    <row r="990">
      <c r="A990" s="1">
        <v>988.0</v>
      </c>
      <c r="B990" s="4" t="s">
        <v>1510</v>
      </c>
      <c r="C990" s="4" t="str">
        <f>IFERROR(__xludf.DUMMYFUNCTION("GOOGLETRANSLATE(D:D,""auto"",""en"")"),"Stengel imitate Cai Xiao Zhan Xu Kun")</f>
        <v>Stengel imitate Cai Xiao Zhan Xu Kun</v>
      </c>
      <c r="D990" s="4" t="s">
        <v>1571</v>
      </c>
      <c r="E990" s="4">
        <v>7427950.0</v>
      </c>
      <c r="F990" s="4">
        <v>39.0</v>
      </c>
      <c r="G990" s="4" t="s">
        <v>1572</v>
      </c>
    </row>
    <row r="991">
      <c r="A991" s="1">
        <v>989.0</v>
      </c>
      <c r="B991" s="4" t="s">
        <v>1510</v>
      </c>
      <c r="C991" s="4" t="str">
        <f>IFERROR(__xludf.DUMMYFUNCTION("GOOGLETRANSLATE(D:D,""auto"",""en"")"),"Love apartment Barrage")</f>
        <v>Love apartment Barrage</v>
      </c>
      <c r="D991" s="4" t="s">
        <v>1573</v>
      </c>
      <c r="E991" s="4">
        <v>7402308.0</v>
      </c>
      <c r="F991" s="4">
        <v>40.0</v>
      </c>
      <c r="G991" s="4" t="s">
        <v>1574</v>
      </c>
    </row>
    <row r="992">
      <c r="A992" s="1">
        <v>990.0</v>
      </c>
      <c r="B992" s="4" t="s">
        <v>1510</v>
      </c>
      <c r="C992" s="4" t="str">
        <f>IFERROR(__xludf.DUMMYFUNCTION("GOOGLETRANSLATE(D:D,""auto"",""en"")"),"Teenager found to save drowning victims is his grandfather")</f>
        <v>Teenager found to save drowning victims is his grandfather</v>
      </c>
      <c r="D992" s="4" t="s">
        <v>1575</v>
      </c>
      <c r="E992" s="4">
        <v>7383267.0</v>
      </c>
      <c r="F992" s="4">
        <v>41.0</v>
      </c>
      <c r="G992" s="4" t="s">
        <v>1576</v>
      </c>
    </row>
    <row r="993">
      <c r="A993" s="1">
        <v>991.0</v>
      </c>
      <c r="B993" s="4" t="s">
        <v>1510</v>
      </c>
      <c r="C993" s="4" t="str">
        <f>IFERROR(__xludf.DUMMYFUNCTION("GOOGLETRANSLATE(D:D,""auto"",""en"")"),"Huang Minghao costume modeling")</f>
        <v>Huang Minghao costume modeling</v>
      </c>
      <c r="D993" s="4" t="s">
        <v>1577</v>
      </c>
      <c r="E993" s="4">
        <v>7266393.0</v>
      </c>
      <c r="F993" s="4">
        <v>42.0</v>
      </c>
      <c r="G993" s="4" t="s">
        <v>1578</v>
      </c>
    </row>
    <row r="994">
      <c r="A994" s="1">
        <v>992.0</v>
      </c>
      <c r="B994" s="4" t="s">
        <v>1510</v>
      </c>
      <c r="C994" s="4" t="str">
        <f>IFERROR(__xludf.DUMMYFUNCTION("GOOGLETRANSLATE(D:D,""auto"",""en"")"),"93-year-old teacher for children 30 years of compulsory rural makeup")</f>
        <v>93-year-old teacher for children 30 years of compulsory rural makeup</v>
      </c>
      <c r="D994" s="4" t="s">
        <v>1579</v>
      </c>
      <c r="E994" s="4">
        <v>7212269.0</v>
      </c>
      <c r="F994" s="4">
        <v>43.0</v>
      </c>
      <c r="G994" s="4" t="s">
        <v>1580</v>
      </c>
    </row>
    <row r="995">
      <c r="A995" s="1">
        <v>993.0</v>
      </c>
      <c r="B995" s="4" t="s">
        <v>1510</v>
      </c>
      <c r="C995" s="4" t="str">
        <f>IFERROR(__xludf.DUMMYFUNCTION("GOOGLETRANSLATE(D:D,""auto"",""en"")"),"Tang Fei embarrassed and easy Xi smelt one thousand photo")</f>
        <v>Tang Fei embarrassed and easy Xi smelt one thousand photo</v>
      </c>
      <c r="D995" s="4" t="s">
        <v>1581</v>
      </c>
      <c r="E995" s="4">
        <v>7205567.0</v>
      </c>
      <c r="F995" s="4">
        <v>44.0</v>
      </c>
      <c r="G995" s="4" t="s">
        <v>1582</v>
      </c>
    </row>
    <row r="996">
      <c r="A996" s="1">
        <v>994.0</v>
      </c>
      <c r="B996" s="4" t="s">
        <v>1510</v>
      </c>
      <c r="C996" s="4" t="str">
        <f>IFERROR(__xludf.DUMMYFUNCTION("GOOGLETRANSLATE(D:D,""auto"",""en"")"),"Wuhan new new 136 cases of pneumonia")</f>
        <v>Wuhan new new 136 cases of pneumonia</v>
      </c>
      <c r="D996" s="4" t="s">
        <v>1583</v>
      </c>
      <c r="E996" s="4">
        <v>7182640.0</v>
      </c>
      <c r="F996" s="4">
        <v>45.0</v>
      </c>
      <c r="G996" s="4" t="s">
        <v>1584</v>
      </c>
    </row>
    <row r="997">
      <c r="A997" s="1">
        <v>995.0</v>
      </c>
      <c r="B997" s="4" t="s">
        <v>1510</v>
      </c>
      <c r="C997" s="4" t="str">
        <f>IFERROR(__xludf.DUMMYFUNCTION("GOOGLETRANSLATE(D:D,""auto"",""en"")"),"Zhengzhou police responded cause miscarriage in pregnant women was hit case")</f>
        <v>Zhengzhou police responded cause miscarriage in pregnant women was hit case</v>
      </c>
      <c r="D997" s="4" t="s">
        <v>1585</v>
      </c>
      <c r="E997" s="4">
        <v>7150439.0</v>
      </c>
      <c r="F997" s="4">
        <v>46.0</v>
      </c>
      <c r="G997" s="4" t="s">
        <v>1586</v>
      </c>
    </row>
    <row r="998">
      <c r="A998" s="1">
        <v>996.0</v>
      </c>
      <c r="B998" s="4" t="s">
        <v>1510</v>
      </c>
      <c r="C998" s="4" t="str">
        <f>IFERROR(__xludf.DUMMYFUNCTION("GOOGLETRANSLATE(D:D,""auto"",""en"")"),"Another Australian koala habitat island fire out of control")</f>
        <v>Another Australian koala habitat island fire out of control</v>
      </c>
      <c r="D998" s="4" t="s">
        <v>1587</v>
      </c>
      <c r="E998" s="4">
        <v>7122284.0</v>
      </c>
      <c r="F998" s="4">
        <v>47.0</v>
      </c>
      <c r="G998" s="4" t="s">
        <v>1588</v>
      </c>
    </row>
    <row r="999">
      <c r="A999" s="1">
        <v>997.0</v>
      </c>
      <c r="B999" s="4" t="s">
        <v>1510</v>
      </c>
      <c r="C999" s="4" t="str">
        <f>IFERROR(__xludf.DUMMYFUNCTION("GOOGLETRANSLATE(D:D,""auto"",""en"")"),"Yi Xi smelt one thousand fight scenes")</f>
        <v>Yi Xi smelt one thousand fight scenes</v>
      </c>
      <c r="D999" s="4" t="s">
        <v>1589</v>
      </c>
      <c r="E999" s="4">
        <v>7010628.0</v>
      </c>
      <c r="F999" s="4">
        <v>48.0</v>
      </c>
      <c r="G999" s="4" t="s">
        <v>1590</v>
      </c>
    </row>
    <row r="1000">
      <c r="A1000" s="1">
        <v>998.0</v>
      </c>
      <c r="B1000" s="4" t="s">
        <v>1510</v>
      </c>
      <c r="C1000" s="4" t="str">
        <f>IFERROR(__xludf.DUMMYFUNCTION("GOOGLETRANSLATE(D:D,""auto"",""en"")"),"Megan Palace batch father when Wal-Mart")</f>
        <v>Megan Palace batch father when Wal-Mart</v>
      </c>
      <c r="D1000" s="4" t="s">
        <v>1591</v>
      </c>
      <c r="E1000" s="4">
        <v>7003667.0</v>
      </c>
      <c r="F1000" s="4">
        <v>49.0</v>
      </c>
      <c r="G1000" s="4" t="s">
        <v>1592</v>
      </c>
    </row>
    <row r="1001">
      <c r="A1001" s="1">
        <v>999.0</v>
      </c>
      <c r="B1001" s="4" t="s">
        <v>1510</v>
      </c>
      <c r="C1001" s="4" t="str">
        <f>IFERROR(__xludf.DUMMYFUNCTION("GOOGLETRANSLATE(D:D,""auto"",""en"")"),"Dou Xiao Ren Jialun Bosco same box to see the show")</f>
        <v>Dou Xiao Ren Jialun Bosco same box to see the show</v>
      </c>
      <c r="D1001" s="4" t="s">
        <v>1593</v>
      </c>
      <c r="E1001" s="4">
        <v>7000664.0</v>
      </c>
      <c r="F1001" s="4">
        <v>50.0</v>
      </c>
      <c r="G1001" s="4" t="s">
        <v>1594</v>
      </c>
    </row>
    <row r="1002">
      <c r="A1002" s="1">
        <v>1000.0</v>
      </c>
      <c r="B1002" s="4" t="s">
        <v>1595</v>
      </c>
      <c r="C1002" s="4" t="str">
        <f>IFERROR(__xludf.DUMMYFUNCTION("GOOGLETRANSLATE(D:D,""auto"",""en"")"),"President of the National Palace apology")</f>
        <v>President of the National Palace apology</v>
      </c>
      <c r="D1002" s="4" t="s">
        <v>1596</v>
      </c>
      <c r="E1002" s="4">
        <v>9972497.0</v>
      </c>
      <c r="F1002" s="4">
        <v>1.0</v>
      </c>
      <c r="G1002" s="4" t="s">
        <v>1597</v>
      </c>
    </row>
    <row r="1003">
      <c r="A1003" s="1">
        <v>1001.0</v>
      </c>
      <c r="B1003" s="4" t="s">
        <v>1595</v>
      </c>
      <c r="C1003" s="4" t="str">
        <f>IFERROR(__xludf.DUMMYFUNCTION("GOOGLETRANSLATE(D:D,""auto"",""en"")"),"Zhang Jin activate martial arts techniques stream")</f>
        <v>Zhang Jin activate martial arts techniques stream</v>
      </c>
      <c r="D1003" s="4" t="s">
        <v>1511</v>
      </c>
      <c r="E1003" s="4">
        <v>9740514.0</v>
      </c>
      <c r="F1003" s="4">
        <v>2.0</v>
      </c>
      <c r="G1003" s="4" t="s">
        <v>1512</v>
      </c>
    </row>
    <row r="1004">
      <c r="A1004" s="1">
        <v>1002.0</v>
      </c>
      <c r="B1004" s="4" t="s">
        <v>1595</v>
      </c>
      <c r="C1004" s="4" t="str">
        <f>IFERROR(__xludf.DUMMYFUNCTION("GOOGLETRANSLATE(D:D,""auto"",""en"")"),"Do not underestimate the baby's ability to learn")</f>
        <v>Do not underestimate the baby's ability to learn</v>
      </c>
      <c r="D1004" s="4" t="s">
        <v>1598</v>
      </c>
      <c r="E1004" s="4">
        <v>9471985.0</v>
      </c>
      <c r="F1004" s="4">
        <v>3.0</v>
      </c>
      <c r="G1004" s="4" t="s">
        <v>1599</v>
      </c>
    </row>
    <row r="1005">
      <c r="A1005" s="1">
        <v>1003.0</v>
      </c>
      <c r="B1005" s="4" t="s">
        <v>1595</v>
      </c>
      <c r="C1005" s="4" t="str">
        <f>IFERROR(__xludf.DUMMYFUNCTION("GOOGLETRANSLATE(D:D,""auto"",""en"")"),"Jay James Brown every deduction")</f>
        <v>Jay James Brown every deduction</v>
      </c>
      <c r="D1005" s="4" t="s">
        <v>1600</v>
      </c>
      <c r="E1005" s="4">
        <v>9397483.0</v>
      </c>
      <c r="F1005" s="4">
        <v>4.0</v>
      </c>
      <c r="G1005" s="4" t="s">
        <v>1601</v>
      </c>
    </row>
    <row r="1006">
      <c r="A1006" s="1">
        <v>1004.0</v>
      </c>
      <c r="B1006" s="4" t="s">
        <v>1595</v>
      </c>
      <c r="C1006" s="4" t="str">
        <f>IFERROR(__xludf.DUMMYFUNCTION("GOOGLETRANSLATE(D:D,""auto"",""en"")"),"Qi Wei Lee Seung-Hyun FIG hand misalignment")</f>
        <v>Qi Wei Lee Seung-Hyun FIG hand misalignment</v>
      </c>
      <c r="D1006" s="4" t="s">
        <v>1602</v>
      </c>
      <c r="E1006" s="4">
        <v>9205508.0</v>
      </c>
      <c r="F1006" s="4">
        <v>5.0</v>
      </c>
      <c r="G1006" s="4" t="s">
        <v>1603</v>
      </c>
    </row>
    <row r="1007">
      <c r="A1007" s="1">
        <v>1005.0</v>
      </c>
      <c r="B1007" s="4" t="s">
        <v>1595</v>
      </c>
      <c r="C1007" s="4" t="str">
        <f>IFERROR(__xludf.DUMMYFUNCTION("GOOGLETRANSLATE(D:D,""auto"",""en"")"),"Tang Fei embarrassed and easy Xi smelt one thousand photo")</f>
        <v>Tang Fei embarrassed and easy Xi smelt one thousand photo</v>
      </c>
      <c r="D1007" s="4" t="s">
        <v>1581</v>
      </c>
      <c r="E1007" s="4">
        <v>9158321.0</v>
      </c>
      <c r="F1007" s="4">
        <v>6.0</v>
      </c>
      <c r="G1007" s="4" t="s">
        <v>1582</v>
      </c>
    </row>
    <row r="1008">
      <c r="A1008" s="1">
        <v>1006.0</v>
      </c>
      <c r="B1008" s="4" t="s">
        <v>1595</v>
      </c>
      <c r="C1008" s="4" t="str">
        <f>IFERROR(__xludf.DUMMYFUNCTION("GOOGLETRANSLATE(D:D,""auto"",""en"")"),"How to spring away from the pathogen")</f>
        <v>How to spring away from the pathogen</v>
      </c>
      <c r="D1008" s="4" t="s">
        <v>1604</v>
      </c>
      <c r="E1008" s="4">
        <v>8985438.0</v>
      </c>
      <c r="F1008" s="4">
        <v>7.0</v>
      </c>
      <c r="G1008" s="4" t="s">
        <v>1605</v>
      </c>
    </row>
    <row r="1009">
      <c r="A1009" s="1">
        <v>1007.0</v>
      </c>
      <c r="B1009" s="4" t="s">
        <v>1595</v>
      </c>
      <c r="C1009" s="4" t="str">
        <f>IFERROR(__xludf.DUMMYFUNCTION("GOOGLETRANSLATE(D:D,""auto"",""en"")"),"Vibrato too difficult to find a card")</f>
        <v>Vibrato too difficult to find a card</v>
      </c>
      <c r="D1009" s="4" t="s">
        <v>1606</v>
      </c>
      <c r="E1009" s="4">
        <v>8956020.0</v>
      </c>
      <c r="F1009" s="4">
        <v>8.0</v>
      </c>
      <c r="G1009" s="4" t="s">
        <v>1607</v>
      </c>
    </row>
    <row r="1010">
      <c r="A1010" s="1">
        <v>1008.0</v>
      </c>
      <c r="B1010" s="4" t="s">
        <v>1595</v>
      </c>
      <c r="C1010" s="4" t="str">
        <f>IFERROR(__xludf.DUMMYFUNCTION("GOOGLETRANSLATE(D:D,""auto"",""en"")"),"Lin Yun children with a la carte Chinese")</f>
        <v>Lin Yun children with a la carte Chinese</v>
      </c>
      <c r="D1010" s="4" t="s">
        <v>1543</v>
      </c>
      <c r="E1010" s="4">
        <v>8950115.0</v>
      </c>
      <c r="F1010" s="4">
        <v>9.0</v>
      </c>
      <c r="G1010" s="4" t="s">
        <v>1544</v>
      </c>
    </row>
    <row r="1011">
      <c r="A1011" s="1">
        <v>1009.0</v>
      </c>
      <c r="B1011" s="4" t="s">
        <v>1595</v>
      </c>
      <c r="C1011" s="4" t="str">
        <f>IFERROR(__xludf.DUMMYFUNCTION("GOOGLETRANSLATE(D:D,""auto"",""en"")"),"Lee cameo movie to win now")</f>
        <v>Lee cameo movie to win now</v>
      </c>
      <c r="D1011" s="4" t="s">
        <v>1513</v>
      </c>
      <c r="E1011" s="4">
        <v>8862139.0</v>
      </c>
      <c r="F1011" s="4">
        <v>10.0</v>
      </c>
      <c r="G1011" s="4" t="s">
        <v>1514</v>
      </c>
    </row>
    <row r="1012">
      <c r="A1012" s="1">
        <v>1010.0</v>
      </c>
      <c r="B1012" s="4" t="s">
        <v>1595</v>
      </c>
      <c r="C1012" s="4" t="str">
        <f>IFERROR(__xludf.DUMMYFUNCTION("GOOGLETRANSLATE(D:D,""auto"",""en"")"),"James former teammate street")</f>
        <v>James former teammate street</v>
      </c>
      <c r="D1012" s="4" t="s">
        <v>1608</v>
      </c>
      <c r="E1012" s="4">
        <v>8840495.0</v>
      </c>
      <c r="F1012" s="4">
        <v>11.0</v>
      </c>
      <c r="G1012" s="4" t="s">
        <v>1609</v>
      </c>
    </row>
    <row r="1013">
      <c r="A1013" s="1">
        <v>1011.0</v>
      </c>
      <c r="B1013" s="4" t="s">
        <v>1595</v>
      </c>
      <c r="C1013" s="4" t="str">
        <f>IFERROR(__xludf.DUMMYFUNCTION("GOOGLETRANSLATE(D:D,""auto"",""en"")"),"People's Liberation Army in the border rage against foreign military")</f>
        <v>People's Liberation Army in the border rage against foreign military</v>
      </c>
      <c r="D1013" s="4" t="s">
        <v>1610</v>
      </c>
      <c r="E1013" s="4">
        <v>8813238.0</v>
      </c>
      <c r="F1013" s="4">
        <v>12.0</v>
      </c>
      <c r="G1013" s="4" t="s">
        <v>1611</v>
      </c>
    </row>
    <row r="1014">
      <c r="A1014" s="1">
        <v>1012.0</v>
      </c>
      <c r="B1014" s="4" t="s">
        <v>1595</v>
      </c>
      <c r="C1014" s="4" t="str">
        <f>IFERROR(__xludf.DUMMYFUNCTION("GOOGLETRANSLATE(D:D,""auto"",""en"")"),"Huachen Yu Ma Tianyu propan Ao cos Zha")</f>
        <v>Huachen Yu Ma Tianyu propan Ao cos Zha</v>
      </c>
      <c r="D1014" s="4" t="s">
        <v>1515</v>
      </c>
      <c r="E1014" s="4">
        <v>8698734.0</v>
      </c>
      <c r="F1014" s="4">
        <v>13.0</v>
      </c>
      <c r="G1014" s="4" t="s">
        <v>1516</v>
      </c>
    </row>
    <row r="1015">
      <c r="A1015" s="1">
        <v>1013.0</v>
      </c>
      <c r="B1015" s="4" t="s">
        <v>1595</v>
      </c>
      <c r="C1015" s="4" t="str">
        <f>IFERROR(__xludf.DUMMYFUNCTION("GOOGLETRANSLATE(D:D,""auto"",""en"")"),"Show wisdom states")</f>
        <v>Show wisdom states</v>
      </c>
      <c r="D1015" s="4" t="s">
        <v>1551</v>
      </c>
      <c r="E1015" s="4">
        <v>8676125.0</v>
      </c>
      <c r="F1015" s="4">
        <v>14.0</v>
      </c>
      <c r="G1015" s="4" t="s">
        <v>1552</v>
      </c>
    </row>
    <row r="1016">
      <c r="A1016" s="1">
        <v>1014.0</v>
      </c>
      <c r="B1016" s="4" t="s">
        <v>1595</v>
      </c>
      <c r="C1016" s="4" t="str">
        <f>IFERROR(__xludf.DUMMYFUNCTION("GOOGLETRANSLATE(D:D,""auto"",""en"")"),"Huang Xiaoming baby fit long absence")</f>
        <v>Huang Xiaoming baby fit long absence</v>
      </c>
      <c r="D1016" s="4" t="s">
        <v>1612</v>
      </c>
      <c r="E1016" s="4">
        <v>8631623.0</v>
      </c>
      <c r="F1016" s="4">
        <v>15.0</v>
      </c>
      <c r="G1016" s="4" t="s">
        <v>1613</v>
      </c>
    </row>
    <row r="1017">
      <c r="A1017" s="1">
        <v>1015.0</v>
      </c>
      <c r="B1017" s="4" t="s">
        <v>1595</v>
      </c>
      <c r="C1017" s="4" t="str">
        <f>IFERROR(__xludf.DUMMYFUNCTION("GOOGLETRANSLATE(D:D,""auto"",""en"")"),"Huang Minghao costume modeling")</f>
        <v>Huang Minghao costume modeling</v>
      </c>
      <c r="D1017" s="4" t="s">
        <v>1577</v>
      </c>
      <c r="E1017" s="4">
        <v>8593294.0</v>
      </c>
      <c r="F1017" s="4">
        <v>16.0</v>
      </c>
      <c r="G1017" s="4" t="s">
        <v>1578</v>
      </c>
    </row>
    <row r="1018">
      <c r="A1018" s="1">
        <v>1016.0</v>
      </c>
      <c r="B1018" s="4" t="s">
        <v>1595</v>
      </c>
      <c r="C1018" s="4" t="str">
        <f>IFERROR(__xludf.DUMMYFUNCTION("GOOGLETRANSLATE(D:D,""auto"",""en"")"),"When bad English brother-stay hotel")</f>
        <v>When bad English brother-stay hotel</v>
      </c>
      <c r="D1018" s="4" t="s">
        <v>1614</v>
      </c>
      <c r="E1018" s="4">
        <v>8518667.0</v>
      </c>
      <c r="F1018" s="4">
        <v>17.0</v>
      </c>
      <c r="G1018" s="4" t="s">
        <v>1615</v>
      </c>
    </row>
    <row r="1019">
      <c r="A1019" s="1">
        <v>1017.0</v>
      </c>
      <c r="B1019" s="4" t="s">
        <v>1595</v>
      </c>
      <c r="C1019" s="4" t="str">
        <f>IFERROR(__xludf.DUMMYFUNCTION("GOOGLETRANSLATE(D:D,""auto"",""en"")"),"New infectious than SARS coronavirus weak")</f>
        <v>New infectious than SARS coronavirus weak</v>
      </c>
      <c r="D1019" s="4" t="s">
        <v>1616</v>
      </c>
      <c r="E1019" s="4">
        <v>8513763.0</v>
      </c>
      <c r="F1019" s="4">
        <v>18.0</v>
      </c>
      <c r="G1019" s="4" t="s">
        <v>1617</v>
      </c>
    </row>
    <row r="1020">
      <c r="A1020" s="1">
        <v>1018.0</v>
      </c>
      <c r="B1020" s="4" t="s">
        <v>1595</v>
      </c>
      <c r="C1020" s="4" t="str">
        <f>IFERROR(__xludf.DUMMYFUNCTION("GOOGLETRANSLATE(D:D,""auto"",""en"")"),"Australia will again sandstorm attack")</f>
        <v>Australia will again sandstorm attack</v>
      </c>
      <c r="D1020" s="4" t="s">
        <v>1618</v>
      </c>
      <c r="E1020" s="4">
        <v>8504455.0</v>
      </c>
      <c r="F1020" s="4">
        <v>19.0</v>
      </c>
      <c r="G1020" s="4" t="s">
        <v>1619</v>
      </c>
    </row>
    <row r="1021">
      <c r="A1021" s="1">
        <v>1019.0</v>
      </c>
      <c r="B1021" s="4" t="s">
        <v>1595</v>
      </c>
      <c r="C1021" s="4" t="str">
        <f>IFERROR(__xludf.DUMMYFUNCTION("GOOGLETRANSLATE(D:D,""auto"",""en"")"),"Colleagues succeed Dr. Tao doctor")</f>
        <v>Colleagues succeed Dr. Tao doctor</v>
      </c>
      <c r="D1021" s="4" t="s">
        <v>1620</v>
      </c>
      <c r="E1021" s="4">
        <v>8481502.0</v>
      </c>
      <c r="F1021" s="4">
        <v>20.0</v>
      </c>
      <c r="G1021" s="4" t="s">
        <v>1621</v>
      </c>
    </row>
    <row r="1022">
      <c r="A1022" s="1">
        <v>1020.0</v>
      </c>
      <c r="B1022" s="4" t="s">
        <v>1595</v>
      </c>
      <c r="C1022" s="4" t="str">
        <f>IFERROR(__xludf.DUMMYFUNCTION("GOOGLETRANSLATE(D:D,""auto"",""en"")"),"Stengel imitate Cai Xiao Zhan Xu Kun")</f>
        <v>Stengel imitate Cai Xiao Zhan Xu Kun</v>
      </c>
      <c r="D1022" s="4" t="s">
        <v>1571</v>
      </c>
      <c r="E1022" s="4">
        <v>8480134.0</v>
      </c>
      <c r="F1022" s="4">
        <v>21.0</v>
      </c>
      <c r="G1022" s="4" t="s">
        <v>1572</v>
      </c>
    </row>
    <row r="1023">
      <c r="A1023" s="1">
        <v>1021.0</v>
      </c>
      <c r="B1023" s="4" t="s">
        <v>1595</v>
      </c>
      <c r="C1023" s="4" t="str">
        <f>IFERROR(__xludf.DUMMYFUNCTION("GOOGLETRANSLATE(D:D,""auto"",""en"")"),"The stage is everywhere")</f>
        <v>The stage is everywhere</v>
      </c>
      <c r="D1023" s="4" t="s">
        <v>188</v>
      </c>
      <c r="E1023" s="4">
        <v>8391443.0</v>
      </c>
      <c r="F1023" s="4">
        <v>22.0</v>
      </c>
      <c r="G1023" s="4" t="s">
        <v>189</v>
      </c>
    </row>
    <row r="1024">
      <c r="A1024" s="1">
        <v>1022.0</v>
      </c>
      <c r="B1024" s="4" t="s">
        <v>1595</v>
      </c>
      <c r="C1024" s="4" t="str">
        <f>IFERROR(__xludf.DUMMYFUNCTION("GOOGLETRANSLATE(D:D,""auto"",""en"")"),"2020 had a really fragrant years")</f>
        <v>2020 had a really fragrant years</v>
      </c>
      <c r="D1024" s="4" t="s">
        <v>1622</v>
      </c>
      <c r="E1024" s="4">
        <v>8330283.0</v>
      </c>
      <c r="F1024" s="4">
        <v>23.0</v>
      </c>
      <c r="G1024" s="4" t="s">
        <v>1623</v>
      </c>
    </row>
    <row r="1025">
      <c r="A1025" s="1">
        <v>1023.0</v>
      </c>
      <c r="B1025" s="4" t="s">
        <v>1595</v>
      </c>
      <c r="C1025" s="4" t="str">
        <f>IFERROR(__xludf.DUMMYFUNCTION("GOOGLETRANSLATE(D:D,""auto"",""en"")"),"Right Zhi-long blue suit")</f>
        <v>Right Zhi-long blue suit</v>
      </c>
      <c r="D1025" s="4" t="s">
        <v>1541</v>
      </c>
      <c r="E1025" s="4">
        <v>8276137.0</v>
      </c>
      <c r="F1025" s="4">
        <v>24.0</v>
      </c>
      <c r="G1025" s="4" t="s">
        <v>1542</v>
      </c>
    </row>
    <row r="1026">
      <c r="A1026" s="1">
        <v>1024.0</v>
      </c>
      <c r="B1026" s="4" t="s">
        <v>1595</v>
      </c>
      <c r="C1026" s="4" t="str">
        <f>IFERROR(__xludf.DUMMYFUNCTION("GOOGLETRANSLATE(D:D,""auto"",""en"")"),"Andy go to the supermarket to listen to their own songs")</f>
        <v>Andy go to the supermarket to listen to their own songs</v>
      </c>
      <c r="D1026" s="4" t="s">
        <v>1624</v>
      </c>
      <c r="E1026" s="4">
        <v>8269065.0</v>
      </c>
      <c r="F1026" s="4">
        <v>25.0</v>
      </c>
      <c r="G1026" s="4" t="s">
        <v>1625</v>
      </c>
    </row>
    <row r="1027">
      <c r="A1027" s="1">
        <v>1025.0</v>
      </c>
      <c r="B1027" s="4" t="s">
        <v>1595</v>
      </c>
      <c r="C1027" s="4" t="str">
        <f>IFERROR(__xludf.DUMMYFUNCTION("GOOGLETRANSLATE(D:D,""auto"",""en"")"),"Himalayan avalanche lost to four Chinese tourists")</f>
        <v>Himalayan avalanche lost to four Chinese tourists</v>
      </c>
      <c r="D1027" s="4" t="s">
        <v>1559</v>
      </c>
      <c r="E1027" s="4">
        <v>8218444.0</v>
      </c>
      <c r="F1027" s="4">
        <v>26.0</v>
      </c>
      <c r="G1027" s="4" t="s">
        <v>1560</v>
      </c>
    </row>
    <row r="1028">
      <c r="A1028" s="1">
        <v>1026.0</v>
      </c>
      <c r="B1028" s="4" t="s">
        <v>1595</v>
      </c>
      <c r="C1028" s="4" t="str">
        <f>IFERROR(__xludf.DUMMYFUNCTION("GOOGLETRANSLATE(D:D,""auto"",""en"")"),"Jacky Zhang day love snow embarrassed play")</f>
        <v>Jacky Zhang day love snow embarrassed play</v>
      </c>
      <c r="D1028" s="4" t="s">
        <v>1626</v>
      </c>
      <c r="E1028" s="4">
        <v>8179026.0</v>
      </c>
      <c r="F1028" s="4">
        <v>27.0</v>
      </c>
      <c r="G1028" s="4" t="s">
        <v>1627</v>
      </c>
    </row>
    <row r="1029">
      <c r="A1029" s="1">
        <v>1027.0</v>
      </c>
      <c r="B1029" s="4" t="s">
        <v>1595</v>
      </c>
      <c r="C1029" s="4" t="str">
        <f>IFERROR(__xludf.DUMMYFUNCTION("GOOGLETRANSLATE(D:D,""auto"",""en"")"),"Wuhan treatment program announced")</f>
        <v>Wuhan treatment program announced</v>
      </c>
      <c r="D1029" s="4" t="s">
        <v>1628</v>
      </c>
      <c r="E1029" s="4">
        <v>8083923.0</v>
      </c>
      <c r="F1029" s="4">
        <v>28.0</v>
      </c>
      <c r="G1029" s="4" t="s">
        <v>1629</v>
      </c>
    </row>
    <row r="1030">
      <c r="A1030" s="1">
        <v>1028.0</v>
      </c>
      <c r="B1030" s="4" t="s">
        <v>1595</v>
      </c>
      <c r="C1030" s="4" t="str">
        <f>IFERROR(__xludf.DUMMYFUNCTION("GOOGLETRANSLATE(D:D,""auto"",""en"")"),"Yue Yunpeng Spring Festival are beautiful people except me")</f>
        <v>Yue Yunpeng Spring Festival are beautiful people except me</v>
      </c>
      <c r="D1030" s="4" t="s">
        <v>1630</v>
      </c>
      <c r="E1030" s="4">
        <v>8070453.0</v>
      </c>
      <c r="F1030" s="4">
        <v>29.0</v>
      </c>
      <c r="G1030" s="4" t="s">
        <v>1631</v>
      </c>
    </row>
    <row r="1031">
      <c r="A1031" s="1">
        <v>1029.0</v>
      </c>
      <c r="B1031" s="4" t="s">
        <v>1595</v>
      </c>
      <c r="C1031" s="4" t="str">
        <f>IFERROR(__xludf.DUMMYFUNCTION("GOOGLETRANSLATE(D:D,""auto"",""en"")"),"Wuhan embodiment control personnel out of Wuhan")</f>
        <v>Wuhan embodiment control personnel out of Wuhan</v>
      </c>
      <c r="D1031" s="4" t="s">
        <v>1632</v>
      </c>
      <c r="E1031" s="4">
        <v>8056955.0</v>
      </c>
      <c r="F1031" s="4">
        <v>30.0</v>
      </c>
      <c r="G1031" s="4" t="s">
        <v>1633</v>
      </c>
    </row>
    <row r="1032">
      <c r="A1032" s="1">
        <v>1030.0</v>
      </c>
      <c r="B1032" s="4" t="s">
        <v>1595</v>
      </c>
      <c r="C1032" s="4" t="str">
        <f>IFERROR(__xludf.DUMMYFUNCTION("GOOGLETRANSLATE(D:D,""auto"",""en"")"),"Family reunion celebration circle")</f>
        <v>Family reunion celebration circle</v>
      </c>
      <c r="D1032" s="4" t="s">
        <v>1634</v>
      </c>
      <c r="E1032" s="4">
        <v>7964719.0</v>
      </c>
      <c r="F1032" s="4">
        <v>31.0</v>
      </c>
      <c r="G1032" s="4" t="s">
        <v>1635</v>
      </c>
    </row>
    <row r="1033">
      <c r="A1033" s="1">
        <v>1031.0</v>
      </c>
      <c r="B1033" s="4" t="s">
        <v>1595</v>
      </c>
      <c r="C1033" s="4" t="str">
        <f>IFERROR(__xludf.DUMMYFUNCTION("GOOGLETRANSLATE(D:D,""auto"",""en"")"),"Jay jealous")</f>
        <v>Jay jealous</v>
      </c>
      <c r="D1033" s="4" t="s">
        <v>1636</v>
      </c>
      <c r="E1033" s="4">
        <v>7902189.0</v>
      </c>
      <c r="F1033" s="4">
        <v>32.0</v>
      </c>
      <c r="G1033" s="4" t="s">
        <v>1637</v>
      </c>
    </row>
    <row r="1034">
      <c r="A1034" s="1">
        <v>1032.0</v>
      </c>
      <c r="B1034" s="4" t="s">
        <v>1595</v>
      </c>
      <c r="C1034" s="4" t="str">
        <f>IFERROR(__xludf.DUMMYFUNCTION("GOOGLETRANSLATE(D:D,""auto"",""en"")"),"When the elder began to shoot vlog")</f>
        <v>When the elder began to shoot vlog</v>
      </c>
      <c r="D1034" s="4" t="s">
        <v>1638</v>
      </c>
      <c r="E1034" s="4">
        <v>7896215.0</v>
      </c>
      <c r="F1034" s="4">
        <v>33.0</v>
      </c>
      <c r="G1034" s="4" t="s">
        <v>1639</v>
      </c>
    </row>
    <row r="1035">
      <c r="A1035" s="1">
        <v>1033.0</v>
      </c>
      <c r="B1035" s="4" t="s">
        <v>1595</v>
      </c>
      <c r="C1035" s="4" t="str">
        <f>IFERROR(__xludf.DUMMYFUNCTION("GOOGLETRANSLATE(D:D,""auto"",""en"")"),"Armed Police rescued eight hostages were abducted")</f>
        <v>Armed Police rescued eight hostages were abducted</v>
      </c>
      <c r="D1035" s="4" t="s">
        <v>1640</v>
      </c>
      <c r="E1035" s="4">
        <v>7872987.0</v>
      </c>
      <c r="F1035" s="4">
        <v>34.0</v>
      </c>
      <c r="G1035" s="4" t="s">
        <v>1641</v>
      </c>
    </row>
    <row r="1036">
      <c r="A1036" s="1">
        <v>1034.0</v>
      </c>
      <c r="B1036" s="4" t="s">
        <v>1595</v>
      </c>
      <c r="C1036" s="4" t="str">
        <f>IFERROR(__xludf.DUMMYFUNCTION("GOOGLETRANSLATE(D:D,""auto"",""en"")"),"84-year-old Zhong Nanshan punch in the fight against the epidemic first line")</f>
        <v>84-year-old Zhong Nanshan punch in the fight against the epidemic first line</v>
      </c>
      <c r="D1036" s="4" t="s">
        <v>1642</v>
      </c>
      <c r="E1036" s="4">
        <v>7804129.0</v>
      </c>
      <c r="F1036" s="4">
        <v>35.0</v>
      </c>
      <c r="G1036" s="4" t="s">
        <v>1643</v>
      </c>
    </row>
    <row r="1037">
      <c r="A1037" s="1">
        <v>1035.0</v>
      </c>
      <c r="B1037" s="4" t="s">
        <v>1595</v>
      </c>
      <c r="C1037" s="4" t="str">
        <f>IFERROR(__xludf.DUMMYFUNCTION("GOOGLETRANSLATE(D:D,""auto"",""en"")"),"Tianjin new cases diagnosed two cases of coronavirus pneumonia")</f>
        <v>Tianjin new cases diagnosed two cases of coronavirus pneumonia</v>
      </c>
      <c r="D1037" s="4" t="s">
        <v>1644</v>
      </c>
      <c r="E1037" s="4">
        <v>7722559.0</v>
      </c>
      <c r="F1037" s="4">
        <v>36.0</v>
      </c>
      <c r="G1037" s="4" t="s">
        <v>1645</v>
      </c>
    </row>
    <row r="1038">
      <c r="A1038" s="1">
        <v>1036.0</v>
      </c>
      <c r="B1038" s="4" t="s">
        <v>1595</v>
      </c>
      <c r="C1038" s="4" t="str">
        <f>IFERROR(__xludf.DUMMYFUNCTION("GOOGLETRANSLATE(D:D,""auto"",""en"")"),"Noisy upstairs downstairs Zhuangzhenlouqi fight back")</f>
        <v>Noisy upstairs downstairs Zhuangzhenlouqi fight back</v>
      </c>
      <c r="D1038" s="4" t="s">
        <v>1646</v>
      </c>
      <c r="E1038" s="4">
        <v>7646341.0</v>
      </c>
      <c r="F1038" s="4">
        <v>37.0</v>
      </c>
      <c r="G1038" s="4" t="s">
        <v>1647</v>
      </c>
    </row>
    <row r="1039">
      <c r="A1039" s="1">
        <v>1037.0</v>
      </c>
      <c r="B1039" s="4" t="s">
        <v>1595</v>
      </c>
      <c r="C1039" s="4" t="str">
        <f>IFERROR(__xludf.DUMMYFUNCTION("GOOGLETRANSLATE(D:D,""auto"",""en"")"),"Royal Prince Harry responded quit public office")</f>
        <v>Royal Prince Harry responded quit public office</v>
      </c>
      <c r="D1039" s="4" t="s">
        <v>1648</v>
      </c>
      <c r="E1039" s="4">
        <v>7622019.0</v>
      </c>
      <c r="F1039" s="4">
        <v>38.0</v>
      </c>
      <c r="G1039" s="4" t="s">
        <v>1649</v>
      </c>
    </row>
    <row r="1040">
      <c r="A1040" s="1">
        <v>1038.0</v>
      </c>
      <c r="B1040" s="4" t="s">
        <v>1595</v>
      </c>
      <c r="C1040" s="4" t="str">
        <f>IFERROR(__xludf.DUMMYFUNCTION("GOOGLETRANSLATE(D:D,""auto"",""en"")"),"Ouyang Nana summoned to sing Happy New Year")</f>
        <v>Ouyang Nana summoned to sing Happy New Year</v>
      </c>
      <c r="D1040" s="4" t="s">
        <v>1650</v>
      </c>
      <c r="E1040" s="4">
        <v>7569327.0</v>
      </c>
      <c r="F1040" s="4">
        <v>39.0</v>
      </c>
      <c r="G1040" s="4" t="s">
        <v>1651</v>
      </c>
    </row>
    <row r="1041">
      <c r="A1041" s="1">
        <v>1039.0</v>
      </c>
      <c r="B1041" s="4" t="s">
        <v>1595</v>
      </c>
      <c r="C1041" s="4" t="str">
        <f>IFERROR(__xludf.DUMMYFUNCTION("GOOGLETRANSLATE(D:D,""auto"",""en"")"),"The new territory of 217 cases diagnosed with pneumonia")</f>
        <v>The new territory of 217 cases diagnosed with pneumonia</v>
      </c>
      <c r="D1041" s="4" t="s">
        <v>1553</v>
      </c>
      <c r="E1041" s="4">
        <v>7540142.0</v>
      </c>
      <c r="F1041" s="4">
        <v>40.0</v>
      </c>
      <c r="G1041" s="4" t="s">
        <v>1554</v>
      </c>
    </row>
    <row r="1042">
      <c r="A1042" s="1">
        <v>1040.0</v>
      </c>
      <c r="B1042" s="4" t="s">
        <v>1595</v>
      </c>
      <c r="C1042" s="4" t="str">
        <f>IFERROR(__xludf.DUMMYFUNCTION("GOOGLETRANSLATE(D:D,""auto"",""en"")"),"Zhejiang New diagnosed five cases of pneumonia")</f>
        <v>Zhejiang New diagnosed five cases of pneumonia</v>
      </c>
      <c r="D1042" s="4" t="s">
        <v>1652</v>
      </c>
      <c r="E1042" s="4">
        <v>7535921.0</v>
      </c>
      <c r="F1042" s="4">
        <v>41.0</v>
      </c>
      <c r="G1042" s="4" t="s">
        <v>1653</v>
      </c>
    </row>
    <row r="1043">
      <c r="A1043" s="1">
        <v>1041.0</v>
      </c>
      <c r="B1043" s="4" t="s">
        <v>1595</v>
      </c>
      <c r="C1043" s="4" t="str">
        <f>IFERROR(__xludf.DUMMYFUNCTION("GOOGLETRANSLATE(D:D,""auto"",""en"")"),"Lisa oblique fringe")</f>
        <v>Lisa oblique fringe</v>
      </c>
      <c r="D1043" s="4" t="s">
        <v>1569</v>
      </c>
      <c r="E1043" s="4">
        <v>7493372.0</v>
      </c>
      <c r="F1043" s="4">
        <v>42.0</v>
      </c>
      <c r="G1043" s="4" t="s">
        <v>1570</v>
      </c>
    </row>
    <row r="1044">
      <c r="A1044" s="1">
        <v>1042.0</v>
      </c>
      <c r="B1044" s="4" t="s">
        <v>1595</v>
      </c>
      <c r="C1044" s="4" t="str">
        <f>IFERROR(__xludf.DUMMYFUNCTION("GOOGLETRANSLATE(D:D,""auto"",""en"")"),"Zhang Jin see their simulated response")</f>
        <v>Zhang Jin see their simulated response</v>
      </c>
      <c r="D1044" s="4" t="s">
        <v>1654</v>
      </c>
      <c r="E1044" s="4">
        <v>7366969.0</v>
      </c>
      <c r="F1044" s="4">
        <v>43.0</v>
      </c>
      <c r="G1044" s="4" t="s">
        <v>1655</v>
      </c>
    </row>
    <row r="1045">
      <c r="A1045" s="1">
        <v>1043.0</v>
      </c>
      <c r="B1045" s="4" t="s">
        <v>1595</v>
      </c>
      <c r="C1045" s="4" t="str">
        <f>IFERROR(__xludf.DUMMYFUNCTION("GOOGLETRANSLATE(D:D,""auto"",""en"")"),"Wuhan new type of pneumonia deaths increased to six cases")</f>
        <v>Wuhan new type of pneumonia deaths increased to six cases</v>
      </c>
      <c r="D1045" s="4" t="s">
        <v>1656</v>
      </c>
      <c r="E1045" s="4">
        <v>7320672.0</v>
      </c>
      <c r="F1045" s="4">
        <v>44.0</v>
      </c>
      <c r="G1045" s="4" t="s">
        <v>1657</v>
      </c>
    </row>
    <row r="1046">
      <c r="A1046" s="1">
        <v>1044.0</v>
      </c>
      <c r="B1046" s="4" t="s">
        <v>1595</v>
      </c>
      <c r="C1046" s="4" t="str">
        <f>IFERROR(__xludf.DUMMYFUNCTION("GOOGLETRANSLATE(D:D,""auto"",""en"")"),"Wei health committee of experts to offer advice and new prevention and control of pneumonia")</f>
        <v>Wei health committee of experts to offer advice and new prevention and control of pneumonia</v>
      </c>
      <c r="D1046" s="4" t="s">
        <v>1658</v>
      </c>
      <c r="E1046" s="4">
        <v>7309746.0</v>
      </c>
      <c r="F1046" s="4">
        <v>45.0</v>
      </c>
      <c r="G1046" s="4" t="s">
        <v>1659</v>
      </c>
    </row>
    <row r="1047">
      <c r="A1047" s="1">
        <v>1045.0</v>
      </c>
      <c r="B1047" s="4" t="s">
        <v>1595</v>
      </c>
      <c r="C1047" s="4" t="str">
        <f>IFERROR(__xludf.DUMMYFUNCTION("GOOGLETRANSLATE(D:D,""auto"",""en"")"),"Ministry of Foreign Affairs to respond to the epidemic novel coronavirus pneumonia")</f>
        <v>Ministry of Foreign Affairs to respond to the epidemic novel coronavirus pneumonia</v>
      </c>
      <c r="D1047" s="4" t="s">
        <v>1660</v>
      </c>
      <c r="E1047" s="4">
        <v>7229723.0</v>
      </c>
      <c r="F1047" s="4">
        <v>46.0</v>
      </c>
      <c r="G1047" s="4" t="s">
        <v>1661</v>
      </c>
    </row>
    <row r="1048">
      <c r="A1048" s="1">
        <v>1046.0</v>
      </c>
      <c r="B1048" s="4" t="s">
        <v>1595</v>
      </c>
      <c r="C1048" s="4" t="str">
        <f>IFERROR(__xludf.DUMMYFUNCTION("GOOGLETRANSLATE(D:D,""auto"",""en"")"),"Yiyangqianxi opera style")</f>
        <v>Yiyangqianxi opera style</v>
      </c>
      <c r="D1048" s="4" t="s">
        <v>1662</v>
      </c>
      <c r="E1048" s="4">
        <v>7214796.0</v>
      </c>
      <c r="F1048" s="4">
        <v>47.0</v>
      </c>
      <c r="G1048" s="4" t="s">
        <v>1663</v>
      </c>
    </row>
    <row r="1049">
      <c r="A1049" s="1">
        <v>1047.0</v>
      </c>
      <c r="B1049" s="4" t="s">
        <v>1595</v>
      </c>
      <c r="C1049" s="4" t="str">
        <f>IFERROR(__xludf.DUMMYFUNCTION("GOOGLETRANSLATE(D:D,""auto"",""en"")"),"Luo Zhang Yixing special edition of Britain kills eight")</f>
        <v>Luo Zhang Yixing special edition of Britain kills eight</v>
      </c>
      <c r="D1049" s="4" t="s">
        <v>1664</v>
      </c>
      <c r="E1049" s="4">
        <v>7075277.0</v>
      </c>
      <c r="F1049" s="4">
        <v>48.0</v>
      </c>
      <c r="G1049" s="4" t="s">
        <v>1665</v>
      </c>
    </row>
    <row r="1050">
      <c r="A1050" s="1">
        <v>1048.0</v>
      </c>
      <c r="B1050" s="4" t="s">
        <v>1595</v>
      </c>
      <c r="C1050" s="4" t="str">
        <f>IFERROR(__xludf.DUMMYFUNCTION("GOOGLETRANSLATE(D:D,""auto"",""en"")"),"The next stop is the happiness given file")</f>
        <v>The next stop is the happiness given file</v>
      </c>
      <c r="D1050" s="4" t="s">
        <v>1666</v>
      </c>
      <c r="E1050" s="4">
        <v>7061282.0</v>
      </c>
      <c r="F1050" s="4">
        <v>49.0</v>
      </c>
      <c r="G1050" s="4" t="s">
        <v>1667</v>
      </c>
    </row>
    <row r="1051">
      <c r="A1051" s="1">
        <v>1049.0</v>
      </c>
      <c r="B1051" s="4" t="s">
        <v>1595</v>
      </c>
      <c r="C1051" s="4" t="str">
        <f>IFERROR(__xludf.DUMMYFUNCTION("GOOGLETRANSLATE(D:D,""auto"",""en"")"),"Peter Chan boast Yiyangqianxi")</f>
        <v>Peter Chan boast Yiyangqianxi</v>
      </c>
      <c r="D1051" s="4" t="s">
        <v>1668</v>
      </c>
      <c r="E1051" s="4">
        <v>7030671.0</v>
      </c>
      <c r="F1051" s="4">
        <v>50.0</v>
      </c>
      <c r="G1051" s="4" t="s">
        <v>1669</v>
      </c>
    </row>
    <row r="1052">
      <c r="A1052" s="1">
        <v>1050.0</v>
      </c>
      <c r="B1052" s="4" t="s">
        <v>1670</v>
      </c>
      <c r="C1052" s="4" t="str">
        <f>IFERROR(__xludf.DUMMYFUNCTION("GOOGLETRANSLATE(D:D,""auto"",""en"")"),"Andy go to the supermarket to listen to their own songs")</f>
        <v>Andy go to the supermarket to listen to their own songs</v>
      </c>
      <c r="D1052" s="4" t="s">
        <v>1624</v>
      </c>
      <c r="E1052" s="4">
        <v>1.0877205E7</v>
      </c>
      <c r="F1052" s="4">
        <v>1.0</v>
      </c>
      <c r="G1052" s="4" t="s">
        <v>1625</v>
      </c>
    </row>
    <row r="1053">
      <c r="A1053" s="1">
        <v>1051.0</v>
      </c>
      <c r="B1053" s="4" t="s">
        <v>1670</v>
      </c>
      <c r="C1053" s="4" t="str">
        <f>IFERROR(__xludf.DUMMYFUNCTION("GOOGLETRANSLATE(D:D,""auto"",""en"")"),"Ouyang Nana summoned to sing Happy New Year")</f>
        <v>Ouyang Nana summoned to sing Happy New Year</v>
      </c>
      <c r="D1053" s="4" t="s">
        <v>1650</v>
      </c>
      <c r="E1053" s="4">
        <v>1.0612263E7</v>
      </c>
      <c r="F1053" s="4">
        <v>2.0</v>
      </c>
      <c r="G1053" s="4" t="s">
        <v>1651</v>
      </c>
    </row>
    <row r="1054">
      <c r="A1054" s="1">
        <v>1052.0</v>
      </c>
      <c r="B1054" s="4" t="s">
        <v>1670</v>
      </c>
      <c r="C1054" s="4" t="str">
        <f>IFERROR(__xludf.DUMMYFUNCTION("GOOGLETRANSLATE(D:D,""auto"",""en"")"),"New confirmed 440 cases of pneumonia 9 died")</f>
        <v>New confirmed 440 cases of pneumonia 9 died</v>
      </c>
      <c r="D1054" s="4" t="s">
        <v>1671</v>
      </c>
      <c r="E1054" s="4">
        <v>1.0366165E7</v>
      </c>
      <c r="F1054" s="4">
        <v>3.0</v>
      </c>
      <c r="G1054" s="4" t="s">
        <v>1672</v>
      </c>
    </row>
    <row r="1055">
      <c r="A1055" s="1">
        <v>1053.0</v>
      </c>
      <c r="B1055" s="4" t="s">
        <v>1670</v>
      </c>
      <c r="C1055" s="4" t="str">
        <f>IFERROR(__xludf.DUMMYFUNCTION("GOOGLETRANSLATE(D:D,""auto"",""en"")"),"Doctors Wuhan friends circle")</f>
        <v>Doctors Wuhan friends circle</v>
      </c>
      <c r="D1055" s="4" t="s">
        <v>1673</v>
      </c>
      <c r="E1055" s="4">
        <v>1.0335535E7</v>
      </c>
      <c r="F1055" s="4">
        <v>4.0</v>
      </c>
      <c r="G1055" s="4" t="s">
        <v>1674</v>
      </c>
    </row>
    <row r="1056">
      <c r="A1056" s="1">
        <v>1054.0</v>
      </c>
      <c r="B1056" s="4" t="s">
        <v>1670</v>
      </c>
      <c r="C1056" s="4" t="str">
        <f>IFERROR(__xludf.DUMMYFUNCTION("GOOGLETRANSLATE(D:D,""auto"",""en"")"),"Liaoning confirmed new cases of pneumonia in 2 cases")</f>
        <v>Liaoning confirmed new cases of pneumonia in 2 cases</v>
      </c>
      <c r="D1056" s="4" t="s">
        <v>1675</v>
      </c>
      <c r="E1056" s="4">
        <v>1.0102533E7</v>
      </c>
      <c r="F1056" s="4">
        <v>5.0</v>
      </c>
      <c r="G1056" s="4" t="s">
        <v>1676</v>
      </c>
    </row>
    <row r="1057">
      <c r="A1057" s="1">
        <v>1055.0</v>
      </c>
      <c r="B1057" s="4" t="s">
        <v>1670</v>
      </c>
      <c r="C1057" s="4" t="str">
        <f>IFERROR(__xludf.DUMMYFUNCTION("GOOGLETRANSLATE(D:D,""auto"",""en"")"),"Noisy upstairs downstairs Zhuangzhenlouqi fight back")</f>
        <v>Noisy upstairs downstairs Zhuangzhenlouqi fight back</v>
      </c>
      <c r="D1057" s="4" t="s">
        <v>1646</v>
      </c>
      <c r="E1057" s="4">
        <v>1.0088416E7</v>
      </c>
      <c r="F1057" s="4">
        <v>6.0</v>
      </c>
      <c r="G1057" s="4" t="s">
        <v>1647</v>
      </c>
    </row>
    <row r="1058">
      <c r="A1058" s="1">
        <v>1056.0</v>
      </c>
      <c r="B1058" s="4" t="s">
        <v>1670</v>
      </c>
      <c r="C1058" s="4" t="str">
        <f>IFERROR(__xludf.DUMMYFUNCTION("GOOGLETRANSLATE(D:D,""auto"",""en"")"),"At present the virus is not susceptible young children")</f>
        <v>At present the virus is not susceptible young children</v>
      </c>
      <c r="D1058" s="4" t="s">
        <v>1677</v>
      </c>
      <c r="E1058" s="4">
        <v>9865865.0</v>
      </c>
      <c r="F1058" s="4">
        <v>7.0</v>
      </c>
      <c r="G1058" s="4" t="s">
        <v>1678</v>
      </c>
    </row>
    <row r="1059">
      <c r="A1059" s="1">
        <v>1057.0</v>
      </c>
      <c r="B1059" s="4" t="s">
        <v>1670</v>
      </c>
      <c r="C1059" s="4" t="str">
        <f>IFERROR(__xludf.DUMMYFUNCTION("GOOGLETRANSLATE(D:D,""auto"",""en"")"),"Zeng Yin back")</f>
        <v>Zeng Yin back</v>
      </c>
      <c r="D1059" s="4" t="s">
        <v>1679</v>
      </c>
      <c r="E1059" s="4">
        <v>9840392.0</v>
      </c>
      <c r="F1059" s="4">
        <v>8.0</v>
      </c>
      <c r="G1059" s="4" t="s">
        <v>1680</v>
      </c>
    </row>
    <row r="1060">
      <c r="A1060" s="1">
        <v>1058.0</v>
      </c>
      <c r="B1060" s="4" t="s">
        <v>1670</v>
      </c>
      <c r="C1060" s="4" t="str">
        <f>IFERROR(__xludf.DUMMYFUNCTION("GOOGLETRANSLATE(D:D,""auto"",""en"")"),"Wuhan letter to the public friend")</f>
        <v>Wuhan letter to the public friend</v>
      </c>
      <c r="D1060" s="4" t="s">
        <v>1681</v>
      </c>
      <c r="E1060" s="4">
        <v>9837895.0</v>
      </c>
      <c r="F1060" s="4">
        <v>9.0</v>
      </c>
      <c r="G1060" s="4" t="s">
        <v>1682</v>
      </c>
    </row>
    <row r="1061">
      <c r="A1061" s="1">
        <v>1059.0</v>
      </c>
      <c r="B1061" s="4" t="s">
        <v>1670</v>
      </c>
      <c r="C1061" s="4" t="str">
        <f>IFERROR(__xludf.DUMMYFUNCTION("GOOGLETRANSLATE(D:D,""auto"",""en"")"),"Hubei intends to request emergency assistance for medical supplies")</f>
        <v>Hubei intends to request emergency assistance for medical supplies</v>
      </c>
      <c r="D1061" s="4" t="s">
        <v>1683</v>
      </c>
      <c r="E1061" s="4">
        <v>9649050.0</v>
      </c>
      <c r="F1061" s="4">
        <v>10.0</v>
      </c>
      <c r="G1061" s="4" t="s">
        <v>1684</v>
      </c>
    </row>
    <row r="1062">
      <c r="A1062" s="1">
        <v>1060.0</v>
      </c>
      <c r="B1062" s="4" t="s">
        <v>1670</v>
      </c>
      <c r="C1062" s="4" t="str">
        <f>IFERROR(__xludf.DUMMYFUNCTION("GOOGLETRANSLATE(D:D,""auto"",""en"")"),"Wuhan pneumonia quarantine site picture exposure")</f>
        <v>Wuhan pneumonia quarantine site picture exposure</v>
      </c>
      <c r="D1062" s="4" t="s">
        <v>1685</v>
      </c>
      <c r="E1062" s="4">
        <v>9581158.0</v>
      </c>
      <c r="F1062" s="4">
        <v>11.0</v>
      </c>
      <c r="G1062" s="4" t="s">
        <v>1686</v>
      </c>
    </row>
    <row r="1063">
      <c r="A1063" s="1">
        <v>1061.0</v>
      </c>
      <c r="B1063" s="4" t="s">
        <v>1670</v>
      </c>
      <c r="C1063" s="4" t="str">
        <f>IFERROR(__xludf.DUMMYFUNCTION("GOOGLETRANSLATE(D:D,""auto"",""en"")"),"The new coronavirus is not afraid of high temperature alcohol")</f>
        <v>The new coronavirus is not afraid of high temperature alcohol</v>
      </c>
      <c r="D1063" s="4" t="s">
        <v>1687</v>
      </c>
      <c r="E1063" s="4">
        <v>9406258.0</v>
      </c>
      <c r="F1063" s="4">
        <v>12.0</v>
      </c>
      <c r="G1063" s="4" t="s">
        <v>1688</v>
      </c>
    </row>
    <row r="1064">
      <c r="A1064" s="1">
        <v>1062.0</v>
      </c>
      <c r="B1064" s="4" t="s">
        <v>1670</v>
      </c>
      <c r="C1064" s="4" t="str">
        <f>IFERROR(__xludf.DUMMYFUNCTION("GOOGLETRANSLATE(D:D,""auto"",""en"")"),"The first case of severe pneumonia in the hospital's new sound")</f>
        <v>The first case of severe pneumonia in the hospital's new sound</v>
      </c>
      <c r="D1064" s="4" t="s">
        <v>1689</v>
      </c>
      <c r="E1064" s="4">
        <v>9319674.0</v>
      </c>
      <c r="F1064" s="4">
        <v>13.0</v>
      </c>
      <c r="G1064" s="4" t="s">
        <v>1690</v>
      </c>
    </row>
    <row r="1065">
      <c r="A1065" s="1">
        <v>1063.0</v>
      </c>
      <c r="B1065" s="4" t="s">
        <v>1670</v>
      </c>
      <c r="C1065" s="4" t="str">
        <f>IFERROR(__xludf.DUMMYFUNCTION("GOOGLETRANSLATE(D:D,""auto"",""en"")"),"Good Fortune worship Danian")</f>
        <v>Good Fortune worship Danian</v>
      </c>
      <c r="D1065" s="4" t="s">
        <v>1691</v>
      </c>
      <c r="E1065" s="4">
        <v>9212172.0</v>
      </c>
      <c r="F1065" s="4">
        <v>14.0</v>
      </c>
      <c r="G1065" s="4" t="s">
        <v>1692</v>
      </c>
    </row>
    <row r="1066">
      <c r="A1066" s="1">
        <v>1064.0</v>
      </c>
      <c r="B1066" s="4" t="s">
        <v>1670</v>
      </c>
      <c r="C1066" s="4" t="str">
        <f>IFERROR(__xludf.DUMMYFUNCTION("GOOGLETRANSLATE(D:D,""auto"",""en"")"),"Confirmed the first case of new cases of pneumonia in Guizhou")</f>
        <v>Confirmed the first case of new cases of pneumonia in Guizhou</v>
      </c>
      <c r="D1066" s="4" t="s">
        <v>1693</v>
      </c>
      <c r="E1066" s="4">
        <v>9178954.0</v>
      </c>
      <c r="F1066" s="4">
        <v>15.0</v>
      </c>
      <c r="G1066" s="4" t="s">
        <v>1694</v>
      </c>
    </row>
    <row r="1067">
      <c r="A1067" s="1">
        <v>1065.0</v>
      </c>
      <c r="B1067" s="4" t="s">
        <v>1670</v>
      </c>
      <c r="C1067" s="4" t="str">
        <f>IFERROR(__xludf.DUMMYFUNCTION("GOOGLETRANSLATE(D:D,""auto"",""en"")"),"Unlock Xiaozhan same paragraph red")</f>
        <v>Unlock Xiaozhan same paragraph red</v>
      </c>
      <c r="D1067" s="4" t="s">
        <v>1695</v>
      </c>
      <c r="E1067" s="4">
        <v>9158421.0</v>
      </c>
      <c r="F1067" s="4">
        <v>16.0</v>
      </c>
      <c r="G1067" s="4" t="s">
        <v>1696</v>
      </c>
    </row>
    <row r="1068">
      <c r="A1068" s="1">
        <v>1066.0</v>
      </c>
      <c r="B1068" s="4" t="s">
        <v>1670</v>
      </c>
      <c r="C1068" s="4" t="str">
        <f>IFERROR(__xludf.DUMMYFUNCTION("GOOGLETRANSLATE(D:D,""auto"",""en"")"),"Zhu Yilong the mic a little lower")</f>
        <v>Zhu Yilong the mic a little lower</v>
      </c>
      <c r="D1068" s="4" t="s">
        <v>1697</v>
      </c>
      <c r="E1068" s="4">
        <v>9001228.0</v>
      </c>
      <c r="F1068" s="4">
        <v>17.0</v>
      </c>
      <c r="G1068" s="4" t="s">
        <v>1698</v>
      </c>
    </row>
    <row r="1069">
      <c r="A1069" s="1">
        <v>1067.0</v>
      </c>
      <c r="B1069" s="4" t="s">
        <v>1670</v>
      </c>
      <c r="C1069" s="4" t="str">
        <f>IFERROR(__xludf.DUMMYFUNCTION("GOOGLETRANSLATE(D:D,""auto"",""en"")"),"Come angels")</f>
        <v>Come angels</v>
      </c>
      <c r="D1069" s="4" t="s">
        <v>1699</v>
      </c>
      <c r="E1069" s="4">
        <v>8998360.0</v>
      </c>
      <c r="F1069" s="4">
        <v>18.0</v>
      </c>
      <c r="G1069" s="4" t="s">
        <v>1700</v>
      </c>
    </row>
    <row r="1070">
      <c r="A1070" s="1">
        <v>1068.0</v>
      </c>
      <c r="B1070" s="4" t="s">
        <v>1670</v>
      </c>
      <c r="C1070" s="4" t="str">
        <f>IFERROR(__xludf.DUMMYFUNCTION("GOOGLETRANSLATE(D:D,""auto"",""en"")"),"Zhong Nanshan crowded dining car to Wuhan high-speed rail")</f>
        <v>Zhong Nanshan crowded dining car to Wuhan high-speed rail</v>
      </c>
      <c r="D1070" s="4" t="s">
        <v>1701</v>
      </c>
      <c r="E1070" s="4">
        <v>8923998.0</v>
      </c>
      <c r="F1070" s="4">
        <v>19.0</v>
      </c>
      <c r="G1070" s="4" t="s">
        <v>1702</v>
      </c>
    </row>
    <row r="1071">
      <c r="A1071" s="1">
        <v>1069.0</v>
      </c>
      <c r="B1071" s="4" t="s">
        <v>1670</v>
      </c>
      <c r="C1071" s="4" t="str">
        <f>IFERROR(__xludf.DUMMYFUNCTION("GOOGLETRANSLATE(D:D,""auto"",""en"")"),"Aaron racing bike with paparazzi")</f>
        <v>Aaron racing bike with paparazzi</v>
      </c>
      <c r="D1071" s="4" t="s">
        <v>1703</v>
      </c>
      <c r="E1071" s="4">
        <v>8848837.0</v>
      </c>
      <c r="F1071" s="4">
        <v>20.0</v>
      </c>
      <c r="G1071" s="4" t="s">
        <v>1704</v>
      </c>
    </row>
    <row r="1072">
      <c r="A1072" s="1">
        <v>1070.0</v>
      </c>
      <c r="B1072" s="4" t="s">
        <v>1670</v>
      </c>
      <c r="C1072" s="4" t="str">
        <f>IFERROR(__xludf.DUMMYFUNCTION("GOOGLETRANSLATE(D:D,""auto"",""en"")"),"Family reunion celebration circle")</f>
        <v>Family reunion celebration circle</v>
      </c>
      <c r="D1072" s="4" t="s">
        <v>1634</v>
      </c>
      <c r="E1072" s="4">
        <v>8802848.0</v>
      </c>
      <c r="F1072" s="4">
        <v>21.0</v>
      </c>
      <c r="G1072" s="4" t="s">
        <v>1635</v>
      </c>
    </row>
    <row r="1073">
      <c r="A1073" s="1">
        <v>1071.0</v>
      </c>
      <c r="B1073" s="4" t="s">
        <v>1670</v>
      </c>
      <c r="C1073" s="4" t="str">
        <f>IFERROR(__xludf.DUMMYFUNCTION("GOOGLETRANSLATE(D:D,""auto"",""en"")"),"Zhang Jin see their simulated response")</f>
        <v>Zhang Jin see their simulated response</v>
      </c>
      <c r="D1073" s="4" t="s">
        <v>1654</v>
      </c>
      <c r="E1073" s="4">
        <v>8748029.0</v>
      </c>
      <c r="F1073" s="4">
        <v>22.0</v>
      </c>
      <c r="G1073" s="4" t="s">
        <v>1655</v>
      </c>
    </row>
    <row r="1074">
      <c r="A1074" s="1">
        <v>1072.0</v>
      </c>
      <c r="B1074" s="4" t="s">
        <v>1670</v>
      </c>
      <c r="C1074" s="4" t="str">
        <f>IFERROR(__xludf.DUMMYFUNCTION("GOOGLETRANSLATE(D:D,""auto"",""en"")"),"Howard announced the dunk contest")</f>
        <v>Howard announced the dunk contest</v>
      </c>
      <c r="D1074" s="4" t="s">
        <v>1705</v>
      </c>
      <c r="E1074" s="4">
        <v>8732991.0</v>
      </c>
      <c r="F1074" s="4">
        <v>23.0</v>
      </c>
      <c r="G1074" s="4" t="s">
        <v>1706</v>
      </c>
    </row>
    <row r="1075">
      <c r="A1075" s="1">
        <v>1073.0</v>
      </c>
      <c r="B1075" s="4" t="s">
        <v>1670</v>
      </c>
      <c r="C1075" s="4" t="str">
        <f>IFERROR(__xludf.DUMMYFUNCTION("GOOGLETRANSLATE(D:D,""auto"",""en"")"),"Fujian confirmed the first case of new cases of pneumonia")</f>
        <v>Fujian confirmed the first case of new cases of pneumonia</v>
      </c>
      <c r="D1075" s="4" t="s">
        <v>1707</v>
      </c>
      <c r="E1075" s="4">
        <v>8730074.0</v>
      </c>
      <c r="F1075" s="4">
        <v>24.0</v>
      </c>
      <c r="G1075" s="4" t="s">
        <v>1708</v>
      </c>
    </row>
    <row r="1076">
      <c r="A1076" s="1">
        <v>1074.0</v>
      </c>
      <c r="B1076" s="4" t="s">
        <v>1670</v>
      </c>
      <c r="C1076" s="4" t="str">
        <f>IFERROR(__xludf.DUMMYFUNCTION("GOOGLETRANSLATE(D:D,""auto"",""en"")"),"Hubei Huanggang five health care workers infected")</f>
        <v>Hubei Huanggang five health care workers infected</v>
      </c>
      <c r="D1076" s="4" t="s">
        <v>1709</v>
      </c>
      <c r="E1076" s="4">
        <v>8681698.0</v>
      </c>
      <c r="F1076" s="4">
        <v>25.0</v>
      </c>
      <c r="G1076" s="4" t="s">
        <v>1710</v>
      </c>
    </row>
    <row r="1077">
      <c r="A1077" s="1">
        <v>1075.0</v>
      </c>
      <c r="B1077" s="4" t="s">
        <v>1670</v>
      </c>
      <c r="C1077" s="4" t="str">
        <f>IFERROR(__xludf.DUMMYFUNCTION("GOOGLETRANSLATE(D:D,""auto"",""en"")"),"Zhuge vigorously hardcore coquetry")</f>
        <v>Zhuge vigorously hardcore coquetry</v>
      </c>
      <c r="D1077" s="4" t="s">
        <v>1711</v>
      </c>
      <c r="E1077" s="4">
        <v>8661696.0</v>
      </c>
      <c r="F1077" s="4">
        <v>26.0</v>
      </c>
      <c r="G1077" s="4" t="s">
        <v>1712</v>
      </c>
    </row>
    <row r="1078">
      <c r="A1078" s="1">
        <v>1076.0</v>
      </c>
      <c r="B1078" s="4" t="s">
        <v>1670</v>
      </c>
      <c r="C1078" s="4" t="str">
        <f>IFERROR(__xludf.DUMMYFUNCTION("GOOGLETRANSLATE(D:D,""auto"",""en"")"),"New variants may exist pneumonia virus")</f>
        <v>New variants may exist pneumonia virus</v>
      </c>
      <c r="D1078" s="4" t="s">
        <v>1713</v>
      </c>
      <c r="E1078" s="4">
        <v>8455200.0</v>
      </c>
      <c r="F1078" s="4">
        <v>27.0</v>
      </c>
      <c r="G1078" s="4" t="s">
        <v>1714</v>
      </c>
    </row>
    <row r="1079">
      <c r="A1079" s="1">
        <v>1077.0</v>
      </c>
      <c r="B1079" s="4" t="s">
        <v>1670</v>
      </c>
      <c r="C1079" s="4" t="str">
        <f>IFERROR(__xludf.DUMMYFUNCTION("GOOGLETRANSLATE(D:D,""auto"",""en"")"),"The new coronavirus is a source of wild animals")</f>
        <v>The new coronavirus is a source of wild animals</v>
      </c>
      <c r="D1079" s="4" t="s">
        <v>1715</v>
      </c>
      <c r="E1079" s="4">
        <v>8429146.0</v>
      </c>
      <c r="F1079" s="4">
        <v>28.0</v>
      </c>
      <c r="G1079" s="4" t="s">
        <v>1716</v>
      </c>
    </row>
    <row r="1080">
      <c r="A1080" s="1">
        <v>1078.0</v>
      </c>
      <c r="B1080" s="4" t="s">
        <v>1670</v>
      </c>
      <c r="C1080" s="4" t="str">
        <f>IFERROR(__xludf.DUMMYFUNCTION("GOOGLETRANSLATE(D:D,""auto"",""en"")"),"Yue Yunpeng Spring Festival are beautiful people except me")</f>
        <v>Yue Yunpeng Spring Festival are beautiful people except me</v>
      </c>
      <c r="D1080" s="4" t="s">
        <v>1630</v>
      </c>
      <c r="E1080" s="4">
        <v>8353145.0</v>
      </c>
      <c r="F1080" s="4">
        <v>29.0</v>
      </c>
      <c r="G1080" s="4" t="s">
        <v>1631</v>
      </c>
    </row>
    <row r="1081">
      <c r="A1081" s="1">
        <v>1079.0</v>
      </c>
      <c r="B1081" s="4" t="s">
        <v>1670</v>
      </c>
      <c r="C1081" s="4" t="str">
        <f>IFERROR(__xludf.DUMMYFUNCTION("GOOGLETRANSLATE(D:D,""auto"",""en"")"),"Tribute fighting in the front line of health care workers")</f>
        <v>Tribute fighting in the front line of health care workers</v>
      </c>
      <c r="D1081" s="4" t="s">
        <v>1717</v>
      </c>
      <c r="E1081" s="4">
        <v>8282047.0</v>
      </c>
      <c r="F1081" s="4">
        <v>30.0</v>
      </c>
      <c r="G1081" s="4" t="s">
        <v>1718</v>
      </c>
    </row>
    <row r="1082">
      <c r="A1082" s="1">
        <v>1080.0</v>
      </c>
      <c r="B1082" s="4" t="s">
        <v>1670</v>
      </c>
      <c r="C1082" s="4" t="str">
        <f>IFERROR(__xludf.DUMMYFUNCTION("GOOGLETRANSLATE(D:D,""auto"",""en"")"),"The United States confirmed the first case of new cases of pneumonia")</f>
        <v>The United States confirmed the first case of new cases of pneumonia</v>
      </c>
      <c r="D1082" s="4" t="s">
        <v>1719</v>
      </c>
      <c r="E1082" s="4">
        <v>8259569.0</v>
      </c>
      <c r="F1082" s="4">
        <v>31.0</v>
      </c>
      <c r="G1082" s="4" t="s">
        <v>1720</v>
      </c>
    </row>
    <row r="1083">
      <c r="A1083" s="1">
        <v>1081.0</v>
      </c>
      <c r="B1083" s="4" t="s">
        <v>1670</v>
      </c>
      <c r="C1083" s="4" t="str">
        <f>IFERROR(__xludf.DUMMYFUNCTION("GOOGLETRANSLATE(D:D,""auto"",""en"")"),"Grandmother to granddaughter pink sewing sewing")</f>
        <v>Grandmother to granddaughter pink sewing sewing</v>
      </c>
      <c r="D1083" s="4" t="s">
        <v>1721</v>
      </c>
      <c r="E1083" s="4">
        <v>8257698.0</v>
      </c>
      <c r="F1083" s="4">
        <v>32.0</v>
      </c>
      <c r="G1083" s="4" t="s">
        <v>1722</v>
      </c>
    </row>
    <row r="1084">
      <c r="A1084" s="1">
        <v>1082.0</v>
      </c>
      <c r="B1084" s="4" t="s">
        <v>1670</v>
      </c>
      <c r="C1084" s="4" t="str">
        <f>IFERROR(__xludf.DUMMYFUNCTION("GOOGLETRANSLATE(D:D,""auto"",""en"")"),"CCTV reporter visited Wuhan fever clinics")</f>
        <v>CCTV reporter visited Wuhan fever clinics</v>
      </c>
      <c r="D1084" s="4" t="s">
        <v>1723</v>
      </c>
      <c r="E1084" s="4">
        <v>8162672.0</v>
      </c>
      <c r="F1084" s="4">
        <v>33.0</v>
      </c>
      <c r="G1084" s="4" t="s">
        <v>1724</v>
      </c>
    </row>
    <row r="1085">
      <c r="A1085" s="1">
        <v>1083.0</v>
      </c>
      <c r="B1085" s="4" t="s">
        <v>1670</v>
      </c>
      <c r="C1085" s="4" t="str">
        <f>IFERROR(__xludf.DUMMYFUNCTION("GOOGLETRANSLATE(D:D,""auto"",""en"")"),"Domestic confirmed 473 cases of new cases of pneumonia")</f>
        <v>Domestic confirmed 473 cases of new cases of pneumonia</v>
      </c>
      <c r="D1085" s="4" t="s">
        <v>1725</v>
      </c>
      <c r="E1085" s="4">
        <v>8126077.0</v>
      </c>
      <c r="F1085" s="4">
        <v>34.0</v>
      </c>
      <c r="G1085" s="4" t="s">
        <v>1726</v>
      </c>
    </row>
    <row r="1086">
      <c r="A1086" s="1">
        <v>1084.0</v>
      </c>
      <c r="B1086" s="4" t="s">
        <v>1670</v>
      </c>
      <c r="C1086" s="4" t="str">
        <f>IFERROR(__xludf.DUMMYFUNCTION("GOOGLETRANSLATE(D:D,""auto"",""en"")"),"One person information disclosure is the best vaccine")</f>
        <v>One person information disclosure is the best vaccine</v>
      </c>
      <c r="D1086" s="4" t="s">
        <v>1727</v>
      </c>
      <c r="E1086" s="4">
        <v>8048045.0</v>
      </c>
      <c r="F1086" s="4">
        <v>35.0</v>
      </c>
      <c r="G1086" s="4" t="s">
        <v>1728</v>
      </c>
    </row>
    <row r="1087">
      <c r="A1087" s="1">
        <v>1085.0</v>
      </c>
      <c r="B1087" s="4" t="s">
        <v>1670</v>
      </c>
      <c r="C1087" s="4" t="str">
        <f>IFERROR(__xludf.DUMMYFUNCTION("GOOGLETRANSLATE(D:D,""auto"",""en"")"),"Cai Xu Kun fans should aid sent revelation to find children")</f>
        <v>Cai Xu Kun fans should aid sent revelation to find children</v>
      </c>
      <c r="D1087" s="4" t="s">
        <v>1729</v>
      </c>
      <c r="E1087" s="4">
        <v>8045651.0</v>
      </c>
      <c r="F1087" s="4">
        <v>36.0</v>
      </c>
      <c r="G1087" s="4" t="s">
        <v>1730</v>
      </c>
    </row>
    <row r="1088">
      <c r="A1088" s="1">
        <v>1086.0</v>
      </c>
      <c r="B1088" s="4" t="s">
        <v>1670</v>
      </c>
      <c r="C1088" s="4" t="str">
        <f>IFERROR(__xludf.DUMMYFUNCTION("GOOGLETRANSLATE(D:D,""auto"",""en"")"),"Hubei will face severe punishment hike masks operators")</f>
        <v>Hubei will face severe punishment hike masks operators</v>
      </c>
      <c r="D1088" s="4" t="s">
        <v>1731</v>
      </c>
      <c r="E1088" s="4">
        <v>7879317.0</v>
      </c>
      <c r="F1088" s="4">
        <v>37.0</v>
      </c>
      <c r="G1088" s="4" t="s">
        <v>1732</v>
      </c>
    </row>
    <row r="1089">
      <c r="A1089" s="1">
        <v>1087.0</v>
      </c>
      <c r="B1089" s="4" t="s">
        <v>1670</v>
      </c>
      <c r="C1089" s="4" t="str">
        <f>IFERROR(__xludf.DUMMYFUNCTION("GOOGLETRANSLATE(D:D,""auto"",""en"")"),"New Pneumonia average incubation period of about 7 days")</f>
        <v>New Pneumonia average incubation period of about 7 days</v>
      </c>
      <c r="D1089" s="4" t="s">
        <v>1733</v>
      </c>
      <c r="E1089" s="4">
        <v>7818206.0</v>
      </c>
      <c r="F1089" s="4">
        <v>38.0</v>
      </c>
      <c r="G1089" s="4" t="s">
        <v>1734</v>
      </c>
    </row>
    <row r="1090">
      <c r="A1090" s="1">
        <v>1088.0</v>
      </c>
      <c r="B1090" s="4" t="s">
        <v>1670</v>
      </c>
      <c r="C1090" s="4" t="str">
        <f>IFERROR(__xludf.DUMMYFUNCTION("GOOGLETRANSLATE(D:D,""auto"",""en"")"),"Arrival Departure Wuhan train ticket refund fee-free")</f>
        <v>Arrival Departure Wuhan train ticket refund fee-free</v>
      </c>
      <c r="D1090" s="4" t="s">
        <v>1735</v>
      </c>
      <c r="E1090" s="4">
        <v>7643919.0</v>
      </c>
      <c r="F1090" s="4">
        <v>39.0</v>
      </c>
      <c r="G1090" s="4" t="s">
        <v>1736</v>
      </c>
    </row>
    <row r="1091">
      <c r="A1091" s="1">
        <v>1089.0</v>
      </c>
      <c r="B1091" s="4" t="s">
        <v>1670</v>
      </c>
      <c r="C1091" s="4" t="str">
        <f>IFERROR(__xludf.DUMMYFUNCTION("GOOGLETRANSLATE(D:D,""auto"",""en"")"),"Masks business 3 times salary back to the factory to work overtime to make")</f>
        <v>Masks business 3 times salary back to the factory to work overtime to make</v>
      </c>
      <c r="D1091" s="4" t="s">
        <v>1737</v>
      </c>
      <c r="E1091" s="4">
        <v>7629396.0</v>
      </c>
      <c r="F1091" s="4">
        <v>40.0</v>
      </c>
      <c r="G1091" s="4" t="s">
        <v>1738</v>
      </c>
    </row>
    <row r="1092">
      <c r="A1092" s="1">
        <v>1090.0</v>
      </c>
      <c r="B1092" s="4" t="s">
        <v>1670</v>
      </c>
      <c r="C1092" s="4" t="str">
        <f>IFERROR(__xludf.DUMMYFUNCTION("GOOGLETRANSLATE(D:D,""auto"",""en"")"),"Australia will again sandstorm attack")</f>
        <v>Australia will again sandstorm attack</v>
      </c>
      <c r="D1092" s="4" t="s">
        <v>1618</v>
      </c>
      <c r="E1092" s="4">
        <v>7591513.0</v>
      </c>
      <c r="F1092" s="4">
        <v>41.0</v>
      </c>
      <c r="G1092" s="4" t="s">
        <v>1619</v>
      </c>
    </row>
    <row r="1093">
      <c r="A1093" s="1">
        <v>1091.0</v>
      </c>
      <c r="B1093" s="4" t="s">
        <v>1670</v>
      </c>
      <c r="C1093" s="4" t="str">
        <f>IFERROR(__xludf.DUMMYFUNCTION("GOOGLETRANSLATE(D:D,""auto"",""en"")"),"New pneumonia has caused 17 deaths in Hubei")</f>
        <v>New pneumonia has caused 17 deaths in Hubei</v>
      </c>
      <c r="D1093" s="4" t="s">
        <v>1739</v>
      </c>
      <c r="E1093" s="4">
        <v>7587237.0</v>
      </c>
      <c r="F1093" s="4">
        <v>42.0</v>
      </c>
      <c r="G1093" s="4" t="s">
        <v>1740</v>
      </c>
    </row>
    <row r="1094">
      <c r="A1094" s="1">
        <v>1092.0</v>
      </c>
      <c r="B1094" s="4" t="s">
        <v>1670</v>
      </c>
      <c r="C1094" s="4" t="str">
        <f>IFERROR(__xludf.DUMMYFUNCTION("GOOGLETRANSLATE(D:D,""auto"",""en"")"),"Wuhan Mayor calls for outside people to do Wuhan")</f>
        <v>Wuhan Mayor calls for outside people to do Wuhan</v>
      </c>
      <c r="D1094" s="4" t="s">
        <v>1741</v>
      </c>
      <c r="E1094" s="4">
        <v>7469511.0</v>
      </c>
      <c r="F1094" s="4">
        <v>43.0</v>
      </c>
      <c r="G1094" s="4" t="s">
        <v>1742</v>
      </c>
    </row>
    <row r="1095">
      <c r="A1095" s="1">
        <v>1093.0</v>
      </c>
      <c r="B1095" s="4" t="s">
        <v>1670</v>
      </c>
      <c r="C1095" s="4" t="str">
        <f>IFERROR(__xludf.DUMMYFUNCTION("GOOGLETRANSLATE(D:D,""auto"",""en"")"),"Yao Ming attended the memorial service Stern")</f>
        <v>Yao Ming attended the memorial service Stern</v>
      </c>
      <c r="D1095" s="4" t="s">
        <v>1743</v>
      </c>
      <c r="E1095" s="4">
        <v>7455305.0</v>
      </c>
      <c r="F1095" s="4">
        <v>44.0</v>
      </c>
      <c r="G1095" s="4" t="s">
        <v>1744</v>
      </c>
    </row>
    <row r="1096">
      <c r="A1096" s="1">
        <v>1094.0</v>
      </c>
      <c r="B1096" s="4" t="s">
        <v>1670</v>
      </c>
      <c r="C1096" s="4" t="str">
        <f>IFERROR(__xludf.DUMMYFUNCTION("GOOGLETRANSLATE(D:D,""auto"",""en"")"),"ECMO technology successfully treated patients with a new type of pneumonia")</f>
        <v>ECMO technology successfully treated patients with a new type of pneumonia</v>
      </c>
      <c r="D1096" s="4" t="s">
        <v>1745</v>
      </c>
      <c r="E1096" s="4">
        <v>7449923.0</v>
      </c>
      <c r="F1096" s="4">
        <v>45.0</v>
      </c>
      <c r="G1096" s="4" t="s">
        <v>1746</v>
      </c>
    </row>
    <row r="1097">
      <c r="A1097" s="1">
        <v>1095.0</v>
      </c>
      <c r="B1097" s="4" t="s">
        <v>1670</v>
      </c>
      <c r="C1097" s="4" t="str">
        <f>IFERROR(__xludf.DUMMYFUNCTION("GOOGLETRANSLATE(D:D,""auto"",""en"")"),"Wuhan asked the city to wear masks in public places")</f>
        <v>Wuhan asked the city to wear masks in public places</v>
      </c>
      <c r="D1097" s="4" t="s">
        <v>1747</v>
      </c>
      <c r="E1097" s="4">
        <v>7417891.0</v>
      </c>
      <c r="F1097" s="4">
        <v>46.0</v>
      </c>
      <c r="G1097" s="4" t="s">
        <v>1748</v>
      </c>
    </row>
    <row r="1098">
      <c r="A1098" s="1">
        <v>1096.0</v>
      </c>
      <c r="B1098" s="4" t="s">
        <v>1670</v>
      </c>
      <c r="C1098" s="4" t="str">
        <f>IFERROR(__xludf.DUMMYFUNCTION("GOOGLETRANSLATE(D:D,""auto"",""en"")"),"A look super Xiaozhan kill")</f>
        <v>A look super Xiaozhan kill</v>
      </c>
      <c r="D1098" s="4" t="s">
        <v>1749</v>
      </c>
      <c r="E1098" s="4">
        <v>7407999.0</v>
      </c>
      <c r="F1098" s="4">
        <v>47.0</v>
      </c>
      <c r="G1098" s="4" t="s">
        <v>1750</v>
      </c>
    </row>
    <row r="1099">
      <c r="A1099" s="1">
        <v>1097.0</v>
      </c>
      <c r="B1099" s="4" t="s">
        <v>1670</v>
      </c>
      <c r="C1099" s="4" t="str">
        <f>IFERROR(__xludf.DUMMYFUNCTION("GOOGLETRANSLATE(D:D,""auto"",""en"")"),"Ginger Star interviewed Zhang Yixing")</f>
        <v>Ginger Star interviewed Zhang Yixing</v>
      </c>
      <c r="D1099" s="4" t="s">
        <v>1751</v>
      </c>
      <c r="E1099" s="4">
        <v>7308953.0</v>
      </c>
      <c r="F1099" s="4">
        <v>48.0</v>
      </c>
      <c r="G1099" s="4" t="s">
        <v>1752</v>
      </c>
    </row>
    <row r="1100">
      <c r="A1100" s="1">
        <v>1098.0</v>
      </c>
      <c r="B1100" s="4" t="s">
        <v>1670</v>
      </c>
      <c r="C1100" s="4" t="str">
        <f>IFERROR(__xludf.DUMMYFUNCTION("GOOGLETRANSLATE(D:D,""auto"",""en"")"),"Xinzhi Lei Song Yin same box")</f>
        <v>Xinzhi Lei Song Yin same box</v>
      </c>
      <c r="D1100" s="4" t="s">
        <v>1753</v>
      </c>
      <c r="E1100" s="4">
        <v>7291463.0</v>
      </c>
      <c r="F1100" s="4">
        <v>49.0</v>
      </c>
      <c r="G1100" s="4" t="s">
        <v>1754</v>
      </c>
    </row>
    <row r="1101">
      <c r="A1101" s="1">
        <v>1099.0</v>
      </c>
      <c r="B1101" s="4" t="s">
        <v>1670</v>
      </c>
      <c r="C1101" s="4" t="str">
        <f>IFERROR(__xludf.DUMMYFUNCTION("GOOGLETRANSLATE(D:D,""auto"",""en"")"),"Zhi-long right to see the show modeling")</f>
        <v>Zhi-long right to see the show modeling</v>
      </c>
      <c r="D1101" s="4" t="s">
        <v>1755</v>
      </c>
      <c r="E1101" s="4">
        <v>7246717.0</v>
      </c>
      <c r="F1101" s="4">
        <v>50.0</v>
      </c>
      <c r="G1101" s="4" t="s">
        <v>1756</v>
      </c>
    </row>
    <row r="1102">
      <c r="A1102" s="1">
        <v>1100.0</v>
      </c>
      <c r="B1102" s="4" t="s">
        <v>1757</v>
      </c>
      <c r="C1102" s="4" t="str">
        <f>IFERROR(__xludf.DUMMYFUNCTION("GOOGLETRANSLATE(D:D,""auto"",""en"")"),"National diagnosed 571 cases of new cases of pneumonia")</f>
        <v>National diagnosed 571 cases of new cases of pneumonia</v>
      </c>
      <c r="D1102" s="4" t="s">
        <v>1758</v>
      </c>
      <c r="E1102" s="4">
        <v>9856967.0</v>
      </c>
      <c r="F1102" s="4">
        <v>1.0</v>
      </c>
      <c r="G1102" s="4" t="s">
        <v>1759</v>
      </c>
    </row>
    <row r="1103">
      <c r="A1103" s="1">
        <v>1101.0</v>
      </c>
      <c r="B1103" s="4" t="s">
        <v>1757</v>
      </c>
      <c r="C1103" s="4" t="str">
        <f>IFERROR(__xludf.DUMMYFUNCTION("GOOGLETRANSLATE(D:D,""auto"",""en"")"),"Calvin married Joanne Tseng")</f>
        <v>Calvin married Joanne Tseng</v>
      </c>
      <c r="D1103" s="4" t="s">
        <v>1760</v>
      </c>
      <c r="E1103" s="4">
        <v>9743364.0</v>
      </c>
      <c r="F1103" s="4">
        <v>2.0</v>
      </c>
      <c r="G1103" s="4" t="s">
        <v>1761</v>
      </c>
    </row>
    <row r="1104">
      <c r="A1104" s="1">
        <v>1102.0</v>
      </c>
      <c r="B1104" s="4" t="s">
        <v>1757</v>
      </c>
      <c r="C1104" s="4" t="str">
        <f>IFERROR(__xludf.DUMMYFUNCTION("GOOGLETRANSLATE(D:D,""auto"",""en"")"),"New confirmed 571 cases of pneumonia, 17 patients died")</f>
        <v>New confirmed 571 cases of pneumonia, 17 patients died</v>
      </c>
      <c r="D1104" s="4" t="s">
        <v>1762</v>
      </c>
      <c r="E1104" s="4">
        <v>9574696.0</v>
      </c>
      <c r="F1104" s="4">
        <v>3.0</v>
      </c>
      <c r="G1104" s="4" t="s">
        <v>1763</v>
      </c>
    </row>
    <row r="1105">
      <c r="A1105" s="1">
        <v>1103.0</v>
      </c>
      <c r="B1105" s="4" t="s">
        <v>1757</v>
      </c>
      <c r="C1105" s="4" t="str">
        <f>IFERROR(__xludf.DUMMYFUNCTION("GOOGLETRANSLATE(D:D,""auto"",""en"")"),"Doctors Wuhan friends circle")</f>
        <v>Doctors Wuhan friends circle</v>
      </c>
      <c r="D1105" s="4" t="s">
        <v>1673</v>
      </c>
      <c r="E1105" s="4">
        <v>9369710.0</v>
      </c>
      <c r="F1105" s="4">
        <v>4.0</v>
      </c>
      <c r="G1105" s="4" t="s">
        <v>1674</v>
      </c>
    </row>
    <row r="1106">
      <c r="A1106" s="1">
        <v>1104.0</v>
      </c>
      <c r="B1106" s="4" t="s">
        <v>1757</v>
      </c>
      <c r="C1106" s="4" t="str">
        <f>IFERROR(__xludf.DUMMYFUNCTION("GOOGLETRANSLATE(D:D,""auto"",""en"")"),"Wuhan asked the city to wear masks in public places")</f>
        <v>Wuhan asked the city to wear masks in public places</v>
      </c>
      <c r="D1106" s="4" t="s">
        <v>1747</v>
      </c>
      <c r="E1106" s="4">
        <v>9366851.0</v>
      </c>
      <c r="F1106" s="4">
        <v>5.0</v>
      </c>
      <c r="G1106" s="4" t="s">
        <v>1748</v>
      </c>
    </row>
    <row r="1107">
      <c r="A1107" s="1">
        <v>1105.0</v>
      </c>
      <c r="B1107" s="4" t="s">
        <v>1757</v>
      </c>
      <c r="C1107" s="4" t="str">
        <f>IFERROR(__xludf.DUMMYFUNCTION("GOOGLETRANSLATE(D:D,""auto"",""en"")"),"Hubei high-speed start closed")</f>
        <v>Hubei high-speed start closed</v>
      </c>
      <c r="D1107" s="4" t="s">
        <v>1764</v>
      </c>
      <c r="E1107" s="4">
        <v>9355400.0</v>
      </c>
      <c r="F1107" s="4">
        <v>6.0</v>
      </c>
      <c r="G1107" s="4" t="s">
        <v>1765</v>
      </c>
    </row>
    <row r="1108">
      <c r="A1108" s="1">
        <v>1106.0</v>
      </c>
      <c r="B1108" s="4" t="s">
        <v>1757</v>
      </c>
      <c r="C1108" s="4" t="str">
        <f>IFERROR(__xludf.DUMMYFUNCTION("GOOGLETRANSLATE(D:D,""auto"",""en"")"),"Wuhan closed city")</f>
        <v>Wuhan closed city</v>
      </c>
      <c r="D1108" s="4" t="s">
        <v>1766</v>
      </c>
      <c r="E1108" s="4">
        <v>9283085.0</v>
      </c>
      <c r="F1108" s="4">
        <v>7.0</v>
      </c>
      <c r="G1108" s="4" t="s">
        <v>1767</v>
      </c>
    </row>
    <row r="1109">
      <c r="A1109" s="1">
        <v>1107.0</v>
      </c>
      <c r="B1109" s="4" t="s">
        <v>1757</v>
      </c>
      <c r="C1109" s="4" t="str">
        <f>IFERROR(__xludf.DUMMYFUNCTION("GOOGLETRANSLATE(D:D,""auto"",""en"")"),"Zion's first show champion")</f>
        <v>Zion's first show champion</v>
      </c>
      <c r="D1109" s="4" t="s">
        <v>1768</v>
      </c>
      <c r="E1109" s="4">
        <v>9147267.0</v>
      </c>
      <c r="F1109" s="4">
        <v>8.0</v>
      </c>
      <c r="G1109" s="4" t="s">
        <v>1769</v>
      </c>
    </row>
    <row r="1110">
      <c r="A1110" s="1">
        <v>1108.0</v>
      </c>
      <c r="B1110" s="4" t="s">
        <v>1757</v>
      </c>
      <c r="C1110" s="4" t="str">
        <f>IFERROR(__xludf.DUMMYFUNCTION("GOOGLETRANSLATE(D:D,""auto"",""en"")"),"Wenzhou's first new basic cure patients diagnosed with pneumonia")</f>
        <v>Wenzhou's first new basic cure patients diagnosed with pneumonia</v>
      </c>
      <c r="D1110" s="4" t="s">
        <v>1770</v>
      </c>
      <c r="E1110" s="4">
        <v>9129233.0</v>
      </c>
      <c r="F1110" s="4">
        <v>9.0</v>
      </c>
      <c r="G1110" s="4" t="s">
        <v>1771</v>
      </c>
    </row>
    <row r="1111">
      <c r="A1111" s="1">
        <v>1109.0</v>
      </c>
      <c r="B1111" s="4" t="s">
        <v>1757</v>
      </c>
      <c r="C1111" s="4" t="str">
        <f>IFERROR(__xludf.DUMMYFUNCTION("GOOGLETRANSLATE(D:D,""auto"",""en"")"),"Zhong Nanshan rumor gargle with salt water anti-virus team")</f>
        <v>Zhong Nanshan rumor gargle with salt water anti-virus team</v>
      </c>
      <c r="D1111" s="4" t="s">
        <v>1772</v>
      </c>
      <c r="E1111" s="4">
        <v>8985555.0</v>
      </c>
      <c r="F1111" s="4">
        <v>10.0</v>
      </c>
      <c r="G1111" s="4" t="s">
        <v>1773</v>
      </c>
    </row>
    <row r="1112">
      <c r="A1112" s="1">
        <v>1110.0</v>
      </c>
      <c r="B1112" s="4" t="s">
        <v>1757</v>
      </c>
      <c r="C1112" s="4" t="str">
        <f>IFERROR(__xludf.DUMMYFUNCTION("GOOGLETRANSLATE(D:D,""auto"",""en"")"),"Shandong confirmed six cases of new cases of pneumonia")</f>
        <v>Shandong confirmed six cases of new cases of pneumonia</v>
      </c>
      <c r="D1112" s="4" t="s">
        <v>1774</v>
      </c>
      <c r="E1112" s="4">
        <v>8915820.0</v>
      </c>
      <c r="F1112" s="4">
        <v>11.0</v>
      </c>
      <c r="G1112" s="4" t="s">
        <v>1775</v>
      </c>
    </row>
    <row r="1113">
      <c r="A1113" s="1">
        <v>1111.0</v>
      </c>
      <c r="B1113" s="4" t="s">
        <v>1757</v>
      </c>
      <c r="C1113" s="4" t="str">
        <f>IFERROR(__xludf.DUMMYFUNCTION("GOOGLETRANSLATE(D:D,""auto"",""en"")"),"New pneumonia has caused 17 deaths in Hubei")</f>
        <v>New pneumonia has caused 17 deaths in Hubei</v>
      </c>
      <c r="D1113" s="4" t="s">
        <v>1739</v>
      </c>
      <c r="E1113" s="4">
        <v>8914858.0</v>
      </c>
      <c r="F1113" s="4">
        <v>12.0</v>
      </c>
      <c r="G1113" s="4" t="s">
        <v>1740</v>
      </c>
    </row>
    <row r="1114">
      <c r="A1114" s="1">
        <v>1112.0</v>
      </c>
      <c r="B1114" s="4" t="s">
        <v>1757</v>
      </c>
      <c r="C1114" s="4" t="str">
        <f>IFERROR(__xludf.DUMMYFUNCTION("GOOGLETRANSLATE(D:D,""auto"",""en"")"),"Powell is expected to seriously season")</f>
        <v>Powell is expected to seriously season</v>
      </c>
      <c r="D1114" s="4" t="s">
        <v>1776</v>
      </c>
      <c r="E1114" s="4">
        <v>8806822.0</v>
      </c>
      <c r="F1114" s="4">
        <v>13.0</v>
      </c>
      <c r="G1114" s="4" t="s">
        <v>1777</v>
      </c>
    </row>
    <row r="1115">
      <c r="A1115" s="1">
        <v>1113.0</v>
      </c>
      <c r="B1115" s="4" t="s">
        <v>1757</v>
      </c>
      <c r="C1115" s="4" t="str">
        <f>IFERROR(__xludf.DUMMYFUNCTION("GOOGLETRANSLATE(D:D,""auto"",""en"")"),"Wuhan seven doctors in the battle assignment book press the red handprint")</f>
        <v>Wuhan seven doctors in the battle assignment book press the red handprint</v>
      </c>
      <c r="D1115" s="4" t="s">
        <v>1778</v>
      </c>
      <c r="E1115" s="4">
        <v>8802923.0</v>
      </c>
      <c r="F1115" s="4">
        <v>14.0</v>
      </c>
      <c r="G1115" s="4" t="s">
        <v>1779</v>
      </c>
    </row>
    <row r="1116">
      <c r="A1116" s="1">
        <v>1114.0</v>
      </c>
      <c r="B1116" s="4" t="s">
        <v>1757</v>
      </c>
      <c r="C1116" s="4" t="str">
        <f>IFERROR(__xludf.DUMMYFUNCTION("GOOGLETRANSLATE(D:D,""auto"",""en"")"),"Shenzhen two new patients were discharged pneumonia")</f>
        <v>Shenzhen two new patients were discharged pneumonia</v>
      </c>
      <c r="D1116" s="4" t="s">
        <v>1780</v>
      </c>
      <c r="E1116" s="4">
        <v>8669297.0</v>
      </c>
      <c r="F1116" s="4">
        <v>15.0</v>
      </c>
      <c r="G1116" s="4" t="s">
        <v>1781</v>
      </c>
    </row>
    <row r="1117">
      <c r="A1117" s="1">
        <v>1115.0</v>
      </c>
      <c r="B1117" s="4" t="s">
        <v>1757</v>
      </c>
      <c r="C1117" s="4" t="str">
        <f>IFERROR(__xludf.DUMMYFUNCTION("GOOGLETRANSLATE(D:D,""auto"",""en"")"),"Jiangsu confirmed the first case of new cases of viral pneumonia")</f>
        <v>Jiangsu confirmed the first case of new cases of viral pneumonia</v>
      </c>
      <c r="D1117" s="4" t="s">
        <v>1782</v>
      </c>
      <c r="E1117" s="4">
        <v>8660364.0</v>
      </c>
      <c r="F1117" s="4">
        <v>16.0</v>
      </c>
      <c r="G1117" s="4" t="s">
        <v>1783</v>
      </c>
    </row>
    <row r="1118">
      <c r="A1118" s="1">
        <v>1116.0</v>
      </c>
      <c r="B1118" s="4" t="s">
        <v>1757</v>
      </c>
      <c r="C1118" s="4" t="str">
        <f>IFERROR(__xludf.DUMMYFUNCTION("GOOGLETRANSLATE(D:D,""auto"",""en"")"),"Chinese New Year stall movie file collective withdrawal")</f>
        <v>Chinese New Year stall movie file collective withdrawal</v>
      </c>
      <c r="D1118" s="4" t="s">
        <v>1784</v>
      </c>
      <c r="E1118" s="4">
        <v>8482001.0</v>
      </c>
      <c r="F1118" s="4">
        <v>17.0</v>
      </c>
      <c r="G1118" s="4" t="s">
        <v>1785</v>
      </c>
    </row>
    <row r="1119">
      <c r="A1119" s="1">
        <v>1117.0</v>
      </c>
      <c r="B1119" s="4" t="s">
        <v>1757</v>
      </c>
      <c r="C1119" s="4" t="str">
        <f>IFERROR(__xludf.DUMMYFUNCTION("GOOGLETRANSLATE(D:D,""auto"",""en"")"),"Hebei confirmed the first case of new cases of pneumonia")</f>
        <v>Hebei confirmed the first case of new cases of pneumonia</v>
      </c>
      <c r="D1119" s="4" t="s">
        <v>1786</v>
      </c>
      <c r="E1119" s="4">
        <v>8412284.0</v>
      </c>
      <c r="F1119" s="4">
        <v>18.0</v>
      </c>
      <c r="G1119" s="4" t="s">
        <v>1787</v>
      </c>
    </row>
    <row r="1120">
      <c r="A1120" s="1">
        <v>1118.0</v>
      </c>
      <c r="B1120" s="4" t="s">
        <v>1757</v>
      </c>
      <c r="C1120" s="4" t="str">
        <f>IFERROR(__xludf.DUMMYFUNCTION("GOOGLETRANSLATE(D:D,""auto"",""en"")"),"Xiao Zhan Xie Na same box")</f>
        <v>Xiao Zhan Xie Na same box</v>
      </c>
      <c r="D1120" s="4" t="s">
        <v>1788</v>
      </c>
      <c r="E1120" s="4">
        <v>8340280.0</v>
      </c>
      <c r="F1120" s="4">
        <v>19.0</v>
      </c>
      <c r="G1120" s="4" t="s">
        <v>1789</v>
      </c>
    </row>
    <row r="1121">
      <c r="A1121" s="1">
        <v>1119.0</v>
      </c>
      <c r="B1121" s="4" t="s">
        <v>1757</v>
      </c>
      <c r="C1121" s="4" t="str">
        <f>IFERROR(__xludf.DUMMYFUNCTION("GOOGLETRANSLATE(D:D,""auto"",""en"")"),"Beijing add new cases of pneumonia 4 cases")</f>
        <v>Beijing add new cases of pneumonia 4 cases</v>
      </c>
      <c r="D1121" s="4" t="s">
        <v>1790</v>
      </c>
      <c r="E1121" s="4">
        <v>8317947.0</v>
      </c>
      <c r="F1121" s="4">
        <v>20.0</v>
      </c>
      <c r="G1121" s="4" t="s">
        <v>1791</v>
      </c>
    </row>
    <row r="1122">
      <c r="A1122" s="1">
        <v>1120.0</v>
      </c>
      <c r="B1122" s="4" t="s">
        <v>1757</v>
      </c>
      <c r="C1122" s="4" t="str">
        <f>IFERROR(__xludf.DUMMYFUNCTION("GOOGLETRANSLATE(D:D,""auto"",""en"")"),"Family reunion celebration circle")</f>
        <v>Family reunion celebration circle</v>
      </c>
      <c r="D1122" s="4" t="s">
        <v>1634</v>
      </c>
      <c r="E1122" s="4">
        <v>8211933.0</v>
      </c>
      <c r="F1122" s="4">
        <v>21.0</v>
      </c>
      <c r="G1122" s="4" t="s">
        <v>1635</v>
      </c>
    </row>
    <row r="1123">
      <c r="A1123" s="1">
        <v>1121.0</v>
      </c>
      <c r="B1123" s="4" t="s">
        <v>1757</v>
      </c>
      <c r="C1123" s="4" t="str">
        <f>IFERROR(__xludf.DUMMYFUNCTION("GOOGLETRANSLATE(D:D,""auto"",""en"")"),"Hubei wearing masks host broadcast")</f>
        <v>Hubei wearing masks host broadcast</v>
      </c>
      <c r="D1123" s="4" t="s">
        <v>1792</v>
      </c>
      <c r="E1123" s="4">
        <v>8204325.0</v>
      </c>
      <c r="F1123" s="4">
        <v>22.0</v>
      </c>
      <c r="G1123" s="4" t="s">
        <v>1793</v>
      </c>
    </row>
    <row r="1124">
      <c r="A1124" s="1">
        <v>1122.0</v>
      </c>
      <c r="B1124" s="4" t="s">
        <v>1757</v>
      </c>
      <c r="C1124" s="4" t="str">
        <f>IFERROR(__xludf.DUMMYFUNCTION("GOOGLETRANSLATE(D:D,""auto"",""en"")"),"Heilongjiang confirmed the first case of new cases of viral pneumonia")</f>
        <v>Heilongjiang confirmed the first case of new cases of viral pneumonia</v>
      </c>
      <c r="D1124" s="4" t="s">
        <v>1794</v>
      </c>
      <c r="E1124" s="4">
        <v>8180770.0</v>
      </c>
      <c r="F1124" s="4">
        <v>23.0</v>
      </c>
      <c r="G1124" s="4" t="s">
        <v>1795</v>
      </c>
    </row>
    <row r="1125">
      <c r="A1125" s="1">
        <v>1123.0</v>
      </c>
      <c r="B1125" s="4" t="s">
        <v>1757</v>
      </c>
      <c r="C1125" s="4" t="str">
        <f>IFERROR(__xludf.DUMMYFUNCTION("GOOGLETRANSLATE(D:D,""auto"",""en"")"),"Good Fortune worship Danian")</f>
        <v>Good Fortune worship Danian</v>
      </c>
      <c r="D1125" s="4" t="s">
        <v>1691</v>
      </c>
      <c r="E1125" s="4">
        <v>8023366.0</v>
      </c>
      <c r="F1125" s="4">
        <v>24.0</v>
      </c>
      <c r="G1125" s="4" t="s">
        <v>1692</v>
      </c>
    </row>
    <row r="1126">
      <c r="A1126" s="1">
        <v>1124.0</v>
      </c>
      <c r="B1126" s="4" t="s">
        <v>1757</v>
      </c>
      <c r="C1126" s="4" t="str">
        <f>IFERROR(__xludf.DUMMYFUNCTION("GOOGLETRANSLATE(D:D,""auto"",""en"")"),"Wuhan 24 hours donated phone")</f>
        <v>Wuhan 24 hours donated phone</v>
      </c>
      <c r="D1126" s="4" t="s">
        <v>1796</v>
      </c>
      <c r="E1126" s="4">
        <v>8001071.0</v>
      </c>
      <c r="F1126" s="4">
        <v>25.0</v>
      </c>
      <c r="G1126" s="4" t="s">
        <v>1797</v>
      </c>
    </row>
    <row r="1127">
      <c r="A1127" s="1">
        <v>1125.0</v>
      </c>
      <c r="B1127" s="4" t="s">
        <v>1757</v>
      </c>
      <c r="C1127" s="4" t="str">
        <f>IFERROR(__xludf.DUMMYFUNCTION("GOOGLETRANSLATE(D:D,""auto"",""en"")"),"Yao Ming attended the memorial service Stern")</f>
        <v>Yao Ming attended the memorial service Stern</v>
      </c>
      <c r="D1127" s="4" t="s">
        <v>1743</v>
      </c>
      <c r="E1127" s="4">
        <v>7978350.0</v>
      </c>
      <c r="F1127" s="4">
        <v>26.0</v>
      </c>
      <c r="G1127" s="4" t="s">
        <v>1744</v>
      </c>
    </row>
    <row r="1128">
      <c r="A1128" s="1">
        <v>1126.0</v>
      </c>
      <c r="B1128" s="4" t="s">
        <v>1757</v>
      </c>
      <c r="C1128" s="4" t="str">
        <f>IFERROR(__xludf.DUMMYFUNCTION("GOOGLETRANSLATE(D:D,""auto"",""en"")"),"A look super Xiaozhan kill")</f>
        <v>A look super Xiaozhan kill</v>
      </c>
      <c r="D1128" s="4" t="s">
        <v>1749</v>
      </c>
      <c r="E1128" s="4">
        <v>7965461.0</v>
      </c>
      <c r="F1128" s="4">
        <v>27.0</v>
      </c>
      <c r="G1128" s="4" t="s">
        <v>1750</v>
      </c>
    </row>
    <row r="1129">
      <c r="A1129" s="1">
        <v>1127.0</v>
      </c>
      <c r="B1129" s="4" t="s">
        <v>1757</v>
      </c>
      <c r="C1129" s="4" t="str">
        <f>IFERROR(__xludf.DUMMYFUNCTION("GOOGLETRANSLATE(D:D,""auto"",""en"")"),"Guangdong found six cases family clusters of disease")</f>
        <v>Guangdong found six cases family clusters of disease</v>
      </c>
      <c r="D1129" s="4" t="s">
        <v>1798</v>
      </c>
      <c r="E1129" s="4">
        <v>7940813.0</v>
      </c>
      <c r="F1129" s="4">
        <v>28.0</v>
      </c>
      <c r="G1129" s="4" t="s">
        <v>1799</v>
      </c>
    </row>
    <row r="1130">
      <c r="A1130" s="1">
        <v>1128.0</v>
      </c>
      <c r="B1130" s="4" t="s">
        <v>1757</v>
      </c>
      <c r="C1130" s="4" t="str">
        <f>IFERROR(__xludf.DUMMYFUNCTION("GOOGLETRANSLATE(D:D,""auto"",""en"")"),"Jilin confirmed the first case of new cases of pneumonia")</f>
        <v>Jilin confirmed the first case of new cases of pneumonia</v>
      </c>
      <c r="D1130" s="4" t="s">
        <v>1800</v>
      </c>
      <c r="E1130" s="4">
        <v>7902201.0</v>
      </c>
      <c r="F1130" s="4">
        <v>29.0</v>
      </c>
      <c r="G1130" s="4" t="s">
        <v>1801</v>
      </c>
    </row>
    <row r="1131">
      <c r="A1131" s="1">
        <v>1129.0</v>
      </c>
      <c r="B1131" s="4" t="s">
        <v>1757</v>
      </c>
      <c r="C1131" s="4" t="str">
        <f>IFERROR(__xludf.DUMMYFUNCTION("GOOGLETRANSLATE(D:D,""auto"",""en"")"),"Unlock Xiaozhan same paragraph red")</f>
        <v>Unlock Xiaozhan same paragraph red</v>
      </c>
      <c r="D1131" s="4" t="s">
        <v>1695</v>
      </c>
      <c r="E1131" s="4">
        <v>7837118.0</v>
      </c>
      <c r="F1131" s="4">
        <v>30.0</v>
      </c>
      <c r="G1131" s="4" t="s">
        <v>1696</v>
      </c>
    </row>
    <row r="1132">
      <c r="A1132" s="1">
        <v>1130.0</v>
      </c>
      <c r="B1132" s="4" t="s">
        <v>1757</v>
      </c>
      <c r="C1132" s="4" t="str">
        <f>IFERROR(__xludf.DUMMYFUNCTION("GOOGLETRANSLATE(D:D,""auto"",""en"")"),"Wuhan will build mode Xiaotangshan Hospital")</f>
        <v>Wuhan will build mode Xiaotangshan Hospital</v>
      </c>
      <c r="D1132" s="4" t="s">
        <v>1802</v>
      </c>
      <c r="E1132" s="4">
        <v>7835414.0</v>
      </c>
      <c r="F1132" s="4">
        <v>31.0</v>
      </c>
      <c r="G1132" s="4" t="s">
        <v>1803</v>
      </c>
    </row>
    <row r="1133">
      <c r="A1133" s="1">
        <v>1131.0</v>
      </c>
      <c r="B1133" s="4" t="s">
        <v>1757</v>
      </c>
      <c r="C1133" s="4" t="str">
        <f>IFERROR(__xludf.DUMMYFUNCTION("GOOGLETRANSLATE(D:D,""auto"",""en"")"),"Dr. Wu Han and his family through the door to meet")</f>
        <v>Dr. Wu Han and his family through the door to meet</v>
      </c>
      <c r="D1133" s="4" t="s">
        <v>1804</v>
      </c>
      <c r="E1133" s="4">
        <v>7712471.0</v>
      </c>
      <c r="F1133" s="4">
        <v>32.0</v>
      </c>
      <c r="G1133" s="4" t="s">
        <v>1805</v>
      </c>
    </row>
    <row r="1134">
      <c r="A1134" s="1">
        <v>1132.0</v>
      </c>
      <c r="B1134" s="4" t="s">
        <v>1757</v>
      </c>
      <c r="C1134" s="4" t="str">
        <f>IFERROR(__xludf.DUMMYFUNCTION("GOOGLETRANSLATE(D:D,""auto"",""en"")"),"Cai Xu Kun fans should aid sent revelation to find children")</f>
        <v>Cai Xu Kun fans should aid sent revelation to find children</v>
      </c>
      <c r="D1134" s="4" t="s">
        <v>1729</v>
      </c>
      <c r="E1134" s="4">
        <v>7661745.0</v>
      </c>
      <c r="F1134" s="4">
        <v>33.0</v>
      </c>
      <c r="G1134" s="4" t="s">
        <v>1730</v>
      </c>
    </row>
    <row r="1135">
      <c r="A1135" s="1">
        <v>1133.0</v>
      </c>
      <c r="B1135" s="4" t="s">
        <v>1757</v>
      </c>
      <c r="C1135" s="4" t="str">
        <f>IFERROR(__xludf.DUMMYFUNCTION("GOOGLETRANSLATE(D:D,""auto"",""en"")"),"The biggest advantage TFBOYS")</f>
        <v>The biggest advantage TFBOYS</v>
      </c>
      <c r="D1135" s="4" t="s">
        <v>1806</v>
      </c>
      <c r="E1135" s="4">
        <v>7613530.0</v>
      </c>
      <c r="F1135" s="4">
        <v>34.0</v>
      </c>
      <c r="G1135" s="4" t="s">
        <v>1807</v>
      </c>
    </row>
    <row r="1136">
      <c r="A1136" s="1">
        <v>1134.0</v>
      </c>
      <c r="B1136" s="4" t="s">
        <v>1757</v>
      </c>
      <c r="C1136" s="4" t="str">
        <f>IFERROR(__xludf.DUMMYFUNCTION("GOOGLETRANSLATE(D:D,""auto"",""en"")"),"Phoenix nine too cute")</f>
        <v>Phoenix nine too cute</v>
      </c>
      <c r="D1136" s="4" t="s">
        <v>1808</v>
      </c>
      <c r="E1136" s="4">
        <v>7572877.0</v>
      </c>
      <c r="F1136" s="4">
        <v>35.0</v>
      </c>
      <c r="G1136" s="4" t="s">
        <v>1809</v>
      </c>
    </row>
    <row r="1137">
      <c r="A1137" s="1">
        <v>1135.0</v>
      </c>
      <c r="B1137" s="4" t="s">
        <v>1757</v>
      </c>
      <c r="C1137" s="4" t="str">
        <f>IFERROR(__xludf.DUMMYFUNCTION("GOOGLETRANSLATE(D:D,""auto"",""en"")"),"Hunan new five cases of new confirmed cases of pneumonia")</f>
        <v>Hunan new five cases of new confirmed cases of pneumonia</v>
      </c>
      <c r="D1137" s="4" t="s">
        <v>1810</v>
      </c>
      <c r="E1137" s="4">
        <v>7546981.0</v>
      </c>
      <c r="F1137" s="4">
        <v>36.0</v>
      </c>
      <c r="G1137" s="4" t="s">
        <v>1811</v>
      </c>
    </row>
    <row r="1138">
      <c r="A1138" s="1">
        <v>1136.0</v>
      </c>
      <c r="B1138" s="4" t="s">
        <v>1757</v>
      </c>
      <c r="C1138" s="4" t="str">
        <f>IFERROR(__xludf.DUMMYFUNCTION("GOOGLETRANSLATE(D:D,""auto"",""en"")"),"Grandmother to granddaughter pink sewing sewing")</f>
        <v>Grandmother to granddaughter pink sewing sewing</v>
      </c>
      <c r="D1138" s="4" t="s">
        <v>1721</v>
      </c>
      <c r="E1138" s="4">
        <v>7470819.0</v>
      </c>
      <c r="F1138" s="4">
        <v>37.0</v>
      </c>
      <c r="G1138" s="4" t="s">
        <v>1722</v>
      </c>
    </row>
    <row r="1139">
      <c r="A1139" s="1">
        <v>1137.0</v>
      </c>
      <c r="B1139" s="4" t="s">
        <v>1757</v>
      </c>
      <c r="C1139" s="4" t="str">
        <f>IFERROR(__xludf.DUMMYFUNCTION("GOOGLETRANSLATE(D:D,""auto"",""en"")"),"Xiaotangshan SARS medical team battle assignment book")</f>
        <v>Xiaotangshan SARS medical team battle assignment book</v>
      </c>
      <c r="D1139" s="4" t="s">
        <v>1812</v>
      </c>
      <c r="E1139" s="4">
        <v>7456610.0</v>
      </c>
      <c r="F1139" s="4">
        <v>38.0</v>
      </c>
      <c r="G1139" s="4" t="s">
        <v>1813</v>
      </c>
    </row>
    <row r="1140">
      <c r="A1140" s="1">
        <v>1138.0</v>
      </c>
      <c r="B1140" s="4" t="s">
        <v>1757</v>
      </c>
      <c r="C1140" s="4" t="str">
        <f>IFERROR(__xludf.DUMMYFUNCTION("GOOGLETRANSLATE(D:D,""auto"",""en"")"),"The new coronavirus is not afraid of high temperature alcohol")</f>
        <v>The new coronavirus is not afraid of high temperature alcohol</v>
      </c>
      <c r="D1140" s="4" t="s">
        <v>1687</v>
      </c>
      <c r="E1140" s="4">
        <v>7441642.0</v>
      </c>
      <c r="F1140" s="4">
        <v>39.0</v>
      </c>
      <c r="G1140" s="4" t="s">
        <v>1688</v>
      </c>
    </row>
    <row r="1141">
      <c r="A1141" s="1">
        <v>1139.0</v>
      </c>
      <c r="B1141" s="4" t="s">
        <v>1757</v>
      </c>
      <c r="C1141" s="4" t="str">
        <f>IFERROR(__xludf.DUMMYFUNCTION("GOOGLETRANSLATE(D:D,""auto"",""en"")"),"Wu Jing Xie Nan catch by cooking")</f>
        <v>Wu Jing Xie Nan catch by cooking</v>
      </c>
      <c r="D1141" s="4" t="s">
        <v>1814</v>
      </c>
      <c r="E1141" s="4">
        <v>7395438.0</v>
      </c>
      <c r="F1141" s="4">
        <v>40.0</v>
      </c>
      <c r="G1141" s="4" t="s">
        <v>1815</v>
      </c>
    </row>
    <row r="1142">
      <c r="A1142" s="1">
        <v>1140.0</v>
      </c>
      <c r="B1142" s="4" t="s">
        <v>1757</v>
      </c>
      <c r="C1142" s="4" t="str">
        <f>IFERROR(__xludf.DUMMYFUNCTION("GOOGLETRANSLATE(D:D,""auto"",""en"")"),"Harbin to stop all school activities")</f>
        <v>Harbin to stop all school activities</v>
      </c>
      <c r="D1142" s="4" t="s">
        <v>1816</v>
      </c>
      <c r="E1142" s="4">
        <v>7393971.0</v>
      </c>
      <c r="F1142" s="4">
        <v>41.0</v>
      </c>
      <c r="G1142" s="4" t="s">
        <v>1817</v>
      </c>
    </row>
    <row r="1143">
      <c r="A1143" s="1">
        <v>1141.0</v>
      </c>
      <c r="B1143" s="4" t="s">
        <v>1757</v>
      </c>
      <c r="C1143" s="4" t="str">
        <f>IFERROR(__xludf.DUMMYFUNCTION("GOOGLETRANSLATE(D:D,""auto"",""en"")"),"Wuhan disinfectant liquid is spread over rumors")</f>
        <v>Wuhan disinfectant liquid is spread over rumors</v>
      </c>
      <c r="D1143" s="4" t="s">
        <v>1818</v>
      </c>
      <c r="E1143" s="4">
        <v>7374774.0</v>
      </c>
      <c r="F1143" s="4">
        <v>42.0</v>
      </c>
      <c r="G1143" s="4" t="s">
        <v>1819</v>
      </c>
    </row>
    <row r="1144">
      <c r="A1144" s="1">
        <v>1142.0</v>
      </c>
      <c r="B1144" s="4" t="s">
        <v>1757</v>
      </c>
      <c r="C1144" s="4" t="str">
        <f>IFERROR(__xludf.DUMMYFUNCTION("GOOGLETRANSLATE(D:D,""auto"",""en"")"),"Rush to the rescue vehicle has entered the field of materials Wuhan")</f>
        <v>Rush to the rescue vehicle has entered the field of materials Wuhan</v>
      </c>
      <c r="D1144" s="4" t="s">
        <v>1820</v>
      </c>
      <c r="E1144" s="4">
        <v>7373894.0</v>
      </c>
      <c r="F1144" s="4">
        <v>43.0</v>
      </c>
      <c r="G1144" s="4" t="s">
        <v>1821</v>
      </c>
    </row>
    <row r="1145">
      <c r="A1145" s="1">
        <v>1143.0</v>
      </c>
      <c r="B1145" s="4" t="s">
        <v>1757</v>
      </c>
      <c r="C1145" s="4" t="str">
        <f>IFERROR(__xludf.DUMMYFUNCTION("GOOGLETRANSLATE(D:D,""auto"",""en"")"),"After the closed city of Wuhan citizens living")</f>
        <v>After the closed city of Wuhan citizens living</v>
      </c>
      <c r="D1145" s="4" t="s">
        <v>1822</v>
      </c>
      <c r="E1145" s="4">
        <v>7302463.0</v>
      </c>
      <c r="F1145" s="4">
        <v>44.0</v>
      </c>
      <c r="G1145" s="4" t="s">
        <v>1823</v>
      </c>
    </row>
    <row r="1146">
      <c r="A1146" s="1">
        <v>1144.0</v>
      </c>
      <c r="B1146" s="4" t="s">
        <v>1757</v>
      </c>
      <c r="C1146" s="4" t="str">
        <f>IFERROR(__xludf.DUMMYFUNCTION("GOOGLETRANSLATE(D:D,""auto"",""en"")"),"Wuhan Metro bus to suspend operations")</f>
        <v>Wuhan Metro bus to suspend operations</v>
      </c>
      <c r="D1146" s="4" t="s">
        <v>1824</v>
      </c>
      <c r="E1146" s="4">
        <v>7246932.0</v>
      </c>
      <c r="F1146" s="4">
        <v>45.0</v>
      </c>
      <c r="G1146" s="4" t="s">
        <v>1825</v>
      </c>
    </row>
    <row r="1147">
      <c r="A1147" s="1">
        <v>1145.0</v>
      </c>
      <c r="B1147" s="4" t="s">
        <v>1757</v>
      </c>
      <c r="C1147" s="4" t="str">
        <f>IFERROR(__xludf.DUMMYFUNCTION("GOOGLETRANSLATE(D:D,""auto"",""en"")"),"Chaoyang Hospital attack suspects were arrested")</f>
        <v>Chaoyang Hospital attack suspects were arrested</v>
      </c>
      <c r="D1147" s="4" t="s">
        <v>1826</v>
      </c>
      <c r="E1147" s="4">
        <v>7225608.0</v>
      </c>
      <c r="F1147" s="4">
        <v>46.0</v>
      </c>
      <c r="G1147" s="4" t="s">
        <v>1827</v>
      </c>
    </row>
    <row r="1148">
      <c r="A1148" s="1">
        <v>1146.0</v>
      </c>
      <c r="B1148" s="4" t="s">
        <v>1757</v>
      </c>
      <c r="C1148" s="4" t="str">
        <f>IFERROR(__xludf.DUMMYFUNCTION("GOOGLETRANSLATE(D:D,""auto"",""en"")"),"CCTV Spring Festival Evening two taped at the venue changed")</f>
        <v>CCTV Spring Festival Evening two taped at the venue changed</v>
      </c>
      <c r="D1148" s="4" t="s">
        <v>1828</v>
      </c>
      <c r="E1148" s="4">
        <v>7216700.0</v>
      </c>
      <c r="F1148" s="4">
        <v>47.0</v>
      </c>
      <c r="G1148" s="4" t="s">
        <v>1829</v>
      </c>
    </row>
    <row r="1149">
      <c r="A1149" s="1">
        <v>1147.0</v>
      </c>
      <c r="B1149" s="4" t="s">
        <v>1757</v>
      </c>
      <c r="C1149" s="4" t="str">
        <f>IFERROR(__xludf.DUMMYFUNCTION("GOOGLETRANSLATE(D:D,""auto"",""en"")"),"The nurse's hand after 90 front-line fight against SARS")</f>
        <v>The nurse's hand after 90 front-line fight against SARS</v>
      </c>
      <c r="D1149" s="4" t="s">
        <v>1830</v>
      </c>
      <c r="E1149" s="4">
        <v>7215497.0</v>
      </c>
      <c r="F1149" s="4">
        <v>48.0</v>
      </c>
      <c r="G1149" s="4" t="s">
        <v>1831</v>
      </c>
    </row>
    <row r="1150">
      <c r="A1150" s="1">
        <v>1148.0</v>
      </c>
      <c r="B1150" s="4" t="s">
        <v>1757</v>
      </c>
      <c r="C1150" s="4" t="str">
        <f>IFERROR(__xludf.DUMMYFUNCTION("GOOGLETRANSLATE(D:D,""auto"",""en"")"),"Come angels")</f>
        <v>Come angels</v>
      </c>
      <c r="D1150" s="4" t="s">
        <v>1699</v>
      </c>
      <c r="E1150" s="4">
        <v>7098614.0</v>
      </c>
      <c r="F1150" s="4">
        <v>49.0</v>
      </c>
      <c r="G1150" s="4" t="s">
        <v>1700</v>
      </c>
    </row>
    <row r="1151">
      <c r="A1151" s="1">
        <v>1149.0</v>
      </c>
      <c r="B1151" s="4" t="s">
        <v>1757</v>
      </c>
      <c r="C1151" s="4" t="str">
        <f>IFERROR(__xludf.DUMMYFUNCTION("GOOGLETRANSLATE(D:D,""auto"",""en"")"),"Zhong Nanshan said that SARS will not repeat itself with confidence")</f>
        <v>Zhong Nanshan said that SARS will not repeat itself with confidence</v>
      </c>
      <c r="D1151" s="4" t="s">
        <v>1832</v>
      </c>
      <c r="E1151" s="4">
        <v>7065793.0</v>
      </c>
      <c r="F1151" s="4">
        <v>50.0</v>
      </c>
      <c r="G1151" s="4" t="s">
        <v>1833</v>
      </c>
    </row>
    <row r="1152">
      <c r="A1152" s="1">
        <v>1150.0</v>
      </c>
      <c r="B1152" s="4" t="s">
        <v>1834</v>
      </c>
      <c r="C1152" s="4" t="str">
        <f>IFERROR(__xludf.DUMMYFUNCTION("GOOGLETRANSLATE(D:D,""auto"",""en"")"),"Carry out the new epidemic of pneumonia in the emergency scientific research")</f>
        <v>Carry out the new epidemic of pneumonia in the emergency scientific research</v>
      </c>
      <c r="D1152" s="4" t="s">
        <v>1835</v>
      </c>
      <c r="E1152" s="4">
        <v>1.7490941E7</v>
      </c>
      <c r="F1152" s="4">
        <v>1.0</v>
      </c>
      <c r="G1152" s="4" t="s">
        <v>1836</v>
      </c>
    </row>
    <row r="1153">
      <c r="A1153" s="1">
        <v>1151.0</v>
      </c>
      <c r="B1153" s="4" t="s">
        <v>1834</v>
      </c>
      <c r="C1153" s="4" t="str">
        <f>IFERROR(__xludf.DUMMYFUNCTION("GOOGLETRANSLATE(D:D,""auto"",""en"")"),"The first novel coronavirus strains of virus seed information released")</f>
        <v>The first novel coronavirus strains of virus seed information released</v>
      </c>
      <c r="D1153" s="4" t="s">
        <v>1837</v>
      </c>
      <c r="E1153" s="4">
        <v>1.7021421E7</v>
      </c>
      <c r="F1153" s="4">
        <v>2.0</v>
      </c>
      <c r="G1153" s="4" t="s">
        <v>1838</v>
      </c>
    </row>
    <row r="1154">
      <c r="A1154" s="1">
        <v>1152.0</v>
      </c>
      <c r="B1154" s="4" t="s">
        <v>1834</v>
      </c>
      <c r="C1154" s="4" t="str">
        <f>IFERROR(__xludf.DUMMYFUNCTION("GOOGLETRANSLATE(D:D,""auto"",""en"")"),"The medical name on protective clothing")</f>
        <v>The medical name on protective clothing</v>
      </c>
      <c r="D1154" s="4" t="s">
        <v>1839</v>
      </c>
      <c r="E1154" s="4">
        <v>1.6629091E7</v>
      </c>
      <c r="F1154" s="4">
        <v>3.0</v>
      </c>
      <c r="G1154" s="4" t="s">
        <v>1840</v>
      </c>
    </row>
    <row r="1155">
      <c r="A1155" s="1">
        <v>1153.0</v>
      </c>
      <c r="B1155" s="4" t="s">
        <v>1834</v>
      </c>
      <c r="C1155" s="4" t="str">
        <f>IFERROR(__xludf.DUMMYFUNCTION("GOOGLETRANSLATE(D:D,""auto"",""en"")"),"Vibrato National People's free to see embarrassing mom")</f>
        <v>Vibrato National People's free to see embarrassing mom</v>
      </c>
      <c r="D1155" s="4" t="s">
        <v>1841</v>
      </c>
      <c r="E1155" s="4">
        <v>1.6268074E7</v>
      </c>
      <c r="F1155" s="4">
        <v>4.0</v>
      </c>
      <c r="G1155" s="4" t="s">
        <v>1842</v>
      </c>
    </row>
    <row r="1156">
      <c r="A1156" s="1">
        <v>1154.0</v>
      </c>
      <c r="B1156" s="4" t="s">
        <v>1834</v>
      </c>
      <c r="C1156" s="4" t="str">
        <f>IFERROR(__xludf.DUMMYFUNCTION("GOOGLETRANSLATE(D:D,""auto"",""en"")"),"Qinghai's first new suspected cases of pneumonia")</f>
        <v>Qinghai's first new suspected cases of pneumonia</v>
      </c>
      <c r="D1156" s="4" t="s">
        <v>1843</v>
      </c>
      <c r="E1156" s="4">
        <v>1.474889E7</v>
      </c>
      <c r="F1156" s="4">
        <v>5.0</v>
      </c>
      <c r="G1156" s="4" t="s">
        <v>1844</v>
      </c>
    </row>
    <row r="1157">
      <c r="A1157" s="1">
        <v>1155.0</v>
      </c>
      <c r="B1157" s="4" t="s">
        <v>1834</v>
      </c>
      <c r="C1157" s="4" t="str">
        <f>IFERROR(__xludf.DUMMYFUNCTION("GOOGLETRANSLATE(D:D,""auto"",""en"")"),"Henan hardcore tagline")</f>
        <v>Henan hardcore tagline</v>
      </c>
      <c r="D1157" s="4" t="s">
        <v>1845</v>
      </c>
      <c r="E1157" s="4">
        <v>1.2683256E7</v>
      </c>
      <c r="F1157" s="4">
        <v>6.0</v>
      </c>
      <c r="G1157" s="4" t="s">
        <v>1846</v>
      </c>
    </row>
    <row r="1158">
      <c r="A1158" s="1">
        <v>1156.0</v>
      </c>
      <c r="B1158" s="4" t="s">
        <v>1834</v>
      </c>
      <c r="C1158" s="4" t="str">
        <f>IFERROR(__xludf.DUMMYFUNCTION("GOOGLETRANSLATE(D:D,""auto"",""en"")"),"Henan hardcore")</f>
        <v>Henan hardcore</v>
      </c>
      <c r="D1158" s="4" t="s">
        <v>1847</v>
      </c>
      <c r="E1158" s="4">
        <v>1.2601174E7</v>
      </c>
      <c r="F1158" s="4">
        <v>7.0</v>
      </c>
      <c r="G1158" s="4" t="s">
        <v>1848</v>
      </c>
    </row>
    <row r="1159">
      <c r="A1159" s="1">
        <v>1157.0</v>
      </c>
      <c r="B1159" s="4" t="s">
        <v>1834</v>
      </c>
      <c r="C1159" s="4" t="str">
        <f>IFERROR(__xludf.DUMMYFUNCTION("GOOGLETRANSLATE(D:D,""auto"",""en"")"),"Wuhan one thousand owners of spontaneous pick-up staff")</f>
        <v>Wuhan one thousand owners of spontaneous pick-up staff</v>
      </c>
      <c r="D1159" s="4" t="s">
        <v>1849</v>
      </c>
      <c r="E1159" s="4">
        <v>1.2014592E7</v>
      </c>
      <c r="F1159" s="4">
        <v>8.0</v>
      </c>
      <c r="G1159" s="4" t="s">
        <v>1850</v>
      </c>
    </row>
    <row r="1160">
      <c r="A1160" s="1">
        <v>1158.0</v>
      </c>
      <c r="B1160" s="4" t="s">
        <v>1834</v>
      </c>
      <c r="C1160" s="4" t="str">
        <f>IFERROR(__xludf.DUMMYFUNCTION("GOOGLETRANSLATE(D:D,""auto"",""en"")"),"Wuhan Wuhan Come on baby")</f>
        <v>Wuhan Wuhan Come on baby</v>
      </c>
      <c r="D1160" s="4" t="s">
        <v>1851</v>
      </c>
      <c r="E1160" s="4">
        <v>1.1697672E7</v>
      </c>
      <c r="F1160" s="4">
        <v>9.0</v>
      </c>
      <c r="G1160" s="4" t="s">
        <v>1852</v>
      </c>
    </row>
    <row r="1161">
      <c r="A1161" s="1">
        <v>1159.0</v>
      </c>
      <c r="B1161" s="4" t="s">
        <v>1834</v>
      </c>
      <c r="C1161" s="4" t="str">
        <f>IFERROR(__xludf.DUMMYFUNCTION("GOOGLETRANSLATE(D:D,""auto"",""en"")"),"G1278 train car No. 2 of 23 passengers")</f>
        <v>G1278 train car No. 2 of 23 passengers</v>
      </c>
      <c r="D1161" s="4" t="s">
        <v>1853</v>
      </c>
      <c r="E1161" s="4">
        <v>1.1092606E7</v>
      </c>
      <c r="F1161" s="4">
        <v>10.0</v>
      </c>
      <c r="G1161" s="4" t="s">
        <v>1854</v>
      </c>
    </row>
    <row r="1162">
      <c r="A1162" s="1">
        <v>1160.0</v>
      </c>
      <c r="B1162" s="4" t="s">
        <v>1834</v>
      </c>
      <c r="C1162" s="4" t="str">
        <f>IFERROR(__xludf.DUMMYFUNCTION("GOOGLETRANSLATE(D:D,""auto"",""en"")"),"Wuhan seven doctors in the battle assignment book press the red handprint")</f>
        <v>Wuhan seven doctors in the battle assignment book press the red handprint</v>
      </c>
      <c r="D1162" s="4" t="s">
        <v>1778</v>
      </c>
      <c r="E1162" s="4">
        <v>9922306.0</v>
      </c>
      <c r="F1162" s="4">
        <v>11.0</v>
      </c>
      <c r="G1162" s="4" t="s">
        <v>1779</v>
      </c>
    </row>
    <row r="1163">
      <c r="A1163" s="1">
        <v>1161.0</v>
      </c>
      <c r="B1163" s="4" t="s">
        <v>1834</v>
      </c>
      <c r="C1163" s="4" t="str">
        <f>IFERROR(__xludf.DUMMYFUNCTION("GOOGLETRANSLATE(D:D,""auto"",""en"")"),"Wuhan will build mode Xiaotangshan Hospital")</f>
        <v>Wuhan will build mode Xiaotangshan Hospital</v>
      </c>
      <c r="D1163" s="4" t="s">
        <v>1802</v>
      </c>
      <c r="E1163" s="4">
        <v>9669607.0</v>
      </c>
      <c r="F1163" s="4">
        <v>12.0</v>
      </c>
      <c r="G1163" s="4" t="s">
        <v>1803</v>
      </c>
    </row>
    <row r="1164">
      <c r="A1164" s="1">
        <v>1162.0</v>
      </c>
      <c r="B1164" s="4" t="s">
        <v>1834</v>
      </c>
      <c r="C1164" s="4" t="str">
        <f>IFERROR(__xludf.DUMMYFUNCTION("GOOGLETRANSLATE(D:D,""auto"",""en"")"),"Rush to the rescue vehicle has entered the field of materials Wuhan")</f>
        <v>Rush to the rescue vehicle has entered the field of materials Wuhan</v>
      </c>
      <c r="D1164" s="4" t="s">
        <v>1820</v>
      </c>
      <c r="E1164" s="4">
        <v>9405542.0</v>
      </c>
      <c r="F1164" s="4">
        <v>13.0</v>
      </c>
      <c r="G1164" s="4" t="s">
        <v>1821</v>
      </c>
    </row>
    <row r="1165">
      <c r="A1165" s="1">
        <v>1163.0</v>
      </c>
      <c r="B1165" s="4" t="s">
        <v>1834</v>
      </c>
      <c r="C1165" s="4" t="str">
        <f>IFERROR(__xludf.DUMMYFUNCTION("GOOGLETRANSLATE(D:D,""auto"",""en"")"),"Guangdong started a major public health emergency response")</f>
        <v>Guangdong started a major public health emergency response</v>
      </c>
      <c r="D1165" s="4" t="s">
        <v>1855</v>
      </c>
      <c r="E1165" s="4">
        <v>9341486.0</v>
      </c>
      <c r="F1165" s="4">
        <v>14.0</v>
      </c>
      <c r="G1165" s="4" t="s">
        <v>1856</v>
      </c>
    </row>
    <row r="1166">
      <c r="A1166" s="1">
        <v>1164.0</v>
      </c>
      <c r="B1166" s="4" t="s">
        <v>1834</v>
      </c>
      <c r="C1166" s="4" t="str">
        <f>IFERROR(__xludf.DUMMYFUNCTION("GOOGLETRANSLATE(D:D,""auto"",""en"")"),"The new National diagnosed with pneumonia in 830 cases")</f>
        <v>The new National diagnosed with pneumonia in 830 cases</v>
      </c>
      <c r="D1166" s="4" t="s">
        <v>1857</v>
      </c>
      <c r="E1166" s="4">
        <v>8979539.0</v>
      </c>
      <c r="F1166" s="4">
        <v>15.0</v>
      </c>
      <c r="G1166" s="4" t="s">
        <v>1858</v>
      </c>
    </row>
    <row r="1167">
      <c r="A1167" s="1">
        <v>1165.0</v>
      </c>
      <c r="B1167" s="4" t="s">
        <v>1834</v>
      </c>
      <c r="C1167" s="4" t="str">
        <f>IFERROR(__xludf.DUMMYFUNCTION("GOOGLETRANSLATE(D:D,""auto"",""en"")"),"Xiaotangshan SARS medical team battle assignment book")</f>
        <v>Xiaotangshan SARS medical team battle assignment book</v>
      </c>
      <c r="D1167" s="4" t="s">
        <v>1812</v>
      </c>
      <c r="E1167" s="4">
        <v>8913656.0</v>
      </c>
      <c r="F1167" s="4">
        <v>16.0</v>
      </c>
      <c r="G1167" s="4" t="s">
        <v>1813</v>
      </c>
    </row>
    <row r="1168">
      <c r="A1168" s="1">
        <v>1166.0</v>
      </c>
      <c r="B1168" s="4" t="s">
        <v>1834</v>
      </c>
      <c r="C1168" s="4" t="str">
        <f>IFERROR(__xludf.DUMMYFUNCTION("GOOGLETRANSLATE(D:D,""auto"",""en"")"),"Hubei start a response")</f>
        <v>Hubei start a response</v>
      </c>
      <c r="D1168" s="4" t="s">
        <v>1859</v>
      </c>
      <c r="E1168" s="4">
        <v>8875062.0</v>
      </c>
      <c r="F1168" s="4">
        <v>17.0</v>
      </c>
      <c r="G1168" s="4" t="s">
        <v>1860</v>
      </c>
    </row>
    <row r="1169">
      <c r="A1169" s="1">
        <v>1167.0</v>
      </c>
      <c r="B1169" s="4" t="s">
        <v>1834</v>
      </c>
      <c r="C1169" s="4" t="str">
        <f>IFERROR(__xludf.DUMMYFUNCTION("GOOGLETRANSLATE(D:D,""auto"",""en"")"),"The new health care workers infected with pneumonia should be recognized as work-related injuries")</f>
        <v>The new health care workers infected with pneumonia should be recognized as work-related injuries</v>
      </c>
      <c r="D1169" s="4" t="s">
        <v>1861</v>
      </c>
      <c r="E1169" s="4">
        <v>8781671.0</v>
      </c>
      <c r="F1169" s="4">
        <v>18.0</v>
      </c>
      <c r="G1169" s="4" t="s">
        <v>1862</v>
      </c>
    </row>
    <row r="1170">
      <c r="A1170" s="1">
        <v>1168.0</v>
      </c>
      <c r="B1170" s="4" t="s">
        <v>1834</v>
      </c>
      <c r="C1170" s="4" t="str">
        <f>IFERROR(__xludf.DUMMYFUNCTION("GOOGLETRANSLATE(D:D,""auto"",""en"")"),"Hebei new one cases of pneumonia deaths")</f>
        <v>Hebei new one cases of pneumonia deaths</v>
      </c>
      <c r="D1170" s="4" t="s">
        <v>1863</v>
      </c>
      <c r="E1170" s="4">
        <v>8729507.0</v>
      </c>
      <c r="F1170" s="4">
        <v>19.0</v>
      </c>
      <c r="G1170" s="4" t="s">
        <v>1864</v>
      </c>
    </row>
    <row r="1171">
      <c r="A1171" s="1">
        <v>1169.0</v>
      </c>
      <c r="B1171" s="4" t="s">
        <v>1834</v>
      </c>
      <c r="C1171" s="4" t="str">
        <f>IFERROR(__xludf.DUMMYFUNCTION("GOOGLETRANSLATE(D:D,""auto"",""en"")"),"Spring Festival Gala New Year red envelopes stars")</f>
        <v>Spring Festival Gala New Year red envelopes stars</v>
      </c>
      <c r="D1171" s="4" t="s">
        <v>1865</v>
      </c>
      <c r="E1171" s="4">
        <v>8665652.0</v>
      </c>
      <c r="F1171" s="4">
        <v>20.0</v>
      </c>
      <c r="G1171" s="4" t="s">
        <v>1866</v>
      </c>
    </row>
    <row r="1172">
      <c r="A1172" s="1">
        <v>1170.0</v>
      </c>
      <c r="B1172" s="4" t="s">
        <v>1834</v>
      </c>
      <c r="C1172" s="4" t="str">
        <f>IFERROR(__xludf.DUMMYFUNCTION("GOOGLETRANSLATE(D:D,""auto"",""en"")"),"Hubei primary and secondary school of extension")</f>
        <v>Hubei primary and secondary school of extension</v>
      </c>
      <c r="D1172" s="4" t="s">
        <v>1867</v>
      </c>
      <c r="E1172" s="4">
        <v>8649979.0</v>
      </c>
      <c r="F1172" s="4">
        <v>21.0</v>
      </c>
      <c r="G1172" s="4" t="s">
        <v>1868</v>
      </c>
    </row>
    <row r="1173">
      <c r="A1173" s="1">
        <v>1171.0</v>
      </c>
      <c r="B1173" s="4" t="s">
        <v>1834</v>
      </c>
      <c r="C1173" s="4" t="str">
        <f>IFERROR(__xludf.DUMMYFUNCTION("GOOGLETRANSLATE(D:D,""auto"",""en"")"),"Hubei appears youngest deaths")</f>
        <v>Hubei appears youngest deaths</v>
      </c>
      <c r="D1173" s="4" t="s">
        <v>1869</v>
      </c>
      <c r="E1173" s="4">
        <v>8645361.0</v>
      </c>
      <c r="F1173" s="4">
        <v>22.0</v>
      </c>
      <c r="G1173" s="4" t="s">
        <v>1870</v>
      </c>
    </row>
    <row r="1174">
      <c r="A1174" s="1">
        <v>1172.0</v>
      </c>
      <c r="B1174" s="4" t="s">
        <v>1834</v>
      </c>
      <c r="C1174" s="4" t="str">
        <f>IFERROR(__xludf.DUMMYFUNCTION("GOOGLETRANSLATE(D:D,""auto"",""en"")"),"Hunan started a major public health emergency response")</f>
        <v>Hunan started a major public health emergency response</v>
      </c>
      <c r="D1174" s="4" t="s">
        <v>1871</v>
      </c>
      <c r="E1174" s="4">
        <v>8538302.0</v>
      </c>
      <c r="F1174" s="4">
        <v>23.0</v>
      </c>
      <c r="G1174" s="4" t="s">
        <v>1872</v>
      </c>
    </row>
    <row r="1175">
      <c r="A1175" s="1">
        <v>1173.0</v>
      </c>
      <c r="B1175" s="4" t="s">
        <v>1834</v>
      </c>
      <c r="C1175" s="4" t="str">
        <f>IFERROR(__xludf.DUMMYFUNCTION("GOOGLETRANSLATE(D:D,""auto"",""en"")"),"The biggest advantage TFBOYS")</f>
        <v>The biggest advantage TFBOYS</v>
      </c>
      <c r="D1175" s="4" t="s">
        <v>1806</v>
      </c>
      <c r="E1175" s="4">
        <v>8507792.0</v>
      </c>
      <c r="F1175" s="4">
        <v>24.0</v>
      </c>
      <c r="G1175" s="4" t="s">
        <v>1807</v>
      </c>
    </row>
    <row r="1176">
      <c r="A1176" s="1">
        <v>1174.0</v>
      </c>
      <c r="B1176" s="4" t="s">
        <v>1834</v>
      </c>
      <c r="C1176" s="4" t="str">
        <f>IFERROR(__xludf.DUMMYFUNCTION("GOOGLETRANSLATE(D:D,""auto"",""en"")"),"Ministry of Finance allocated 1 billion subsidy Hubei epidemic prevention and control")</f>
        <v>Ministry of Finance allocated 1 billion subsidy Hubei epidemic prevention and control</v>
      </c>
      <c r="D1176" s="4" t="s">
        <v>1873</v>
      </c>
      <c r="E1176" s="4">
        <v>8501692.0</v>
      </c>
      <c r="F1176" s="4">
        <v>25.0</v>
      </c>
      <c r="G1176" s="4" t="s">
        <v>1874</v>
      </c>
    </row>
    <row r="1177">
      <c r="A1177" s="1">
        <v>1175.0</v>
      </c>
      <c r="B1177" s="4" t="s">
        <v>1834</v>
      </c>
      <c r="C1177" s="4" t="str">
        <f>IFERROR(__xludf.DUMMYFUNCTION("GOOGLETRANSLATE(D:D,""auto"",""en"")"),"After the closed city of Wuhan citizens living")</f>
        <v>After the closed city of Wuhan citizens living</v>
      </c>
      <c r="D1177" s="4" t="s">
        <v>1822</v>
      </c>
      <c r="E1177" s="4">
        <v>8440363.0</v>
      </c>
      <c r="F1177" s="4">
        <v>26.0</v>
      </c>
      <c r="G1177" s="4" t="s">
        <v>1823</v>
      </c>
    </row>
    <row r="1178">
      <c r="A1178" s="1">
        <v>1176.0</v>
      </c>
      <c r="B1178" s="4" t="s">
        <v>1834</v>
      </c>
      <c r="C1178" s="4" t="str">
        <f>IFERROR(__xludf.DUMMYFUNCTION("GOOGLETRANSLATE(D:D,""auto"",""en"")"),"The stage is everywhere")</f>
        <v>The stage is everywhere</v>
      </c>
      <c r="D1178" s="4" t="s">
        <v>188</v>
      </c>
      <c r="E1178" s="4">
        <v>8405367.0</v>
      </c>
      <c r="F1178" s="4">
        <v>27.0</v>
      </c>
      <c r="G1178" s="4" t="s">
        <v>189</v>
      </c>
    </row>
    <row r="1179">
      <c r="A1179" s="1">
        <v>1177.0</v>
      </c>
      <c r="B1179" s="4" t="s">
        <v>1834</v>
      </c>
      <c r="C1179" s="4" t="str">
        <f>IFERROR(__xludf.DUMMYFUNCTION("GOOGLETRANSLATE(D:D,""auto"",""en"")"),"New Year's Eve 150 Shanghai, Wuhan Military flights")</f>
        <v>New Year's Eve 150 Shanghai, Wuhan Military flights</v>
      </c>
      <c r="D1179" s="4" t="s">
        <v>1875</v>
      </c>
      <c r="E1179" s="4">
        <v>8378103.0</v>
      </c>
      <c r="F1179" s="4">
        <v>28.0</v>
      </c>
      <c r="G1179" s="4" t="s">
        <v>1876</v>
      </c>
    </row>
    <row r="1180">
      <c r="A1180" s="1">
        <v>1178.0</v>
      </c>
      <c r="B1180" s="4" t="s">
        <v>1834</v>
      </c>
      <c r="C1180" s="4" t="str">
        <f>IFERROR(__xludf.DUMMYFUNCTION("GOOGLETRANSLATE(D:D,""auto"",""en"")"),"The best start to the New Year TA")</f>
        <v>The best start to the New Year TA</v>
      </c>
      <c r="D1180" s="4" t="s">
        <v>1877</v>
      </c>
      <c r="E1180" s="4">
        <v>8357204.0</v>
      </c>
      <c r="F1180" s="4">
        <v>29.0</v>
      </c>
      <c r="G1180" s="4" t="s">
        <v>1878</v>
      </c>
    </row>
    <row r="1181">
      <c r="A1181" s="1">
        <v>1179.0</v>
      </c>
      <c r="B1181" s="4" t="s">
        <v>1834</v>
      </c>
      <c r="C1181" s="4" t="str">
        <f>IFERROR(__xludf.DUMMYFUNCTION("GOOGLETRANSLATE(D:D,""auto"",""en"")"),"8 Granny inform relatives and friends do not come to stopping the Chinese New Year")</f>
        <v>8 Granny inform relatives and friends do not come to stopping the Chinese New Year</v>
      </c>
      <c r="D1181" s="4" t="s">
        <v>1879</v>
      </c>
      <c r="E1181" s="4">
        <v>8309042.0</v>
      </c>
      <c r="F1181" s="4">
        <v>30.0</v>
      </c>
      <c r="G1181" s="4" t="s">
        <v>1880</v>
      </c>
    </row>
    <row r="1182">
      <c r="A1182" s="1">
        <v>1180.0</v>
      </c>
      <c r="B1182" s="4" t="s">
        <v>1834</v>
      </c>
      <c r="C1182" s="4" t="str">
        <f>IFERROR(__xludf.DUMMYFUNCTION("GOOGLETRANSLATE(D:D,""auto"",""en"")"),"Xiao Zhan Xie Na same box")</f>
        <v>Xiao Zhan Xie Na same box</v>
      </c>
      <c r="D1182" s="4" t="s">
        <v>1788</v>
      </c>
      <c r="E1182" s="4">
        <v>8304511.0</v>
      </c>
      <c r="F1182" s="4">
        <v>31.0</v>
      </c>
      <c r="G1182" s="4" t="s">
        <v>1789</v>
      </c>
    </row>
    <row r="1183">
      <c r="A1183" s="1">
        <v>1181.0</v>
      </c>
      <c r="B1183" s="4" t="s">
        <v>1834</v>
      </c>
      <c r="C1183" s="4" t="str">
        <f>IFERROR(__xludf.DUMMYFUNCTION("GOOGLETRANSLATE(D:D,""auto"",""en"")"),"NBA All-Star Game released")</f>
        <v>NBA All-Star Game released</v>
      </c>
      <c r="D1183" s="4" t="s">
        <v>1881</v>
      </c>
      <c r="E1183" s="4">
        <v>8204665.0</v>
      </c>
      <c r="F1183" s="4">
        <v>32.0</v>
      </c>
      <c r="G1183" s="4" t="s">
        <v>1882</v>
      </c>
    </row>
    <row r="1184">
      <c r="A1184" s="1">
        <v>1182.0</v>
      </c>
      <c r="B1184" s="4" t="s">
        <v>1834</v>
      </c>
      <c r="C1184" s="4" t="str">
        <f>IFERROR(__xludf.DUMMYFUNCTION("GOOGLETRANSLATE(D:D,""auto"",""en"")"),"Wuhan edition Xiaotangshan construction site exposure")</f>
        <v>Wuhan edition Xiaotangshan construction site exposure</v>
      </c>
      <c r="D1184" s="4" t="s">
        <v>1883</v>
      </c>
      <c r="E1184" s="4">
        <v>8139328.0</v>
      </c>
      <c r="F1184" s="4">
        <v>33.0</v>
      </c>
      <c r="G1184" s="4" t="s">
        <v>1884</v>
      </c>
    </row>
    <row r="1185">
      <c r="A1185" s="1">
        <v>1183.0</v>
      </c>
      <c r="B1185" s="4" t="s">
        <v>1834</v>
      </c>
      <c r="C1185" s="4" t="str">
        <f>IFERROR(__xludf.DUMMYFUNCTION("GOOGLETRANSLATE(D:D,""auto"",""en"")"),"Wuhan female health care workers spontaneously cut hair")</f>
        <v>Wuhan female health care workers spontaneously cut hair</v>
      </c>
      <c r="D1185" s="4" t="s">
        <v>1885</v>
      </c>
      <c r="E1185" s="4">
        <v>8124506.0</v>
      </c>
      <c r="F1185" s="4">
        <v>34.0</v>
      </c>
      <c r="G1185" s="4" t="s">
        <v>1886</v>
      </c>
    </row>
    <row r="1186">
      <c r="A1186" s="1">
        <v>1184.0</v>
      </c>
      <c r="B1186" s="4" t="s">
        <v>1834</v>
      </c>
      <c r="C1186" s="4" t="str">
        <f>IFERROR(__xludf.DUMMYFUNCTION("GOOGLETRANSLATE(D:D,""auto"",""en"")"),"CCTV Spring Festival playbill")</f>
        <v>CCTV Spring Festival playbill</v>
      </c>
      <c r="D1186" s="4" t="s">
        <v>1887</v>
      </c>
      <c r="E1186" s="4">
        <v>8069615.0</v>
      </c>
      <c r="F1186" s="4">
        <v>35.0</v>
      </c>
      <c r="G1186" s="4" t="s">
        <v>1888</v>
      </c>
    </row>
    <row r="1187">
      <c r="A1187" s="1">
        <v>1185.0</v>
      </c>
      <c r="B1187" s="4" t="s">
        <v>1834</v>
      </c>
      <c r="C1187" s="4" t="str">
        <f>IFERROR(__xludf.DUMMYFUNCTION("GOOGLETRANSLATE(D:D,""auto"",""en"")"),"Phoenix nine too cute")</f>
        <v>Phoenix nine too cute</v>
      </c>
      <c r="D1187" s="4" t="s">
        <v>1808</v>
      </c>
      <c r="E1187" s="4">
        <v>7993741.0</v>
      </c>
      <c r="F1187" s="4">
        <v>36.0</v>
      </c>
      <c r="G1187" s="4" t="s">
        <v>1809</v>
      </c>
    </row>
    <row r="1188">
      <c r="A1188" s="1">
        <v>1186.0</v>
      </c>
      <c r="B1188" s="4" t="s">
        <v>1834</v>
      </c>
      <c r="C1188" s="4" t="str">
        <f>IFERROR(__xludf.DUMMYFUNCTION("GOOGLETRANSLATE(D:D,""auto"",""en"")"),"4 new cases Fujian")</f>
        <v>4 new cases Fujian</v>
      </c>
      <c r="D1188" s="4" t="s">
        <v>1889</v>
      </c>
      <c r="E1188" s="4">
        <v>7990866.0</v>
      </c>
      <c r="F1188" s="4">
        <v>37.0</v>
      </c>
      <c r="G1188" s="4" t="s">
        <v>1890</v>
      </c>
    </row>
    <row r="1189">
      <c r="A1189" s="1">
        <v>1187.0</v>
      </c>
      <c r="B1189" s="4" t="s">
        <v>1834</v>
      </c>
      <c r="C1189" s="4" t="str">
        <f>IFERROR(__xludf.DUMMYFUNCTION("GOOGLETRANSLATE(D:D,""auto"",""en"")"),"CCTV Spring Festival Evening two taped at the venue changed")</f>
        <v>CCTV Spring Festival Evening two taped at the venue changed</v>
      </c>
      <c r="D1189" s="4" t="s">
        <v>1828</v>
      </c>
      <c r="E1189" s="4">
        <v>7985261.0</v>
      </c>
      <c r="F1189" s="4">
        <v>38.0</v>
      </c>
      <c r="G1189" s="4" t="s">
        <v>1829</v>
      </c>
    </row>
    <row r="1190">
      <c r="A1190" s="1">
        <v>1188.0</v>
      </c>
      <c r="B1190" s="4" t="s">
        <v>1834</v>
      </c>
      <c r="C1190" s="4" t="str">
        <f>IFERROR(__xludf.DUMMYFUNCTION("GOOGLETRANSLATE(D:D,""auto"",""en"")"),"Family reunion celebration circle")</f>
        <v>Family reunion celebration circle</v>
      </c>
      <c r="D1190" s="4" t="s">
        <v>1634</v>
      </c>
      <c r="E1190" s="4">
        <v>7972237.0</v>
      </c>
      <c r="F1190" s="4">
        <v>39.0</v>
      </c>
      <c r="G1190" s="4" t="s">
        <v>1635</v>
      </c>
    </row>
    <row r="1191">
      <c r="A1191" s="1">
        <v>1189.0</v>
      </c>
      <c r="B1191" s="4" t="s">
        <v>1834</v>
      </c>
      <c r="C1191" s="4" t="str">
        <f>IFERROR(__xludf.DUMMYFUNCTION("GOOGLETRANSLATE(D:D,""auto"",""en"")"),"One person pay tribute to Wuhan")</f>
        <v>One person pay tribute to Wuhan</v>
      </c>
      <c r="D1191" s="4" t="s">
        <v>1891</v>
      </c>
      <c r="E1191" s="4">
        <v>7966462.0</v>
      </c>
      <c r="F1191" s="4">
        <v>40.0</v>
      </c>
      <c r="G1191" s="4" t="s">
        <v>1892</v>
      </c>
    </row>
    <row r="1192">
      <c r="A1192" s="1">
        <v>1190.0</v>
      </c>
      <c r="B1192" s="4" t="s">
        <v>1834</v>
      </c>
      <c r="C1192" s="4" t="str">
        <f>IFERROR(__xludf.DUMMYFUNCTION("GOOGLETRANSLATE(D:D,""auto"",""en"")"),"Wuhan since January 24 network operators around the car stop")</f>
        <v>Wuhan since January 24 network operators around the car stop</v>
      </c>
      <c r="D1192" s="4" t="s">
        <v>1893</v>
      </c>
      <c r="E1192" s="4">
        <v>7874860.0</v>
      </c>
      <c r="F1192" s="4">
        <v>41.0</v>
      </c>
      <c r="G1192" s="4" t="s">
        <v>1894</v>
      </c>
    </row>
    <row r="1193">
      <c r="A1193" s="1">
        <v>1191.0</v>
      </c>
      <c r="B1193" s="4" t="s">
        <v>1834</v>
      </c>
      <c r="C1193" s="4" t="str">
        <f>IFERROR(__xludf.DUMMYFUNCTION("GOOGLETRANSLATE(D:D,""auto"",""en"")"),"Virus isolation can not isolate love")</f>
        <v>Virus isolation can not isolate love</v>
      </c>
      <c r="D1193" s="4" t="s">
        <v>1895</v>
      </c>
      <c r="E1193" s="4">
        <v>7810014.0</v>
      </c>
      <c r="F1193" s="4">
        <v>42.0</v>
      </c>
      <c r="G1193" s="4" t="s">
        <v>1896</v>
      </c>
    </row>
    <row r="1194">
      <c r="A1194" s="1">
        <v>1192.0</v>
      </c>
      <c r="B1194" s="4" t="s">
        <v>1834</v>
      </c>
      <c r="C1194" s="4" t="str">
        <f>IFERROR(__xludf.DUMMYFUNCTION("GOOGLETRANSLATE(D:D,""auto"",""en"")"),"New pneumonia have been cured 34 cases")</f>
        <v>New pneumonia have been cured 34 cases</v>
      </c>
      <c r="D1194" s="4" t="s">
        <v>1897</v>
      </c>
      <c r="E1194" s="4">
        <v>7745287.0</v>
      </c>
      <c r="F1194" s="4">
        <v>43.0</v>
      </c>
      <c r="G1194" s="4" t="s">
        <v>1898</v>
      </c>
    </row>
    <row r="1195">
      <c r="A1195" s="1">
        <v>1193.0</v>
      </c>
      <c r="B1195" s="4" t="s">
        <v>1834</v>
      </c>
      <c r="C1195" s="4" t="str">
        <f>IFERROR(__xludf.DUMMYFUNCTION("GOOGLETRANSLATE(D:D,""auto"",""en"")"),"Doctors all over the rush to the rescue Hubei")</f>
        <v>Doctors all over the rush to the rescue Hubei</v>
      </c>
      <c r="D1195" s="4" t="s">
        <v>1899</v>
      </c>
      <c r="E1195" s="4">
        <v>7685606.0</v>
      </c>
      <c r="F1195" s="4">
        <v>44.0</v>
      </c>
      <c r="G1195" s="4" t="s">
        <v>1900</v>
      </c>
    </row>
    <row r="1196">
      <c r="A1196" s="1">
        <v>1194.0</v>
      </c>
      <c r="B1196" s="4" t="s">
        <v>1834</v>
      </c>
      <c r="C1196" s="4" t="str">
        <f>IFERROR(__xludf.DUMMYFUNCTION("GOOGLETRANSLATE(D:D,""auto"",""en"")"),"Cough, fever is not a new crown the only first symptom of pneumonia")</f>
        <v>Cough, fever is not a new crown the only first symptom of pneumonia</v>
      </c>
      <c r="D1196" s="4" t="s">
        <v>1901</v>
      </c>
      <c r="E1196" s="4">
        <v>7584886.0</v>
      </c>
      <c r="F1196" s="4">
        <v>45.0</v>
      </c>
      <c r="G1196" s="4" t="s">
        <v>1902</v>
      </c>
    </row>
    <row r="1197">
      <c r="A1197" s="1">
        <v>1195.0</v>
      </c>
      <c r="B1197" s="4" t="s">
        <v>1834</v>
      </c>
      <c r="C1197" s="4" t="str">
        <f>IFERROR(__xludf.DUMMYFUNCTION("GOOGLETRANSLATE(D:D,""auto"",""en"")"),"James, the fourth consecutive year the All-Star votes Wang")</f>
        <v>James, the fourth consecutive year the All-Star votes Wang</v>
      </c>
      <c r="D1197" s="4" t="s">
        <v>1903</v>
      </c>
      <c r="E1197" s="4">
        <v>7573574.0</v>
      </c>
      <c r="F1197" s="4">
        <v>46.0</v>
      </c>
      <c r="G1197" s="4" t="s">
        <v>1904</v>
      </c>
    </row>
    <row r="1198">
      <c r="A1198" s="1">
        <v>1196.0</v>
      </c>
      <c r="B1198" s="4" t="s">
        <v>1834</v>
      </c>
      <c r="C1198" s="4" t="str">
        <f>IFERROR(__xludf.DUMMYFUNCTION("GOOGLETRANSLATE(D:D,""auto"",""en"")"),"Palace Museum closed")</f>
        <v>Palace Museum closed</v>
      </c>
      <c r="D1198" s="4" t="s">
        <v>1905</v>
      </c>
      <c r="E1198" s="4">
        <v>7558369.0</v>
      </c>
      <c r="F1198" s="4">
        <v>47.0</v>
      </c>
      <c r="G1198" s="4" t="s">
        <v>1906</v>
      </c>
    </row>
    <row r="1199">
      <c r="A1199" s="1">
        <v>1197.0</v>
      </c>
      <c r="B1199" s="4" t="s">
        <v>1834</v>
      </c>
      <c r="C1199" s="4" t="str">
        <f>IFERROR(__xludf.DUMMYFUNCTION("GOOGLETRANSLATE(D:D,""auto"",""en"")"),"Guangdong has 10 cases of family clusters of disease")</f>
        <v>Guangdong has 10 cases of family clusters of disease</v>
      </c>
      <c r="D1199" s="4" t="s">
        <v>1907</v>
      </c>
      <c r="E1199" s="4">
        <v>7542958.0</v>
      </c>
      <c r="F1199" s="4">
        <v>48.0</v>
      </c>
      <c r="G1199" s="4" t="s">
        <v>1908</v>
      </c>
    </row>
    <row r="1200">
      <c r="A1200" s="1">
        <v>1198.0</v>
      </c>
      <c r="B1200" s="4" t="s">
        <v>1834</v>
      </c>
      <c r="C1200" s="4" t="str">
        <f>IFERROR(__xludf.DUMMYFUNCTION("GOOGLETRANSLATE(D:D,""auto"",""en"")"),"Guangdong started a response")</f>
        <v>Guangdong started a response</v>
      </c>
      <c r="D1200" s="4" t="s">
        <v>1909</v>
      </c>
      <c r="E1200" s="4">
        <v>7403087.0</v>
      </c>
      <c r="F1200" s="4">
        <v>49.0</v>
      </c>
      <c r="G1200" s="4" t="s">
        <v>1910</v>
      </c>
    </row>
    <row r="1201">
      <c r="A1201" s="1">
        <v>1199.0</v>
      </c>
      <c r="B1201" s="4" t="s">
        <v>1834</v>
      </c>
      <c r="C1201" s="4" t="str">
        <f>IFERROR(__xludf.DUMMYFUNCTION("GOOGLETRANSLATE(D:D,""auto"",""en"")"),"Please isolate yourself back from Wuhan")</f>
        <v>Please isolate yourself back from Wuhan</v>
      </c>
      <c r="D1201" s="4" t="s">
        <v>1911</v>
      </c>
      <c r="E1201" s="4">
        <v>7339522.0</v>
      </c>
      <c r="F1201" s="4">
        <v>50.0</v>
      </c>
      <c r="G1201" s="4" t="s">
        <v>1912</v>
      </c>
    </row>
    <row r="1202">
      <c r="A1202" s="1">
        <v>1200.0</v>
      </c>
      <c r="B1202" s="4" t="s">
        <v>1913</v>
      </c>
      <c r="C1202" s="4" t="str">
        <f>IFERROR(__xludf.DUMMYFUNCTION("GOOGLETRANSLATE(D:D,""auto"",""en"")"),"What is a public health emergency response")</f>
        <v>What is a public health emergency response</v>
      </c>
      <c r="D1202" s="4" t="s">
        <v>1914</v>
      </c>
      <c r="E1202" s="4">
        <v>2.2009848E7</v>
      </c>
      <c r="F1202" s="4">
        <v>1.0</v>
      </c>
      <c r="G1202" s="4" t="s">
        <v>1915</v>
      </c>
    </row>
    <row r="1203">
      <c r="A1203" s="1">
        <v>1201.0</v>
      </c>
      <c r="B1203" s="4" t="s">
        <v>1913</v>
      </c>
      <c r="C1203" s="4" t="str">
        <f>IFERROR(__xludf.DUMMYFUNCTION("GOOGLETRANSLATE(D:D,""auto"",""en"")"),"Zhong Nanshan said that the existing drugs used in clinical treatment")</f>
        <v>Zhong Nanshan said that the existing drugs used in clinical treatment</v>
      </c>
      <c r="D1203" s="4" t="s">
        <v>1916</v>
      </c>
      <c r="E1203" s="4">
        <v>2.1387151E7</v>
      </c>
      <c r="F1203" s="4">
        <v>2.0</v>
      </c>
      <c r="G1203" s="4" t="s">
        <v>1917</v>
      </c>
    </row>
    <row r="1204">
      <c r="A1204" s="1">
        <v>1202.0</v>
      </c>
      <c r="B1204" s="4" t="s">
        <v>1913</v>
      </c>
      <c r="C1204" s="4" t="str">
        <f>IFERROR(__xludf.DUMMYFUNCTION("GOOGLETRANSLATE(D:D,""auto"",""en"")"),"Shaanxi emergence of new cases of pneumonia a 9-year-old")</f>
        <v>Shaanxi emergence of new cases of pneumonia a 9-year-old</v>
      </c>
      <c r="D1204" s="4" t="s">
        <v>1918</v>
      </c>
      <c r="E1204" s="4">
        <v>2.0810981E7</v>
      </c>
      <c r="F1204" s="4">
        <v>3.0</v>
      </c>
      <c r="G1204" s="4" t="s">
        <v>1919</v>
      </c>
    </row>
    <row r="1205">
      <c r="A1205" s="1">
        <v>1203.0</v>
      </c>
      <c r="B1205" s="4" t="s">
        <v>1913</v>
      </c>
      <c r="C1205" s="4" t="str">
        <f>IFERROR(__xludf.DUMMYFUNCTION("GOOGLETRANSLATE(D:D,""auto"",""en"")"),"21, No. 7 Jixun carriage of passengers D3937 times")</f>
        <v>21, No. 7 Jixun carriage of passengers D3937 times</v>
      </c>
      <c r="D1205" s="4" t="s">
        <v>1920</v>
      </c>
      <c r="E1205" s="4">
        <v>2.022539E7</v>
      </c>
      <c r="F1205" s="4">
        <v>4.0</v>
      </c>
      <c r="G1205" s="4" t="s">
        <v>1921</v>
      </c>
    </row>
    <row r="1206">
      <c r="A1206" s="1">
        <v>1204.0</v>
      </c>
      <c r="B1206" s="4" t="s">
        <v>1913</v>
      </c>
      <c r="C1206" s="4" t="str">
        <f>IFERROR(__xludf.DUMMYFUNCTION("GOOGLETRANSLATE(D:D,""auto"",""en"")"),"Vibrato National People's free to see embarrassing mom")</f>
        <v>Vibrato National People's free to see embarrassing mom</v>
      </c>
      <c r="D1206" s="4" t="s">
        <v>1841</v>
      </c>
      <c r="E1206" s="4">
        <v>2.0209948E7</v>
      </c>
      <c r="F1206" s="4">
        <v>5.0</v>
      </c>
      <c r="G1206" s="4" t="s">
        <v>1842</v>
      </c>
    </row>
    <row r="1207">
      <c r="A1207" s="1">
        <v>1205.0</v>
      </c>
      <c r="B1207" s="4" t="s">
        <v>1913</v>
      </c>
      <c r="C1207" s="4" t="str">
        <f>IFERROR(__xludf.DUMMYFUNCTION("GOOGLETRANSLATE(D:D,""auto"",""en"")"),"Zhejiang medical team set out to reinforce Wuhan")</f>
        <v>Zhejiang medical team set out to reinforce Wuhan</v>
      </c>
      <c r="D1207" s="4" t="s">
        <v>1922</v>
      </c>
      <c r="E1207" s="4">
        <v>1.9750397E7</v>
      </c>
      <c r="F1207" s="4">
        <v>6.0</v>
      </c>
      <c r="G1207" s="4" t="s">
        <v>1923</v>
      </c>
    </row>
    <row r="1208">
      <c r="A1208" s="1">
        <v>1206.0</v>
      </c>
      <c r="B1208" s="4" t="s">
        <v>1913</v>
      </c>
      <c r="C1208" s="4" t="str">
        <f>IFERROR(__xludf.DUMMYFUNCTION("GOOGLETRANSLATE(D:D,""auto"",""en"")"),"The medical name on protective clothing")</f>
        <v>The medical name on protective clothing</v>
      </c>
      <c r="D1208" s="4" t="s">
        <v>1839</v>
      </c>
      <c r="E1208" s="4">
        <v>1.8539913E7</v>
      </c>
      <c r="F1208" s="4">
        <v>7.0</v>
      </c>
      <c r="G1208" s="4" t="s">
        <v>1840</v>
      </c>
    </row>
    <row r="1209">
      <c r="A1209" s="1">
        <v>1207.0</v>
      </c>
      <c r="B1209" s="4" t="s">
        <v>1913</v>
      </c>
      <c r="C1209" s="4" t="str">
        <f>IFERROR(__xludf.DUMMYFUNCTION("GOOGLETRANSLATE(D:D,""auto"",""en"")"),"New Year's Day 4:00 husband sent his wife set off in Wuhan")</f>
        <v>New Year's Day 4:00 husband sent his wife set off in Wuhan</v>
      </c>
      <c r="D1209" s="4" t="s">
        <v>1924</v>
      </c>
      <c r="E1209" s="4">
        <v>1.8064703E7</v>
      </c>
      <c r="F1209" s="4">
        <v>8.0</v>
      </c>
      <c r="G1209" s="4" t="s">
        <v>1925</v>
      </c>
    </row>
    <row r="1210">
      <c r="A1210" s="1">
        <v>1208.0</v>
      </c>
      <c r="B1210" s="4" t="s">
        <v>1913</v>
      </c>
      <c r="C1210" s="4" t="str">
        <f>IFERROR(__xludf.DUMMYFUNCTION("GOOGLETRANSLATE(D:D,""auto"",""en"")"),"Wuhan one thousand owners of spontaneous pick-up staff")</f>
        <v>Wuhan one thousand owners of spontaneous pick-up staff</v>
      </c>
      <c r="D1210" s="4" t="s">
        <v>1849</v>
      </c>
      <c r="E1210" s="4">
        <v>1.8026463E7</v>
      </c>
      <c r="F1210" s="4">
        <v>9.0</v>
      </c>
      <c r="G1210" s="4" t="s">
        <v>1850</v>
      </c>
    </row>
    <row r="1211">
      <c r="A1211" s="1">
        <v>1209.0</v>
      </c>
      <c r="B1211" s="4" t="s">
        <v>1913</v>
      </c>
      <c r="C1211" s="4" t="str">
        <f>IFERROR(__xludf.DUMMYFUNCTION("GOOGLETRANSLATE(D:D,""auto"",""en"")"),"Tianjin Radio and you do not be confident")</f>
        <v>Tianjin Radio and you do not be confident</v>
      </c>
      <c r="D1211" s="4" t="s">
        <v>1926</v>
      </c>
      <c r="E1211" s="4">
        <v>1.7609581E7</v>
      </c>
      <c r="F1211" s="4">
        <v>10.0</v>
      </c>
      <c r="G1211" s="4" t="s">
        <v>1927</v>
      </c>
    </row>
    <row r="1212">
      <c r="A1212" s="1">
        <v>1210.0</v>
      </c>
      <c r="B1212" s="4" t="s">
        <v>1913</v>
      </c>
      <c r="C1212" s="4" t="str">
        <f>IFERROR(__xludf.DUMMYFUNCTION("GOOGLETRANSLATE(D:D,""auto"",""en"")"),"Wuhan Wuhan Come on baby")</f>
        <v>Wuhan Wuhan Come on baby</v>
      </c>
      <c r="D1212" s="4" t="s">
        <v>1851</v>
      </c>
      <c r="E1212" s="4">
        <v>1.7599959E7</v>
      </c>
      <c r="F1212" s="4">
        <v>11.0</v>
      </c>
      <c r="G1212" s="4" t="s">
        <v>1852</v>
      </c>
    </row>
    <row r="1213">
      <c r="A1213" s="1">
        <v>1211.0</v>
      </c>
      <c r="B1213" s="4" t="s">
        <v>1913</v>
      </c>
      <c r="C1213" s="4" t="str">
        <f>IFERROR(__xludf.DUMMYFUNCTION("GOOGLETRANSLATE(D:D,""auto"",""en"")"),"The first new crown by examining the virus detection kit")</f>
        <v>The first new crown by examining the virus detection kit</v>
      </c>
      <c r="D1213" s="4" t="s">
        <v>1928</v>
      </c>
      <c r="E1213" s="4">
        <v>1.6732879E7</v>
      </c>
      <c r="F1213" s="4">
        <v>12.0</v>
      </c>
      <c r="G1213" s="4" t="s">
        <v>1929</v>
      </c>
    </row>
    <row r="1214">
      <c r="A1214" s="1">
        <v>1212.0</v>
      </c>
      <c r="B1214" s="4" t="s">
        <v>1913</v>
      </c>
      <c r="C1214" s="4" t="str">
        <f>IFERROR(__xludf.DUMMYFUNCTION("GOOGLETRANSLATE(D:D,""auto"",""en"")"),"Happy New Year new ways")</f>
        <v>Happy New Year new ways</v>
      </c>
      <c r="D1214" s="4" t="s">
        <v>1930</v>
      </c>
      <c r="E1214" s="4">
        <v>1.6531107E7</v>
      </c>
      <c r="F1214" s="4">
        <v>13.0</v>
      </c>
      <c r="G1214" s="4" t="s">
        <v>1931</v>
      </c>
    </row>
    <row r="1215">
      <c r="A1215" s="1">
        <v>1213.0</v>
      </c>
      <c r="B1215" s="4" t="s">
        <v>1913</v>
      </c>
      <c r="C1215" s="4" t="str">
        <f>IFERROR(__xludf.DUMMYFUNCTION("GOOGLETRANSLATE(D:D,""auto"",""en"")"),"Family reunion celebration circle")</f>
        <v>Family reunion celebration circle</v>
      </c>
      <c r="D1215" s="4" t="s">
        <v>1634</v>
      </c>
      <c r="E1215" s="4">
        <v>1.6430221E7</v>
      </c>
      <c r="F1215" s="4">
        <v>14.0</v>
      </c>
      <c r="G1215" s="4" t="s">
        <v>1635</v>
      </c>
    </row>
    <row r="1216">
      <c r="A1216" s="1">
        <v>1214.0</v>
      </c>
      <c r="B1216" s="4" t="s">
        <v>1913</v>
      </c>
      <c r="C1216" s="4" t="str">
        <f>IFERROR(__xludf.DUMMYFUNCTION("GOOGLETRANSLATE(D:D,""auto"",""en"")"),"Shaanxi start a response")</f>
        <v>Shaanxi start a response</v>
      </c>
      <c r="D1216" s="4" t="s">
        <v>1932</v>
      </c>
      <c r="E1216" s="4">
        <v>1.6329335E7</v>
      </c>
      <c r="F1216" s="4">
        <v>15.0</v>
      </c>
      <c r="G1216" s="4" t="s">
        <v>1933</v>
      </c>
    </row>
    <row r="1217">
      <c r="A1217" s="1">
        <v>1215.0</v>
      </c>
      <c r="B1217" s="4" t="s">
        <v>1913</v>
      </c>
      <c r="C1217" s="4" t="str">
        <f>IFERROR(__xludf.DUMMYFUNCTION("GOOGLETRANSLATE(D:D,""auto"",""en"")"),"All Wuhan hospital admissions fever clinics 24 hours")</f>
        <v>All Wuhan hospital admissions fever clinics 24 hours</v>
      </c>
      <c r="D1217" s="4" t="s">
        <v>1934</v>
      </c>
      <c r="E1217" s="4">
        <v>1.5943973E7</v>
      </c>
      <c r="F1217" s="4">
        <v>16.0</v>
      </c>
      <c r="G1217" s="4" t="s">
        <v>1935</v>
      </c>
    </row>
    <row r="1218">
      <c r="A1218" s="1">
        <v>1216.0</v>
      </c>
      <c r="B1218" s="4" t="s">
        <v>1913</v>
      </c>
      <c r="C1218" s="4" t="str">
        <f>IFERROR(__xludf.DUMMYFUNCTION("GOOGLETRANSLATE(D:D,""auto"",""en"")"),"Wuhan plans to build a Xiaotangshan Hospital")</f>
        <v>Wuhan plans to build a Xiaotangshan Hospital</v>
      </c>
      <c r="D1218" s="4" t="s">
        <v>1936</v>
      </c>
      <c r="E1218" s="4">
        <v>1.5877104E7</v>
      </c>
      <c r="F1218" s="4">
        <v>17.0</v>
      </c>
      <c r="G1218" s="4" t="s">
        <v>1937</v>
      </c>
    </row>
    <row r="1219">
      <c r="A1219" s="1">
        <v>1217.0</v>
      </c>
      <c r="B1219" s="4" t="s">
        <v>1913</v>
      </c>
      <c r="C1219" s="4" t="str">
        <f>IFERROR(__xludf.DUMMYFUNCTION("GOOGLETRANSLATE(D:D,""auto"",""en"")"),"New Year film, Zhang Yimou team")</f>
        <v>New Year film, Zhang Yimou team</v>
      </c>
      <c r="D1219" s="4" t="s">
        <v>1938</v>
      </c>
      <c r="E1219" s="4">
        <v>1.5693237E7</v>
      </c>
      <c r="F1219" s="4">
        <v>18.0</v>
      </c>
      <c r="G1219" s="4" t="s">
        <v>1939</v>
      </c>
    </row>
    <row r="1220">
      <c r="A1220" s="1">
        <v>1218.0</v>
      </c>
      <c r="B1220" s="4" t="s">
        <v>1913</v>
      </c>
      <c r="C1220" s="4" t="str">
        <f>IFERROR(__xludf.DUMMYFUNCTION("GOOGLETRANSLATE(D:D,""auto"",""en"")"),"New Year's Eve 150 Shanghai, Wuhan Military flights")</f>
        <v>New Year's Eve 150 Shanghai, Wuhan Military flights</v>
      </c>
      <c r="D1220" s="4" t="s">
        <v>1875</v>
      </c>
      <c r="E1220" s="4">
        <v>1.5591215E7</v>
      </c>
      <c r="F1220" s="4">
        <v>19.0</v>
      </c>
      <c r="G1220" s="4" t="s">
        <v>1876</v>
      </c>
    </row>
    <row r="1221">
      <c r="A1221" s="1">
        <v>1219.0</v>
      </c>
      <c r="B1221" s="4" t="s">
        <v>1913</v>
      </c>
      <c r="C1221" s="4" t="str">
        <f>IFERROR(__xludf.DUMMYFUNCTION("GOOGLETRANSLATE(D:D,""auto"",""en"")"),"Wuhan city center to implement the ban on vehicle line")</f>
        <v>Wuhan city center to implement the ban on vehicle line</v>
      </c>
      <c r="D1221" s="4" t="s">
        <v>1940</v>
      </c>
      <c r="E1221" s="4">
        <v>1.5509371E7</v>
      </c>
      <c r="F1221" s="4">
        <v>20.0</v>
      </c>
      <c r="G1221" s="4" t="s">
        <v>1941</v>
      </c>
    </row>
    <row r="1222">
      <c r="A1222" s="1">
        <v>1220.0</v>
      </c>
      <c r="B1222" s="4" t="s">
        <v>1913</v>
      </c>
      <c r="C1222" s="4" t="str">
        <f>IFERROR(__xludf.DUMMYFUNCTION("GOOGLETRANSLATE(D:D,""auto"",""en"")"),"Taizhou a general practitioner infection died of cardiac arrest")</f>
        <v>Taizhou a general practitioner infection died of cardiac arrest</v>
      </c>
      <c r="D1222" s="4" t="s">
        <v>1942</v>
      </c>
      <c r="E1222" s="4">
        <v>1.512552E7</v>
      </c>
      <c r="F1222" s="4">
        <v>21.0</v>
      </c>
      <c r="G1222" s="4" t="s">
        <v>1943</v>
      </c>
    </row>
    <row r="1223">
      <c r="A1223" s="1">
        <v>1221.0</v>
      </c>
      <c r="B1223" s="4" t="s">
        <v>1913</v>
      </c>
      <c r="C1223" s="4" t="str">
        <f>IFERROR(__xludf.DUMMYFUNCTION("GOOGLETRANSLATE(D:D,""auto"",""en"")"),"New Year's")</f>
        <v>New Year's</v>
      </c>
      <c r="D1223" s="4" t="s">
        <v>1944</v>
      </c>
      <c r="E1223" s="4">
        <v>1.4702058E7</v>
      </c>
      <c r="F1223" s="4">
        <v>22.0</v>
      </c>
      <c r="G1223" s="4" t="s">
        <v>1945</v>
      </c>
    </row>
    <row r="1224">
      <c r="A1224" s="1">
        <v>1222.0</v>
      </c>
      <c r="B1224" s="4" t="s">
        <v>1913</v>
      </c>
      <c r="C1224" s="4" t="str">
        <f>IFERROR(__xludf.DUMMYFUNCTION("GOOGLETRANSLATE(D:D,""auto"",""en"")"),"The new National diagnosed with pneumonia in 1287 cases")</f>
        <v>The new National diagnosed with pneumonia in 1287 cases</v>
      </c>
      <c r="D1224" s="4" t="s">
        <v>1946</v>
      </c>
      <c r="E1224" s="4">
        <v>1.4543426E7</v>
      </c>
      <c r="F1224" s="4">
        <v>23.0</v>
      </c>
      <c r="G1224" s="4" t="s">
        <v>1947</v>
      </c>
    </row>
    <row r="1225">
      <c r="A1225" s="1">
        <v>1223.0</v>
      </c>
      <c r="B1225" s="4" t="s">
        <v>1913</v>
      </c>
      <c r="C1225" s="4" t="str">
        <f>IFERROR(__xludf.DUMMYFUNCTION("GOOGLETRANSLATE(D:D,""auto"",""en"")"),"Xiao Zhan Xie Na dialect comedy")</f>
        <v>Xiao Zhan Xie Na dialect comedy</v>
      </c>
      <c r="D1225" s="4" t="s">
        <v>1948</v>
      </c>
      <c r="E1225" s="4">
        <v>1.437217E7</v>
      </c>
      <c r="F1225" s="4">
        <v>24.0</v>
      </c>
      <c r="G1225" s="4" t="s">
        <v>1949</v>
      </c>
    </row>
    <row r="1226">
      <c r="A1226" s="1">
        <v>1224.0</v>
      </c>
      <c r="B1226" s="4" t="s">
        <v>1913</v>
      </c>
      <c r="C1226" s="4" t="str">
        <f>IFERROR(__xludf.DUMMYFUNCTION("GOOGLETRANSLATE(D:D,""auto"",""en"")"),"New Year's Eve the Air Force 3 transport aircraft arrived in Wuhan")</f>
        <v>New Year's Eve the Air Force 3 transport aircraft arrived in Wuhan</v>
      </c>
      <c r="D1226" s="4" t="s">
        <v>1950</v>
      </c>
      <c r="E1226" s="4">
        <v>1.3842412E7</v>
      </c>
      <c r="F1226" s="4">
        <v>25.0</v>
      </c>
      <c r="G1226" s="4" t="s">
        <v>1951</v>
      </c>
    </row>
    <row r="1227">
      <c r="A1227" s="1">
        <v>1225.0</v>
      </c>
      <c r="B1227" s="4" t="s">
        <v>1913</v>
      </c>
      <c r="C1227" s="4" t="str">
        <f>IFERROR(__xludf.DUMMYFUNCTION("GOOGLETRANSLATE(D:D,""auto"",""en"")"),"Liaoning 8 new confirmed cases")</f>
        <v>Liaoning 8 new confirmed cases</v>
      </c>
      <c r="D1227" s="4" t="s">
        <v>1952</v>
      </c>
      <c r="E1227" s="4">
        <v>1.3543792E7</v>
      </c>
      <c r="F1227" s="4">
        <v>26.0</v>
      </c>
      <c r="G1227" s="4" t="s">
        <v>1953</v>
      </c>
    </row>
    <row r="1228">
      <c r="A1228" s="1">
        <v>1226.0</v>
      </c>
      <c r="B1228" s="4" t="s">
        <v>1913</v>
      </c>
      <c r="C1228" s="4" t="str">
        <f>IFERROR(__xludf.DUMMYFUNCTION("GOOGLETRANSLATE(D:D,""auto"",""en"")"),"Vulcan Hill Hospital will be completed by February 1")</f>
        <v>Vulcan Hill Hospital will be completed by February 1</v>
      </c>
      <c r="D1228" s="4" t="s">
        <v>1954</v>
      </c>
      <c r="E1228" s="4">
        <v>1.3104277E7</v>
      </c>
      <c r="F1228" s="4">
        <v>27.0</v>
      </c>
      <c r="G1228" s="4" t="s">
        <v>1955</v>
      </c>
    </row>
    <row r="1229">
      <c r="A1229" s="1">
        <v>1227.0</v>
      </c>
      <c r="B1229" s="4" t="s">
        <v>1913</v>
      </c>
      <c r="C1229" s="4" t="str">
        <f>IFERROR(__xludf.DUMMYFUNCTION("GOOGLETRANSLATE(D:D,""auto"",""en"")"),"Doctors Liangwu Dong died of pneumonia because of the new crown")</f>
        <v>Doctors Liangwu Dong died of pneumonia because of the new crown</v>
      </c>
      <c r="D1229" s="4" t="s">
        <v>1956</v>
      </c>
      <c r="E1229" s="4">
        <v>1.2744343E7</v>
      </c>
      <c r="F1229" s="4">
        <v>28.0</v>
      </c>
      <c r="G1229" s="4" t="s">
        <v>1957</v>
      </c>
    </row>
    <row r="1230">
      <c r="A1230" s="1">
        <v>1228.0</v>
      </c>
      <c r="B1230" s="4" t="s">
        <v>1913</v>
      </c>
      <c r="C1230" s="4" t="str">
        <f>IFERROR(__xludf.DUMMYFUNCTION("GOOGLETRANSLATE(D:D,""auto"",""en"")"),"150 People's Liberation Army medical staff charter flight Wuhan")</f>
        <v>150 People's Liberation Army medical staff charter flight Wuhan</v>
      </c>
      <c r="D1230" s="4" t="s">
        <v>1958</v>
      </c>
      <c r="E1230" s="4">
        <v>1.2127196E7</v>
      </c>
      <c r="F1230" s="4">
        <v>29.0</v>
      </c>
      <c r="G1230" s="4" t="s">
        <v>1959</v>
      </c>
    </row>
    <row r="1231">
      <c r="A1231" s="1">
        <v>1229.0</v>
      </c>
      <c r="B1231" s="4" t="s">
        <v>1913</v>
      </c>
      <c r="C1231" s="4" t="str">
        <f>IFERROR(__xludf.DUMMYFUNCTION("GOOGLETRANSLATE(D:D,""auto"",""en"")"),"Wuhan new birth to baby girl suspected pneumonia patients")</f>
        <v>Wuhan new birth to baby girl suspected pneumonia patients</v>
      </c>
      <c r="D1231" s="4" t="s">
        <v>1960</v>
      </c>
      <c r="E1231" s="4">
        <v>1.1876979E7</v>
      </c>
      <c r="F1231" s="4">
        <v>30.0</v>
      </c>
      <c r="G1231" s="4" t="s">
        <v>1961</v>
      </c>
    </row>
    <row r="1232">
      <c r="A1232" s="1">
        <v>1230.0</v>
      </c>
      <c r="B1232" s="4" t="s">
        <v>1913</v>
      </c>
      <c r="C1232" s="4" t="str">
        <f>IFERROR(__xludf.DUMMYFUNCTION("GOOGLETRANSLATE(D:D,""auto"",""en"")"),"Beijing Chinese medicine to cure symptomatic and 2 patients")</f>
        <v>Beijing Chinese medicine to cure symptomatic and 2 patients</v>
      </c>
      <c r="D1232" s="4" t="s">
        <v>1962</v>
      </c>
      <c r="E1232" s="4">
        <v>1.1752203E7</v>
      </c>
      <c r="F1232" s="4">
        <v>31.0</v>
      </c>
      <c r="G1232" s="4" t="s">
        <v>1963</v>
      </c>
    </row>
    <row r="1233">
      <c r="A1233" s="1">
        <v>1231.0</v>
      </c>
      <c r="B1233" s="4" t="s">
        <v>1913</v>
      </c>
      <c r="C1233" s="4" t="str">
        <f>IFERROR(__xludf.DUMMYFUNCTION("GOOGLETRANSLATE(D:D,""auto"",""en"")"),"Medical New Year's Eve")</f>
        <v>Medical New Year's Eve</v>
      </c>
      <c r="D1233" s="4" t="s">
        <v>1964</v>
      </c>
      <c r="E1233" s="4">
        <v>1.1604489E7</v>
      </c>
      <c r="F1233" s="4">
        <v>32.0</v>
      </c>
      <c r="G1233" s="4" t="s">
        <v>1965</v>
      </c>
    </row>
    <row r="1234">
      <c r="A1234" s="1">
        <v>1232.0</v>
      </c>
      <c r="B1234" s="4" t="s">
        <v>1913</v>
      </c>
      <c r="C1234" s="4" t="str">
        <f>IFERROR(__xludf.DUMMYFUNCTION("GOOGLETRANSLATE(D:D,""auto"",""en"")"),"Liaoning start a response")</f>
        <v>Liaoning start a response</v>
      </c>
      <c r="D1234" s="4" t="s">
        <v>1966</v>
      </c>
      <c r="E1234" s="4">
        <v>1.1355972E7</v>
      </c>
      <c r="F1234" s="4">
        <v>33.0</v>
      </c>
      <c r="G1234" s="4" t="s">
        <v>1967</v>
      </c>
    </row>
    <row r="1235">
      <c r="A1235" s="1">
        <v>1233.0</v>
      </c>
      <c r="B1235" s="4" t="s">
        <v>1913</v>
      </c>
      <c r="C1235" s="4" t="str">
        <f>IFERROR(__xludf.DUMMYFUNCTION("GOOGLETRANSLATE(D:D,""auto"",""en"")"),"Wuhan nurse 14 days lost 10 pounds")</f>
        <v>Wuhan nurse 14 days lost 10 pounds</v>
      </c>
      <c r="D1235" s="4" t="s">
        <v>1968</v>
      </c>
      <c r="E1235" s="4">
        <v>1.1093542E7</v>
      </c>
      <c r="F1235" s="4">
        <v>34.0</v>
      </c>
      <c r="G1235" s="4" t="s">
        <v>1969</v>
      </c>
    </row>
    <row r="1236">
      <c r="A1236" s="1">
        <v>1234.0</v>
      </c>
      <c r="B1236" s="4" t="s">
        <v>1913</v>
      </c>
      <c r="C1236" s="4" t="str">
        <f>IFERROR(__xludf.DUMMYFUNCTION("GOOGLETRANSLATE(D:D,""auto"",""en"")"),"Severely investigated masks substantial price behavior")</f>
        <v>Severely investigated masks substantial price behavior</v>
      </c>
      <c r="D1236" s="4" t="s">
        <v>1970</v>
      </c>
      <c r="E1236" s="4">
        <v>1.1042202E7</v>
      </c>
      <c r="F1236" s="4">
        <v>35.0</v>
      </c>
      <c r="G1236" s="4" t="s">
        <v>1971</v>
      </c>
    </row>
    <row r="1237">
      <c r="A1237" s="1">
        <v>1235.0</v>
      </c>
      <c r="B1237" s="4" t="s">
        <v>1913</v>
      </c>
      <c r="C1237" s="4" t="str">
        <f>IFERROR(__xludf.DUMMYFUNCTION("GOOGLETRANSLATE(D:D,""auto"",""en"")"),"Minimum new confirmed cases of pneumonia only 2 years old")</f>
        <v>Minimum new confirmed cases of pneumonia only 2 years old</v>
      </c>
      <c r="D1237" s="4" t="s">
        <v>1972</v>
      </c>
      <c r="E1237" s="4">
        <v>1.0778376E7</v>
      </c>
      <c r="F1237" s="4">
        <v>36.0</v>
      </c>
      <c r="G1237" s="4" t="s">
        <v>1973</v>
      </c>
    </row>
    <row r="1238">
      <c r="A1238" s="1">
        <v>1236.0</v>
      </c>
      <c r="B1238" s="4" t="s">
        <v>1913</v>
      </c>
      <c r="C1238" s="4" t="str">
        <f>IFERROR(__xludf.DUMMYFUNCTION("GOOGLETRANSLATE(D:D,""auto"",""en"")"),"Wuhan edition Xiaotangshan dinner workers")</f>
        <v>Wuhan edition Xiaotangshan dinner workers</v>
      </c>
      <c r="D1238" s="4" t="s">
        <v>1974</v>
      </c>
      <c r="E1238" s="4">
        <v>1.0770529E7</v>
      </c>
      <c r="F1238" s="4">
        <v>37.0</v>
      </c>
      <c r="G1238" s="4" t="s">
        <v>1975</v>
      </c>
    </row>
    <row r="1239">
      <c r="A1239" s="1">
        <v>1237.0</v>
      </c>
      <c r="B1239" s="4" t="s">
        <v>1913</v>
      </c>
      <c r="C1239" s="4" t="str">
        <f>IFERROR(__xludf.DUMMYFUNCTION("GOOGLETRANSLATE(D:D,""auto"",""en"")"),"How to persuade parents to wear masks")</f>
        <v>How to persuade parents to wear masks</v>
      </c>
      <c r="D1239" s="4" t="s">
        <v>1976</v>
      </c>
      <c r="E1239" s="4">
        <v>1.05589E7</v>
      </c>
      <c r="F1239" s="4">
        <v>38.0</v>
      </c>
      <c r="G1239" s="4" t="s">
        <v>1977</v>
      </c>
    </row>
    <row r="1240">
      <c r="A1240" s="1">
        <v>1238.0</v>
      </c>
      <c r="B1240" s="4" t="s">
        <v>1913</v>
      </c>
      <c r="C1240" s="4" t="str">
        <f>IFERROR(__xludf.DUMMYFUNCTION("GOOGLETRANSLATE(D:D,""auto"",""en"")"),"Henan 23 new confirmed cases")</f>
        <v>Henan 23 new confirmed cases</v>
      </c>
      <c r="D1240" s="4" t="s">
        <v>1978</v>
      </c>
      <c r="E1240" s="4">
        <v>1.027698E7</v>
      </c>
      <c r="F1240" s="4">
        <v>39.0</v>
      </c>
      <c r="G1240" s="4" t="s">
        <v>1979</v>
      </c>
    </row>
    <row r="1241">
      <c r="A1241" s="1">
        <v>1239.0</v>
      </c>
      <c r="B1241" s="4" t="s">
        <v>1913</v>
      </c>
      <c r="C1241" s="4" t="str">
        <f>IFERROR(__xludf.DUMMYFUNCTION("GOOGLETRANSLATE(D:D,""auto"",""en"")"),"Wuhan hospital expropriation 24 million beds")</f>
        <v>Wuhan hospital expropriation 24 million beds</v>
      </c>
      <c r="D1241" s="4" t="s">
        <v>1980</v>
      </c>
      <c r="E1241" s="4">
        <v>1.0085421E7</v>
      </c>
      <c r="F1241" s="4">
        <v>40.0</v>
      </c>
      <c r="G1241" s="4" t="s">
        <v>1981</v>
      </c>
    </row>
    <row r="1242">
      <c r="A1242" s="1">
        <v>1240.0</v>
      </c>
      <c r="B1242" s="4" t="s">
        <v>1913</v>
      </c>
      <c r="C1242" s="4" t="str">
        <f>IFERROR(__xludf.DUMMYFUNCTION("GOOGLETRANSLATE(D:D,""auto"",""en"")"),"Guangdong has found 13 cases of family clusters of disease")</f>
        <v>Guangdong has found 13 cases of family clusters of disease</v>
      </c>
      <c r="D1242" s="4" t="s">
        <v>1982</v>
      </c>
      <c r="E1242" s="4">
        <v>9822206.0</v>
      </c>
      <c r="F1242" s="4">
        <v>41.0</v>
      </c>
      <c r="G1242" s="4" t="s">
        <v>1983</v>
      </c>
    </row>
    <row r="1243">
      <c r="A1243" s="1">
        <v>1241.0</v>
      </c>
      <c r="B1243" s="4" t="s">
        <v>1913</v>
      </c>
      <c r="C1243" s="4" t="str">
        <f>IFERROR(__xludf.DUMMYFUNCTION("GOOGLETRANSLATE(D:D,""auto"",""en"")"),"How to deal with used masks")</f>
        <v>How to deal with used masks</v>
      </c>
      <c r="D1243" s="4" t="s">
        <v>1984</v>
      </c>
      <c r="E1243" s="4">
        <v>9790617.0</v>
      </c>
      <c r="F1243" s="4">
        <v>42.0</v>
      </c>
      <c r="G1243" s="4" t="s">
        <v>1985</v>
      </c>
    </row>
    <row r="1244">
      <c r="A1244" s="1">
        <v>1242.0</v>
      </c>
      <c r="B1244" s="4" t="s">
        <v>1913</v>
      </c>
      <c r="C1244" s="4" t="str">
        <f>IFERROR(__xludf.DUMMYFUNCTION("GOOGLETRANSLATE(D:D,""auto"",""en"")"),"Byte beats for health care workers to donate 200 million")</f>
        <v>Byte beats for health care workers to donate 200 million</v>
      </c>
      <c r="D1244" s="4" t="s">
        <v>1986</v>
      </c>
      <c r="E1244" s="4">
        <v>9557737.0</v>
      </c>
      <c r="F1244" s="4">
        <v>43.0</v>
      </c>
      <c r="G1244" s="4" t="s">
        <v>1987</v>
      </c>
    </row>
    <row r="1245">
      <c r="A1245" s="1">
        <v>1243.0</v>
      </c>
      <c r="B1245" s="4" t="s">
        <v>1913</v>
      </c>
      <c r="C1245" s="4" t="str">
        <f>IFERROR(__xludf.DUMMYFUNCTION("GOOGLETRANSLATE(D:D,""auto"",""en"")"),"New Year's Day")</f>
        <v>New Year's Day</v>
      </c>
      <c r="D1245" s="4" t="s">
        <v>1988</v>
      </c>
      <c r="E1245" s="4">
        <v>9313890.0</v>
      </c>
      <c r="F1245" s="4">
        <v>44.0</v>
      </c>
      <c r="G1245" s="4" t="s">
        <v>1989</v>
      </c>
    </row>
    <row r="1246">
      <c r="A1246" s="1">
        <v>1244.0</v>
      </c>
      <c r="B1246" s="4" t="s">
        <v>1913</v>
      </c>
      <c r="C1246" s="4" t="str">
        <f>IFERROR(__xludf.DUMMYFUNCTION("GOOGLETRANSLATE(D:D,""auto"",""en"")"),"90 male nurse on call off the wedding back post")</f>
        <v>90 male nurse on call off the wedding back post</v>
      </c>
      <c r="D1246" s="4" t="s">
        <v>1990</v>
      </c>
      <c r="E1246" s="4">
        <v>9207513.0</v>
      </c>
      <c r="F1246" s="4">
        <v>45.0</v>
      </c>
      <c r="G1246" s="4" t="s">
        <v>1991</v>
      </c>
    </row>
    <row r="1247">
      <c r="A1247" s="1">
        <v>1245.0</v>
      </c>
      <c r="B1247" s="4" t="s">
        <v>1913</v>
      </c>
      <c r="C1247" s="4" t="str">
        <f>IFERROR(__xludf.DUMMYFUNCTION("GOOGLETRANSLATE(D:D,""auto"",""en"")"),"Wei Jian appoint 1230 medical teams rush to the rescue Wuhan")</f>
        <v>Wei Jian appoint 1230 medical teams rush to the rescue Wuhan</v>
      </c>
      <c r="D1247" s="4" t="s">
        <v>1992</v>
      </c>
      <c r="E1247" s="4">
        <v>8888660.0</v>
      </c>
      <c r="F1247" s="4">
        <v>46.0</v>
      </c>
      <c r="G1247" s="4" t="s">
        <v>1993</v>
      </c>
    </row>
    <row r="1248">
      <c r="A1248" s="1">
        <v>1246.0</v>
      </c>
      <c r="B1248" s="4" t="s">
        <v>1913</v>
      </c>
      <c r="C1248" s="4" t="str">
        <f>IFERROR(__xludf.DUMMYFUNCTION("GOOGLETRANSLATE(D:D,""auto"",""en"")"),"22 K1068 train car No. 4")</f>
        <v>22 K1068 train car No. 4</v>
      </c>
      <c r="D1248" s="4" t="s">
        <v>1994</v>
      </c>
      <c r="E1248" s="4">
        <v>8817329.0</v>
      </c>
      <c r="F1248" s="4">
        <v>47.0</v>
      </c>
      <c r="G1248" s="4" t="s">
        <v>1995</v>
      </c>
    </row>
    <row r="1249">
      <c r="A1249" s="1">
        <v>1247.0</v>
      </c>
      <c r="B1249" s="4" t="s">
        <v>1913</v>
      </c>
      <c r="C1249" s="4" t="str">
        <f>IFERROR(__xludf.DUMMYFUNCTION("GOOGLETRANSLATE(D:D,""auto"",""en"")"),"Xu Zheng embarrassing mom started to respond on-line broadcast free")</f>
        <v>Xu Zheng embarrassing mom started to respond on-line broadcast free</v>
      </c>
      <c r="D1249" s="4" t="s">
        <v>1996</v>
      </c>
      <c r="E1249" s="4">
        <v>8703155.0</v>
      </c>
      <c r="F1249" s="4">
        <v>48.0</v>
      </c>
      <c r="G1249" s="4" t="s">
        <v>1997</v>
      </c>
    </row>
    <row r="1250">
      <c r="A1250" s="1">
        <v>1248.0</v>
      </c>
      <c r="B1250" s="4" t="s">
        <v>1913</v>
      </c>
      <c r="C1250" s="4" t="str">
        <f>IFERROR(__xludf.DUMMYFUNCTION("GOOGLETRANSLATE(D:D,""auto"",""en"")"),"Singapore flights arrived in Hangzhou, a quarantine of all passengers")</f>
        <v>Singapore flights arrived in Hangzhou, a quarantine of all passengers</v>
      </c>
      <c r="D1250" s="4" t="s">
        <v>1998</v>
      </c>
      <c r="E1250" s="4">
        <v>8642530.0</v>
      </c>
      <c r="F1250" s="4">
        <v>49.0</v>
      </c>
      <c r="G1250" s="4" t="s">
        <v>1999</v>
      </c>
    </row>
    <row r="1251">
      <c r="A1251" s="1">
        <v>1249.0</v>
      </c>
      <c r="B1251" s="4" t="s">
        <v>1913</v>
      </c>
      <c r="C1251" s="4" t="str">
        <f>IFERROR(__xludf.DUMMYFUNCTION("GOOGLETRANSLATE(D:D,""auto"",""en"")"),"Wuhan Xiaotangshan Hospital named Vulcan Hill Hospital")</f>
        <v>Wuhan Xiaotangshan Hospital named Vulcan Hill Hospital</v>
      </c>
      <c r="D1251" s="4" t="s">
        <v>2000</v>
      </c>
      <c r="E1251" s="4">
        <v>8639137.0</v>
      </c>
      <c r="F1251" s="4">
        <v>50.0</v>
      </c>
      <c r="G1251" s="4" t="s">
        <v>2001</v>
      </c>
    </row>
    <row r="1252">
      <c r="A1252" s="1">
        <v>1250.0</v>
      </c>
      <c r="B1252" s="4" t="s">
        <v>2002</v>
      </c>
      <c r="C1252" s="4" t="str">
        <f>IFERROR(__xludf.DUMMYFUNCTION("GOOGLETRANSLATE(D:D,""auto"",""en"")"),"The new National diagnosed with pneumonia in 1975 cases")</f>
        <v>The new National diagnosed with pneumonia in 1975 cases</v>
      </c>
      <c r="D1252" s="4" t="s">
        <v>2003</v>
      </c>
      <c r="E1252" s="4">
        <v>1.045139E7</v>
      </c>
      <c r="F1252" s="4">
        <v>1.0</v>
      </c>
      <c r="G1252" s="4" t="s">
        <v>2004</v>
      </c>
    </row>
    <row r="1253">
      <c r="A1253" s="1">
        <v>1251.0</v>
      </c>
      <c r="B1253" s="4" t="s">
        <v>2002</v>
      </c>
      <c r="C1253" s="4" t="str">
        <f>IFERROR(__xludf.DUMMYFUNCTION("GOOGLETRANSLATE(D:D,""auto"",""en"")"),"The latest outbreak Map")</f>
        <v>The latest outbreak Map</v>
      </c>
      <c r="D1253" s="4" t="s">
        <v>2005</v>
      </c>
      <c r="E1253" s="4">
        <v>1.0169851E7</v>
      </c>
      <c r="F1253" s="4">
        <v>2.0</v>
      </c>
      <c r="G1253" s="4" t="s">
        <v>2006</v>
      </c>
    </row>
    <row r="1254">
      <c r="A1254" s="1">
        <v>1252.0</v>
      </c>
      <c r="B1254" s="4" t="s">
        <v>2002</v>
      </c>
      <c r="C1254" s="4" t="str">
        <f>IFERROR(__xludf.DUMMYFUNCTION("GOOGLETRANSLATE(D:D,""auto"",""en"")"),"Han Xue Zhang Yun stepmother tea party")</f>
        <v>Han Xue Zhang Yun stepmother tea party</v>
      </c>
      <c r="D1254" s="4" t="s">
        <v>2007</v>
      </c>
      <c r="E1254" s="4">
        <v>9890300.0</v>
      </c>
      <c r="F1254" s="4">
        <v>3.0</v>
      </c>
      <c r="G1254" s="4" t="s">
        <v>2008</v>
      </c>
    </row>
    <row r="1255">
      <c r="A1255" s="1">
        <v>1253.0</v>
      </c>
      <c r="B1255" s="4" t="s">
        <v>2002</v>
      </c>
      <c r="C1255" s="4" t="str">
        <f>IFERROR(__xludf.DUMMYFUNCTION("GOOGLETRANSLATE(D:D,""auto"",""en"")"),"20 bus passengers Jilin JG4666")</f>
        <v>20 bus passengers Jilin JG4666</v>
      </c>
      <c r="D1255" s="4" t="s">
        <v>2009</v>
      </c>
      <c r="E1255" s="4">
        <v>9813690.0</v>
      </c>
      <c r="F1255" s="4">
        <v>4.0</v>
      </c>
      <c r="G1255" s="4" t="s">
        <v>2010</v>
      </c>
    </row>
    <row r="1256">
      <c r="A1256" s="1">
        <v>1254.0</v>
      </c>
      <c r="B1256" s="4" t="s">
        <v>2002</v>
      </c>
      <c r="C1256" s="4" t="str">
        <f>IFERROR(__xludf.DUMMYFUNCTION("GOOGLETRANSLATE(D:D,""auto"",""en"")"),"Tao Yong If you can not do surgery can do research")</f>
        <v>Tao Yong If you can not do surgery can do research</v>
      </c>
      <c r="D1256" s="4" t="s">
        <v>2011</v>
      </c>
      <c r="E1256" s="4">
        <v>9768290.0</v>
      </c>
      <c r="F1256" s="4">
        <v>5.0</v>
      </c>
      <c r="G1256" s="4" t="s">
        <v>2012</v>
      </c>
    </row>
    <row r="1257">
      <c r="A1257" s="1">
        <v>1255.0</v>
      </c>
      <c r="B1257" s="4" t="s">
        <v>2002</v>
      </c>
      <c r="C1257" s="4" t="str">
        <f>IFERROR(__xludf.DUMMYFUNCTION("GOOGLETRANSLATE(D:D,""auto"",""en"")"),"The doctor squatted house stuttering dinner")</f>
        <v>The doctor squatted house stuttering dinner</v>
      </c>
      <c r="D1257" s="4" t="s">
        <v>2013</v>
      </c>
      <c r="E1257" s="4">
        <v>9531497.0</v>
      </c>
      <c r="F1257" s="4">
        <v>6.0</v>
      </c>
      <c r="G1257" s="4" t="s">
        <v>2014</v>
      </c>
    </row>
    <row r="1258">
      <c r="A1258" s="1">
        <v>1256.0</v>
      </c>
      <c r="B1258" s="4" t="s">
        <v>2002</v>
      </c>
      <c r="C1258" s="4" t="str">
        <f>IFERROR(__xludf.DUMMYFUNCTION("GOOGLETRANSLATE(D:D,""auto"",""en"")"),"A director of Hunan health bureau was suspended")</f>
        <v>A director of Hunan health bureau was suspended</v>
      </c>
      <c r="D1258" s="4" t="s">
        <v>2015</v>
      </c>
      <c r="E1258" s="4">
        <v>9388689.0</v>
      </c>
      <c r="F1258" s="4">
        <v>7.0</v>
      </c>
      <c r="G1258" s="4" t="s">
        <v>2016</v>
      </c>
    </row>
    <row r="1259">
      <c r="A1259" s="1">
        <v>1257.0</v>
      </c>
      <c r="B1259" s="4" t="s">
        <v>2002</v>
      </c>
      <c r="C1259" s="4" t="str">
        <f>IFERROR(__xludf.DUMMYFUNCTION("GOOGLETRANSLATE(D:D,""auto"",""en"")"),"AIDS drugs to try new pneumonia")</f>
        <v>AIDS drugs to try new pneumonia</v>
      </c>
      <c r="D1259" s="4" t="s">
        <v>2017</v>
      </c>
      <c r="E1259" s="4">
        <v>9260136.0</v>
      </c>
      <c r="F1259" s="4">
        <v>8.0</v>
      </c>
      <c r="G1259" s="4" t="s">
        <v>2018</v>
      </c>
    </row>
    <row r="1260">
      <c r="A1260" s="1">
        <v>1258.0</v>
      </c>
      <c r="B1260" s="4" t="s">
        <v>2002</v>
      </c>
      <c r="C1260" s="4" t="str">
        <f>IFERROR(__xludf.DUMMYFUNCTION("GOOGLETRANSLATE(D:D,""auto"",""en"")"),"Zhang Yishan Yang Zi sing on the same stage")</f>
        <v>Zhang Yishan Yang Zi sing on the same stage</v>
      </c>
      <c r="D1260" s="4" t="s">
        <v>2019</v>
      </c>
      <c r="E1260" s="4">
        <v>9246070.0</v>
      </c>
      <c r="F1260" s="4">
        <v>9.0</v>
      </c>
      <c r="G1260" s="4" t="s">
        <v>2020</v>
      </c>
    </row>
    <row r="1261">
      <c r="A1261" s="1">
        <v>1259.0</v>
      </c>
      <c r="B1261" s="4" t="s">
        <v>2002</v>
      </c>
      <c r="C1261" s="4" t="str">
        <f>IFERROR(__xludf.DUMMYFUNCTION("GOOGLETRANSLATE(D:D,""auto"",""en"")"),"Appropriate to extend the Lunar New Year holidays")</f>
        <v>Appropriate to extend the Lunar New Year holidays</v>
      </c>
      <c r="D1261" s="4" t="s">
        <v>2021</v>
      </c>
      <c r="E1261" s="4">
        <v>9187019.0</v>
      </c>
      <c r="F1261" s="4">
        <v>10.0</v>
      </c>
      <c r="G1261" s="4" t="s">
        <v>2022</v>
      </c>
    </row>
    <row r="1262">
      <c r="A1262" s="1">
        <v>1260.0</v>
      </c>
      <c r="B1262" s="4" t="s">
        <v>2002</v>
      </c>
      <c r="C1262" s="4" t="str">
        <f>IFERROR(__xludf.DUMMYFUNCTION("GOOGLETRANSLATE(D:D,""auto"",""en"")"),"Shanxi three new confirmed cases")</f>
        <v>Shanxi three new confirmed cases</v>
      </c>
      <c r="D1262" s="4" t="s">
        <v>2023</v>
      </c>
      <c r="E1262" s="4">
        <v>9166604.0</v>
      </c>
      <c r="F1262" s="4">
        <v>11.0</v>
      </c>
      <c r="G1262" s="4" t="s">
        <v>2024</v>
      </c>
    </row>
    <row r="1263">
      <c r="A1263" s="1">
        <v>1261.0</v>
      </c>
      <c r="B1263" s="4" t="s">
        <v>2002</v>
      </c>
      <c r="C1263" s="4" t="str">
        <f>IFERROR(__xludf.DUMMYFUNCTION("GOOGLETRANSLATE(D:D,""auto"",""en"")"),"Cancel more 2 February 2020 marriage registration")</f>
        <v>Cancel more 2 February 2020 marriage registration</v>
      </c>
      <c r="D1263" s="4" t="s">
        <v>2025</v>
      </c>
      <c r="E1263" s="4">
        <v>9027388.0</v>
      </c>
      <c r="F1263" s="4">
        <v>12.0</v>
      </c>
      <c r="G1263" s="4" t="s">
        <v>2026</v>
      </c>
    </row>
    <row r="1264">
      <c r="A1264" s="1">
        <v>1262.0</v>
      </c>
      <c r="B1264" s="4" t="s">
        <v>2002</v>
      </c>
      <c r="C1264" s="4" t="str">
        <f>IFERROR(__xludf.DUMMYFUNCTION("GOOGLETRANSLATE(D:D,""auto"",""en"")"),"Wuhan the next three days or will open 5000 beds")</f>
        <v>Wuhan the next three days or will open 5000 beds</v>
      </c>
      <c r="D1264" s="4" t="s">
        <v>2027</v>
      </c>
      <c r="E1264" s="4">
        <v>8954030.0</v>
      </c>
      <c r="F1264" s="4">
        <v>13.0</v>
      </c>
      <c r="G1264" s="4" t="s">
        <v>2028</v>
      </c>
    </row>
    <row r="1265">
      <c r="A1265" s="1">
        <v>1263.0</v>
      </c>
      <c r="B1265" s="4" t="s">
        <v>2002</v>
      </c>
      <c r="C1265" s="4" t="str">
        <f>IFERROR(__xludf.DUMMYFUNCTION("GOOGLETRANSLATE(D:D,""auto"",""en"")"),"The most hard-core of prevention and control of village")</f>
        <v>The most hard-core of prevention and control of village</v>
      </c>
      <c r="D1265" s="4" t="s">
        <v>2029</v>
      </c>
      <c r="E1265" s="4">
        <v>8914036.0</v>
      </c>
      <c r="F1265" s="4">
        <v>14.0</v>
      </c>
      <c r="G1265" s="4" t="s">
        <v>2030</v>
      </c>
    </row>
    <row r="1266">
      <c r="A1266" s="1">
        <v>1264.0</v>
      </c>
      <c r="B1266" s="4" t="s">
        <v>2002</v>
      </c>
      <c r="C1266" s="4" t="str">
        <f>IFERROR(__xludf.DUMMYFUNCTION("GOOGLETRANSLATE(D:D,""auto"",""en"")"),"Beijing inter-provincial road passenger transport outage")</f>
        <v>Beijing inter-provincial road passenger transport outage</v>
      </c>
      <c r="D1266" s="4" t="s">
        <v>2031</v>
      </c>
      <c r="E1266" s="4">
        <v>8913157.0</v>
      </c>
      <c r="F1266" s="4">
        <v>15.0</v>
      </c>
      <c r="G1266" s="4" t="s">
        <v>2032</v>
      </c>
    </row>
    <row r="1267">
      <c r="A1267" s="1">
        <v>1265.0</v>
      </c>
      <c r="B1267" s="4" t="s">
        <v>2002</v>
      </c>
      <c r="C1267" s="4" t="str">
        <f>IFERROR(__xludf.DUMMYFUNCTION("GOOGLETRANSLATE(D:D,""auto"",""en"")"),"48 hours rebuilt version of Huanggang Xiaotangshan Hospital")</f>
        <v>48 hours rebuilt version of Huanggang Xiaotangshan Hospital</v>
      </c>
      <c r="D1267" s="4" t="s">
        <v>2033</v>
      </c>
      <c r="E1267" s="4">
        <v>8904275.0</v>
      </c>
      <c r="F1267" s="4">
        <v>16.0</v>
      </c>
      <c r="G1267" s="4" t="s">
        <v>2034</v>
      </c>
    </row>
    <row r="1268">
      <c r="A1268" s="1">
        <v>1266.0</v>
      </c>
      <c r="B1268" s="4" t="s">
        <v>2002</v>
      </c>
      <c r="C1268" s="4" t="str">
        <f>IFERROR(__xludf.DUMMYFUNCTION("GOOGLETRANSLATE(D:D,""auto"",""en"")"),"Byte beats for health care workers to donate 200 million")</f>
        <v>Byte beats for health care workers to donate 200 million</v>
      </c>
      <c r="D1268" s="4" t="s">
        <v>1986</v>
      </c>
      <c r="E1268" s="4">
        <v>8821761.0</v>
      </c>
      <c r="F1268" s="4">
        <v>17.0</v>
      </c>
      <c r="G1268" s="4" t="s">
        <v>1987</v>
      </c>
    </row>
    <row r="1269">
      <c r="A1269" s="1">
        <v>1267.0</v>
      </c>
      <c r="B1269" s="4" t="s">
        <v>2002</v>
      </c>
      <c r="C1269" s="4" t="str">
        <f>IFERROR(__xludf.DUMMYFUNCTION("GOOGLETRANSLATE(D:D,""auto"",""en"")"),"Police closed the street shouted urge mahjong")</f>
        <v>Police closed the street shouted urge mahjong</v>
      </c>
      <c r="D1269" s="4" t="s">
        <v>2035</v>
      </c>
      <c r="E1269" s="4">
        <v>8747091.0</v>
      </c>
      <c r="F1269" s="4">
        <v>18.0</v>
      </c>
      <c r="G1269" s="4" t="s">
        <v>2036</v>
      </c>
    </row>
    <row r="1270">
      <c r="A1270" s="1">
        <v>1268.0</v>
      </c>
      <c r="B1270" s="4" t="s">
        <v>2002</v>
      </c>
      <c r="C1270" s="4" t="str">
        <f>IFERROR(__xludf.DUMMYFUNCTION("GOOGLETRANSLATE(D:D,""auto"",""en"")"),"Infectious disease experts say the epidemic is urgent")</f>
        <v>Infectious disease experts say the epidemic is urgent</v>
      </c>
      <c r="D1270" s="4" t="s">
        <v>2037</v>
      </c>
      <c r="E1270" s="4">
        <v>8719042.0</v>
      </c>
      <c r="F1270" s="4">
        <v>19.0</v>
      </c>
      <c r="G1270" s="4" t="s">
        <v>2038</v>
      </c>
    </row>
    <row r="1271">
      <c r="A1271" s="1">
        <v>1269.0</v>
      </c>
      <c r="B1271" s="4" t="s">
        <v>2002</v>
      </c>
      <c r="C1271" s="4" t="str">
        <f>IFERROR(__xludf.DUMMYFUNCTION("GOOGLETRANSLATE(D:D,""auto"",""en"")"),"China CDC began the development of vaccines")</f>
        <v>China CDC began the development of vaccines</v>
      </c>
      <c r="D1271" s="4" t="s">
        <v>2039</v>
      </c>
      <c r="E1271" s="4">
        <v>8708605.0</v>
      </c>
      <c r="F1271" s="4">
        <v>20.0</v>
      </c>
      <c r="G1271" s="4" t="s">
        <v>2040</v>
      </c>
    </row>
    <row r="1272">
      <c r="A1272" s="1">
        <v>1270.0</v>
      </c>
      <c r="B1272" s="4" t="s">
        <v>2002</v>
      </c>
      <c r="C1272" s="4" t="str">
        <f>IFERROR(__xludf.DUMMYFUNCTION("GOOGLETRANSLATE(D:D,""auto"",""en"")"),"One person will not be tonight dialogue Zhong Nanshan")</f>
        <v>One person will not be tonight dialogue Zhong Nanshan</v>
      </c>
      <c r="D1272" s="4" t="s">
        <v>2041</v>
      </c>
      <c r="E1272" s="4">
        <v>8703206.0</v>
      </c>
      <c r="F1272" s="4">
        <v>21.0</v>
      </c>
      <c r="G1272" s="4" t="s">
        <v>2042</v>
      </c>
    </row>
    <row r="1273">
      <c r="A1273" s="1">
        <v>1271.0</v>
      </c>
      <c r="B1273" s="4" t="s">
        <v>2002</v>
      </c>
      <c r="C1273" s="4" t="str">
        <f>IFERROR(__xludf.DUMMYFUNCTION("GOOGLETRANSLATE(D:D,""auto"",""en"")"),"Shanghai first case of deaths")</f>
        <v>Shanghai first case of deaths</v>
      </c>
      <c r="D1273" s="4" t="s">
        <v>2043</v>
      </c>
      <c r="E1273" s="4">
        <v>8680319.0</v>
      </c>
      <c r="F1273" s="4">
        <v>22.0</v>
      </c>
      <c r="G1273" s="4" t="s">
        <v>2044</v>
      </c>
    </row>
    <row r="1274">
      <c r="A1274" s="1">
        <v>1272.0</v>
      </c>
      <c r="B1274" s="4" t="s">
        <v>2002</v>
      </c>
      <c r="C1274" s="4" t="str">
        <f>IFERROR(__xludf.DUMMYFUNCTION("GOOGLETRANSLATE(D:D,""auto"",""en"")"),"Beijing three doctors of new infection pneumonia")</f>
        <v>Beijing three doctors of new infection pneumonia</v>
      </c>
      <c r="D1274" s="4" t="s">
        <v>2045</v>
      </c>
      <c r="E1274" s="4">
        <v>8524816.0</v>
      </c>
      <c r="F1274" s="4">
        <v>23.0</v>
      </c>
      <c r="G1274" s="4" t="s">
        <v>2046</v>
      </c>
    </row>
    <row r="1275">
      <c r="A1275" s="1">
        <v>1273.0</v>
      </c>
      <c r="B1275" s="4" t="s">
        <v>2002</v>
      </c>
      <c r="C1275" s="4" t="str">
        <f>IFERROR(__xludf.DUMMYFUNCTION("GOOGLETRANSLATE(D:D,""auto"",""en"")"),"Wuhan before the fifteenth day of the outbreak may be the turning point")</f>
        <v>Wuhan before the fifteenth day of the outbreak may be the turning point</v>
      </c>
      <c r="D1275" s="4" t="s">
        <v>2047</v>
      </c>
      <c r="E1275" s="4">
        <v>8487018.0</v>
      </c>
      <c r="F1275" s="4">
        <v>24.0</v>
      </c>
      <c r="G1275" s="4" t="s">
        <v>2048</v>
      </c>
    </row>
    <row r="1276">
      <c r="A1276" s="1">
        <v>1274.0</v>
      </c>
      <c r="B1276" s="4" t="s">
        <v>2002</v>
      </c>
      <c r="C1276" s="4" t="str">
        <f>IFERROR(__xludf.DUMMYFUNCTION("GOOGLETRANSLATE(D:D,""auto"",""en"")"),"National travel agency to suspend swim team")</f>
        <v>National travel agency to suspend swim team</v>
      </c>
      <c r="D1276" s="4" t="s">
        <v>2049</v>
      </c>
      <c r="E1276" s="4">
        <v>8485403.0</v>
      </c>
      <c r="F1276" s="4">
        <v>25.0</v>
      </c>
      <c r="G1276" s="4" t="s">
        <v>2050</v>
      </c>
    </row>
    <row r="1277">
      <c r="A1277" s="1">
        <v>1275.0</v>
      </c>
      <c r="B1277" s="4" t="s">
        <v>2002</v>
      </c>
      <c r="C1277" s="4" t="str">
        <f>IFERROR(__xludf.DUMMYFUNCTION("GOOGLETRANSLATE(D:D,""auto"",""en"")"),"Xiaozhan 沧海一声笑")</f>
        <v>Xiaozhan 沧海一声笑</v>
      </c>
      <c r="D1277" s="4" t="s">
        <v>2051</v>
      </c>
      <c r="E1277" s="4">
        <v>8478711.0</v>
      </c>
      <c r="F1277" s="4">
        <v>26.0</v>
      </c>
      <c r="G1277" s="4" t="s">
        <v>2052</v>
      </c>
    </row>
    <row r="1278">
      <c r="A1278" s="1">
        <v>1276.0</v>
      </c>
      <c r="B1278" s="4" t="s">
        <v>2002</v>
      </c>
      <c r="C1278" s="4" t="str">
        <f>IFERROR(__xludf.DUMMYFUNCTION("GOOGLETRANSLATE(D:D,""auto"",""en"")"),"Wuhan parties rush to the rescue")</f>
        <v>Wuhan parties rush to the rescue</v>
      </c>
      <c r="D1278" s="4" t="s">
        <v>2053</v>
      </c>
      <c r="E1278" s="4">
        <v>8472786.0</v>
      </c>
      <c r="F1278" s="4">
        <v>27.0</v>
      </c>
      <c r="G1278" s="4" t="s">
        <v>2054</v>
      </c>
    </row>
    <row r="1279">
      <c r="A1279" s="1">
        <v>1277.0</v>
      </c>
      <c r="B1279" s="4" t="s">
        <v>2002</v>
      </c>
      <c r="C1279" s="4" t="str">
        <f>IFERROR(__xludf.DUMMYFUNCTION("GOOGLETRANSLATE(D:D,""auto"",""en"")"),"The new crown way to spread the virus not only by droplets")</f>
        <v>The new crown way to spread the virus not only by droplets</v>
      </c>
      <c r="D1279" s="4" t="s">
        <v>2055</v>
      </c>
      <c r="E1279" s="4">
        <v>8418928.0</v>
      </c>
      <c r="F1279" s="4">
        <v>28.0</v>
      </c>
      <c r="G1279" s="4" t="s">
        <v>2056</v>
      </c>
    </row>
    <row r="1280">
      <c r="A1280" s="1">
        <v>1278.0</v>
      </c>
      <c r="B1280" s="4" t="s">
        <v>2002</v>
      </c>
      <c r="C1280" s="4" t="str">
        <f>IFERROR(__xludf.DUMMYFUNCTION("GOOGLETRANSLATE(D:D,""auto"",""en"")"),"Happy New Year new ways")</f>
        <v>Happy New Year new ways</v>
      </c>
      <c r="D1280" s="4" t="s">
        <v>1930</v>
      </c>
      <c r="E1280" s="4">
        <v>8396513.0</v>
      </c>
      <c r="F1280" s="4">
        <v>29.0</v>
      </c>
      <c r="G1280" s="4" t="s">
        <v>1931</v>
      </c>
    </row>
    <row r="1281">
      <c r="A1281" s="1">
        <v>1279.0</v>
      </c>
      <c r="B1281" s="4" t="s">
        <v>2002</v>
      </c>
      <c r="C1281" s="4" t="str">
        <f>IFERROR(__xludf.DUMMYFUNCTION("GOOGLETRANSLATE(D:D,""auto"",""en"")"),"12 new confirmed cases in Shandong")</f>
        <v>12 new confirmed cases in Shandong</v>
      </c>
      <c r="D1281" s="4" t="s">
        <v>2057</v>
      </c>
      <c r="E1281" s="4">
        <v>8307623.0</v>
      </c>
      <c r="F1281" s="4">
        <v>30.0</v>
      </c>
      <c r="G1281" s="4" t="s">
        <v>2058</v>
      </c>
    </row>
    <row r="1282">
      <c r="A1282" s="1">
        <v>1280.0</v>
      </c>
      <c r="B1282" s="4" t="s">
        <v>2002</v>
      </c>
      <c r="C1282" s="4" t="str">
        <f>IFERROR(__xludf.DUMMYFUNCTION("GOOGLETRANSLATE(D:D,""auto"",""en"")"),"Medical trunk of adult diapers")</f>
        <v>Medical trunk of adult diapers</v>
      </c>
      <c r="D1282" s="4" t="s">
        <v>2059</v>
      </c>
      <c r="E1282" s="4">
        <v>8302263.0</v>
      </c>
      <c r="F1282" s="4">
        <v>31.0</v>
      </c>
      <c r="G1282" s="4" t="s">
        <v>2060</v>
      </c>
    </row>
    <row r="1283">
      <c r="A1283" s="1">
        <v>1281.0</v>
      </c>
      <c r="B1283" s="4" t="s">
        <v>2002</v>
      </c>
      <c r="C1283" s="4" t="str">
        <f>IFERROR(__xludf.DUMMYFUNCTION("GOOGLETRANSLATE(D:D,""auto"",""en"")"),"Hubei 1052 cases of new confirmed cases of pneumonia")</f>
        <v>Hubei 1052 cases of new confirmed cases of pneumonia</v>
      </c>
      <c r="D1283" s="4" t="s">
        <v>2061</v>
      </c>
      <c r="E1283" s="4">
        <v>8297387.0</v>
      </c>
      <c r="F1283" s="4">
        <v>32.0</v>
      </c>
      <c r="G1283" s="4" t="s">
        <v>2062</v>
      </c>
    </row>
    <row r="1284">
      <c r="A1284" s="1">
        <v>1282.0</v>
      </c>
      <c r="B1284" s="4" t="s">
        <v>2002</v>
      </c>
      <c r="C1284" s="4" t="str">
        <f>IFERROR(__xludf.DUMMYFUNCTION("GOOGLETRANSLATE(D:D,""auto"",""en"")"),"Family reunion celebration circle")</f>
        <v>Family reunion celebration circle</v>
      </c>
      <c r="D1284" s="4" t="s">
        <v>1634</v>
      </c>
      <c r="E1284" s="4">
        <v>8212591.0</v>
      </c>
      <c r="F1284" s="4">
        <v>33.0</v>
      </c>
      <c r="G1284" s="4" t="s">
        <v>1635</v>
      </c>
    </row>
    <row r="1285">
      <c r="A1285" s="1">
        <v>1283.0</v>
      </c>
      <c r="B1285" s="4" t="s">
        <v>2002</v>
      </c>
      <c r="C1285" s="4" t="str">
        <f>IFERROR(__xludf.DUMMYFUNCTION("GOOGLETRANSLATE(D:D,""auto"",""en"")"),"Heilongjiang started a response")</f>
        <v>Heilongjiang started a response</v>
      </c>
      <c r="D1285" s="4" t="s">
        <v>2063</v>
      </c>
      <c r="E1285" s="4">
        <v>8117559.0</v>
      </c>
      <c r="F1285" s="4">
        <v>34.0</v>
      </c>
      <c r="G1285" s="4" t="s">
        <v>2064</v>
      </c>
    </row>
    <row r="1286">
      <c r="A1286" s="1">
        <v>1284.0</v>
      </c>
      <c r="B1286" s="4" t="s">
        <v>2002</v>
      </c>
      <c r="C1286" s="4" t="str">
        <f>IFERROR(__xludf.DUMMYFUNCTION("GOOGLETRANSLATE(D:D,""auto"",""en"")"),"Shandong pause provincial bus passenger")</f>
        <v>Shandong pause provincial bus passenger</v>
      </c>
      <c r="D1286" s="4" t="s">
        <v>2065</v>
      </c>
      <c r="E1286" s="4">
        <v>8096176.0</v>
      </c>
      <c r="F1286" s="4">
        <v>35.0</v>
      </c>
      <c r="G1286" s="4" t="s">
        <v>2066</v>
      </c>
    </row>
    <row r="1287">
      <c r="A1287" s="1">
        <v>1285.0</v>
      </c>
      <c r="B1287" s="4" t="s">
        <v>2002</v>
      </c>
      <c r="C1287" s="4" t="str">
        <f>IFERROR(__xludf.DUMMYFUNCTION("GOOGLETRANSLATE(D:D,""auto"",""en"")"),"Wuhan Jinyintan president said it was wartime")</f>
        <v>Wuhan Jinyintan president said it was wartime</v>
      </c>
      <c r="D1287" s="4" t="s">
        <v>2067</v>
      </c>
      <c r="E1287" s="4">
        <v>8083910.0</v>
      </c>
      <c r="F1287" s="4">
        <v>36.0</v>
      </c>
      <c r="G1287" s="4" t="s">
        <v>2068</v>
      </c>
    </row>
    <row r="1288">
      <c r="A1288" s="1">
        <v>1286.0</v>
      </c>
      <c r="B1288" s="4" t="s">
        <v>2002</v>
      </c>
      <c r="C1288" s="4" t="str">
        <f>IFERROR(__xludf.DUMMYFUNCTION("GOOGLETRANSLATE(D:D,""auto"",""en"")"),"30 possible role in the treatment of pneumonia on new drugs")</f>
        <v>30 possible role in the treatment of pneumonia on new drugs</v>
      </c>
      <c r="D1288" s="4" t="s">
        <v>2069</v>
      </c>
      <c r="E1288" s="4">
        <v>8072139.0</v>
      </c>
      <c r="F1288" s="4">
        <v>37.0</v>
      </c>
      <c r="G1288" s="4" t="s">
        <v>2070</v>
      </c>
    </row>
    <row r="1289">
      <c r="A1289" s="1">
        <v>1287.0</v>
      </c>
      <c r="B1289" s="4" t="s">
        <v>2002</v>
      </c>
      <c r="C1289" s="4" t="str">
        <f>IFERROR(__xludf.DUMMYFUNCTION("GOOGLETRANSLATE(D:D,""auto"",""en"")"),"Guangdong Shantou vehicular entry into the vessel")</f>
        <v>Guangdong Shantou vehicular entry into the vessel</v>
      </c>
      <c r="D1289" s="4" t="s">
        <v>2071</v>
      </c>
      <c r="E1289" s="4">
        <v>8031005.0</v>
      </c>
      <c r="F1289" s="4">
        <v>38.0</v>
      </c>
      <c r="G1289" s="4" t="s">
        <v>2072</v>
      </c>
    </row>
    <row r="1290">
      <c r="A1290" s="1">
        <v>1288.0</v>
      </c>
      <c r="B1290" s="4" t="s">
        <v>2002</v>
      </c>
      <c r="C1290" s="4" t="str">
        <f>IFERROR(__xludf.DUMMYFUNCTION("GOOGLETRANSLATE(D:D,""auto"",""en"")"),"Beijing schools and nursery school extension")</f>
        <v>Beijing schools and nursery school extension</v>
      </c>
      <c r="D1290" s="4" t="s">
        <v>2073</v>
      </c>
      <c r="E1290" s="4">
        <v>7975824.0</v>
      </c>
      <c r="F1290" s="4">
        <v>39.0</v>
      </c>
      <c r="G1290" s="4" t="s">
        <v>2074</v>
      </c>
    </row>
    <row r="1291">
      <c r="A1291" s="1">
        <v>1289.0</v>
      </c>
      <c r="B1291" s="4" t="s">
        <v>2002</v>
      </c>
      <c r="C1291" s="4" t="str">
        <f>IFERROR(__xludf.DUMMYFUNCTION("GOOGLETRANSLATE(D:D,""auto"",""en"")"),"What is a public health emergency response")</f>
        <v>What is a public health emergency response</v>
      </c>
      <c r="D1291" s="4" t="s">
        <v>1914</v>
      </c>
      <c r="E1291" s="4">
        <v>7920028.0</v>
      </c>
      <c r="F1291" s="4">
        <v>40.0</v>
      </c>
      <c r="G1291" s="4" t="s">
        <v>1915</v>
      </c>
    </row>
    <row r="1292">
      <c r="A1292" s="1">
        <v>1290.0</v>
      </c>
      <c r="B1292" s="4" t="s">
        <v>2002</v>
      </c>
      <c r="C1292" s="4" t="str">
        <f>IFERROR(__xludf.DUMMYFUNCTION("GOOGLETRANSLATE(D:D,""auto"",""en"")"),"Wuhan's first refused to return home quarantine person")</f>
        <v>Wuhan's first refused to return home quarantine person</v>
      </c>
      <c r="D1292" s="4" t="s">
        <v>2075</v>
      </c>
      <c r="E1292" s="4">
        <v>7887753.0</v>
      </c>
      <c r="F1292" s="4">
        <v>41.0</v>
      </c>
      <c r="G1292" s="4" t="s">
        <v>2076</v>
      </c>
    </row>
    <row r="1293">
      <c r="A1293" s="1">
        <v>1291.0</v>
      </c>
      <c r="B1293" s="4" t="s">
        <v>2002</v>
      </c>
      <c r="C1293" s="4" t="str">
        <f>IFERROR(__xludf.DUMMYFUNCTION("GOOGLETRANSLATE(D:D,""auto"",""en"")"),"Zhang Jie Yue Yunpeng cross-border cooperation")</f>
        <v>Zhang Jie Yue Yunpeng cross-border cooperation</v>
      </c>
      <c r="D1293" s="4" t="s">
        <v>2077</v>
      </c>
      <c r="E1293" s="4">
        <v>7790780.0</v>
      </c>
      <c r="F1293" s="4">
        <v>42.0</v>
      </c>
      <c r="G1293" s="4" t="s">
        <v>2078</v>
      </c>
    </row>
    <row r="1294">
      <c r="A1294" s="1">
        <v>1292.0</v>
      </c>
      <c r="B1294" s="4" t="s">
        <v>2002</v>
      </c>
      <c r="C1294" s="4" t="str">
        <f>IFERROR(__xludf.DUMMYFUNCTION("GOOGLETRANSLATE(D:D,""auto"",""en"")"),"Have advised parents not stopping")</f>
        <v>Have advised parents not stopping</v>
      </c>
      <c r="D1294" s="4" t="s">
        <v>2079</v>
      </c>
      <c r="E1294" s="4">
        <v>7730929.0</v>
      </c>
      <c r="F1294" s="4">
        <v>43.0</v>
      </c>
      <c r="G1294" s="4" t="s">
        <v>2080</v>
      </c>
    </row>
    <row r="1295">
      <c r="A1295" s="1">
        <v>1293.0</v>
      </c>
      <c r="B1295" s="4" t="s">
        <v>2002</v>
      </c>
      <c r="C1295" s="4" t="str">
        <f>IFERROR(__xludf.DUMMYFUNCTION("GOOGLETRANSLATE(D:D,""auto"",""en"")"),"Zhong Nanshan said that the existing drugs used in clinical treatment")</f>
        <v>Zhong Nanshan said that the existing drugs used in clinical treatment</v>
      </c>
      <c r="D1295" s="4" t="s">
        <v>1916</v>
      </c>
      <c r="E1295" s="4">
        <v>7715602.0</v>
      </c>
      <c r="F1295" s="4">
        <v>44.0</v>
      </c>
      <c r="G1295" s="4" t="s">
        <v>1917</v>
      </c>
    </row>
    <row r="1296">
      <c r="A1296" s="1">
        <v>1294.0</v>
      </c>
      <c r="B1296" s="4" t="s">
        <v>2002</v>
      </c>
      <c r="C1296" s="4" t="str">
        <f>IFERROR(__xludf.DUMMYFUNCTION("GOOGLETRANSLATE(D:D,""auto"",""en"")"),"James Bryant career total score over")</f>
        <v>James Bryant career total score over</v>
      </c>
      <c r="D1296" s="4" t="s">
        <v>2081</v>
      </c>
      <c r="E1296" s="4">
        <v>7713858.0</v>
      </c>
      <c r="F1296" s="4">
        <v>45.0</v>
      </c>
      <c r="G1296" s="4" t="s">
        <v>2082</v>
      </c>
    </row>
    <row r="1297">
      <c r="A1297" s="1">
        <v>1295.0</v>
      </c>
      <c r="B1297" s="4" t="s">
        <v>2002</v>
      </c>
      <c r="C1297" s="4" t="str">
        <f>IFERROR(__xludf.DUMMYFUNCTION("GOOGLETRANSLATE(D:D,""auto"",""en"")"),"There is a large number of new seafood market in South crown virus")</f>
        <v>There is a large number of new seafood market in South crown virus</v>
      </c>
      <c r="D1297" s="4" t="s">
        <v>2083</v>
      </c>
      <c r="E1297" s="4">
        <v>7699080.0</v>
      </c>
      <c r="F1297" s="4">
        <v>46.0</v>
      </c>
      <c r="G1297" s="4" t="s">
        <v>2084</v>
      </c>
    </row>
    <row r="1298">
      <c r="A1298" s="1">
        <v>1296.0</v>
      </c>
      <c r="B1298" s="4" t="s">
        <v>2002</v>
      </c>
      <c r="C1298" s="4" t="str">
        <f>IFERROR(__xludf.DUMMYFUNCTION("GOOGLETRANSLATE(D:D,""auto"",""en"")"),"Fan Chengcheng Ouyang Nana Chorus")</f>
        <v>Fan Chengcheng Ouyang Nana Chorus</v>
      </c>
      <c r="D1298" s="4" t="s">
        <v>2085</v>
      </c>
      <c r="E1298" s="4">
        <v>7679342.0</v>
      </c>
      <c r="F1298" s="4">
        <v>47.0</v>
      </c>
      <c r="G1298" s="4" t="s">
        <v>2086</v>
      </c>
    </row>
    <row r="1299">
      <c r="A1299" s="1">
        <v>1297.0</v>
      </c>
      <c r="B1299" s="4" t="s">
        <v>2002</v>
      </c>
      <c r="C1299" s="4" t="str">
        <f>IFERROR(__xludf.DUMMYFUNCTION("GOOGLETRANSLATE(D:D,""auto"",""en"")"),"Army Military Medical University medical team arrived in Wuhan")</f>
        <v>Army Military Medical University medical team arrived in Wuhan</v>
      </c>
      <c r="D1299" s="4" t="s">
        <v>2087</v>
      </c>
      <c r="E1299" s="4">
        <v>7675569.0</v>
      </c>
      <c r="F1299" s="4">
        <v>48.0</v>
      </c>
      <c r="G1299" s="4" t="s">
        <v>2088</v>
      </c>
    </row>
    <row r="1300">
      <c r="A1300" s="1">
        <v>1298.0</v>
      </c>
      <c r="B1300" s="4" t="s">
        <v>2002</v>
      </c>
      <c r="C1300" s="4" t="str">
        <f>IFERROR(__xludf.DUMMYFUNCTION("GOOGLETRANSLATE(D:D,""auto"",""en"")"),"Vulcan Hill Hospital in Wuhan completed the first ward")</f>
        <v>Vulcan Hill Hospital in Wuhan completed the first ward</v>
      </c>
      <c r="D1300" s="4" t="s">
        <v>2089</v>
      </c>
      <c r="E1300" s="4">
        <v>7614068.0</v>
      </c>
      <c r="F1300" s="4">
        <v>49.0</v>
      </c>
      <c r="G1300" s="4" t="s">
        <v>2090</v>
      </c>
    </row>
    <row r="1301">
      <c r="A1301" s="1">
        <v>1299.0</v>
      </c>
      <c r="B1301" s="4" t="s">
        <v>2002</v>
      </c>
      <c r="C1301" s="4" t="str">
        <f>IFERROR(__xludf.DUMMYFUNCTION("GOOGLETRANSLATE(D:D,""auto"",""en"")"),"Shaanxi emergence of new cases of pneumonia a 9-year-old")</f>
        <v>Shaanxi emergence of new cases of pneumonia a 9-year-old</v>
      </c>
      <c r="D1301" s="4" t="s">
        <v>1918</v>
      </c>
      <c r="E1301" s="4">
        <v>7543626.0</v>
      </c>
      <c r="F1301" s="4">
        <v>50.0</v>
      </c>
      <c r="G1301" s="4" t="s">
        <v>1919</v>
      </c>
    </row>
    <row r="1302">
      <c r="A1302" s="1">
        <v>1300.0</v>
      </c>
      <c r="B1302" s="4" t="s">
        <v>2091</v>
      </c>
      <c r="C1302" s="4" t="str">
        <f>IFERROR(__xludf.DUMMYFUNCTION("GOOGLETRANSLATE(D:D,""auto"",""en"")"),"Bryant daughter Gigi's death")</f>
        <v>Bryant daughter Gigi's death</v>
      </c>
      <c r="D1302" s="4" t="s">
        <v>2092</v>
      </c>
      <c r="E1302" s="4">
        <v>2.3955556E7</v>
      </c>
      <c r="F1302" s="4">
        <v>1.0</v>
      </c>
      <c r="G1302" s="4" t="s">
        <v>2093</v>
      </c>
    </row>
    <row r="1303">
      <c r="A1303" s="1">
        <v>1301.0</v>
      </c>
      <c r="B1303" s="4" t="s">
        <v>2091</v>
      </c>
      <c r="C1303" s="4" t="str">
        <f>IFERROR(__xludf.DUMMYFUNCTION("GOOGLETRANSLATE(D:D,""auto"",""en"")"),"Of the total 2744 cases diagnosed with pneumonia new")</f>
        <v>Of the total 2744 cases diagnosed with pneumonia new</v>
      </c>
      <c r="D1303" s="4" t="s">
        <v>2094</v>
      </c>
      <c r="E1303" s="4">
        <v>1.7233764E7</v>
      </c>
      <c r="F1303" s="4">
        <v>2.0</v>
      </c>
      <c r="G1303" s="4" t="s">
        <v>2095</v>
      </c>
    </row>
    <row r="1304">
      <c r="A1304" s="1">
        <v>1302.0</v>
      </c>
      <c r="B1304" s="4" t="s">
        <v>2091</v>
      </c>
      <c r="C1304" s="4" t="str">
        <f>IFERROR(__xludf.DUMMYFUNCTION("GOOGLETRANSLATE(D:D,""auto"",""en"")"),"Bryant's death")</f>
        <v>Bryant's death</v>
      </c>
      <c r="D1304" s="4" t="s">
        <v>2096</v>
      </c>
      <c r="E1304" s="4">
        <v>1.4718938E7</v>
      </c>
      <c r="F1304" s="4">
        <v>3.0</v>
      </c>
      <c r="G1304" s="4" t="s">
        <v>2097</v>
      </c>
    </row>
    <row r="1305">
      <c r="A1305" s="1">
        <v>1303.0</v>
      </c>
      <c r="B1305" s="4" t="s">
        <v>2091</v>
      </c>
      <c r="C1305" s="4" t="str">
        <f>IFERROR(__xludf.DUMMYFUNCTION("GOOGLETRANSLATE(D:D,""auto"",""en"")"),"Henan version Xiaotangshan Hospital to start building")</f>
        <v>Henan version Xiaotangshan Hospital to start building</v>
      </c>
      <c r="D1305" s="4" t="s">
        <v>2098</v>
      </c>
      <c r="E1305" s="4">
        <v>9885075.0</v>
      </c>
      <c r="F1305" s="4">
        <v>4.0</v>
      </c>
      <c r="G1305" s="4" t="s">
        <v>2099</v>
      </c>
    </row>
    <row r="1306">
      <c r="A1306" s="1">
        <v>1304.0</v>
      </c>
      <c r="B1306" s="4" t="s">
        <v>2091</v>
      </c>
      <c r="C1306" s="4" t="str">
        <f>IFERROR(__xludf.DUMMYFUNCTION("GOOGLETRANSLATE(D:D,""auto"",""en"")"),"Residential electricity arrears without power during the epidemic prevention and control")</f>
        <v>Residential electricity arrears without power during the epidemic prevention and control</v>
      </c>
      <c r="D1306" s="4" t="s">
        <v>2100</v>
      </c>
      <c r="E1306" s="4">
        <v>9347720.0</v>
      </c>
      <c r="F1306" s="4">
        <v>5.0</v>
      </c>
      <c r="G1306" s="4" t="s">
        <v>2101</v>
      </c>
    </row>
    <row r="1307">
      <c r="A1307" s="1">
        <v>1305.0</v>
      </c>
      <c r="B1307" s="4" t="s">
        <v>2091</v>
      </c>
      <c r="C1307" s="4" t="str">
        <f>IFERROR(__xludf.DUMMYFUNCTION("GOOGLETRANSLATE(D:D,""auto"",""en"")"),"Four o'clock in Los Angeles")</f>
        <v>Four o'clock in Los Angeles</v>
      </c>
      <c r="D1307" s="4" t="s">
        <v>2102</v>
      </c>
      <c r="E1307" s="4">
        <v>9094329.0</v>
      </c>
      <c r="F1307" s="4">
        <v>6.0</v>
      </c>
      <c r="G1307" s="4" t="s">
        <v>2103</v>
      </c>
    </row>
    <row r="1308">
      <c r="A1308" s="1">
        <v>1306.0</v>
      </c>
      <c r="B1308" s="4" t="s">
        <v>2091</v>
      </c>
      <c r="C1308" s="4" t="str">
        <f>IFERROR(__xludf.DUMMYFUNCTION("GOOGLETRANSLATE(D:D,""auto"",""en"")"),"James learned that Bryant died tears collapse")</f>
        <v>James learned that Bryant died tears collapse</v>
      </c>
      <c r="D1308" s="4" t="s">
        <v>2104</v>
      </c>
      <c r="E1308" s="4">
        <v>9028683.0</v>
      </c>
      <c r="F1308" s="4">
        <v>7.0</v>
      </c>
      <c r="G1308" s="4" t="s">
        <v>2105</v>
      </c>
    </row>
    <row r="1309">
      <c r="A1309" s="1">
        <v>1307.0</v>
      </c>
      <c r="B1309" s="4" t="s">
        <v>2091</v>
      </c>
      <c r="C1309" s="4" t="str">
        <f>IFERROR(__xludf.DUMMYFUNCTION("GOOGLETRANSLATE(D:D,""auto"",""en"")"),"Shandong All confirmed cases in the mild state")</f>
        <v>Shandong All confirmed cases in the mild state</v>
      </c>
      <c r="D1309" s="4" t="s">
        <v>2106</v>
      </c>
      <c r="E1309" s="4">
        <v>8867164.0</v>
      </c>
      <c r="F1309" s="4">
        <v>8.0</v>
      </c>
      <c r="G1309" s="4" t="s">
        <v>2107</v>
      </c>
    </row>
    <row r="1310">
      <c r="A1310" s="1">
        <v>1308.0</v>
      </c>
      <c r="B1310" s="4" t="s">
        <v>2091</v>
      </c>
      <c r="C1310" s="4" t="str">
        <f>IFERROR(__xludf.DUMMYFUNCTION("GOOGLETRANSLATE(D:D,""auto"",""en"")"),"Cherish the memory of Bryant")</f>
        <v>Cherish the memory of Bryant</v>
      </c>
      <c r="D1310" s="4" t="s">
        <v>2108</v>
      </c>
      <c r="E1310" s="4">
        <v>8859166.0</v>
      </c>
      <c r="F1310" s="4">
        <v>9.0</v>
      </c>
      <c r="G1310" s="4" t="s">
        <v>2109</v>
      </c>
    </row>
    <row r="1311">
      <c r="A1311" s="1">
        <v>1309.0</v>
      </c>
      <c r="B1311" s="4" t="s">
        <v>2091</v>
      </c>
      <c r="C1311" s="4" t="str">
        <f>IFERROR(__xludf.DUMMYFUNCTION("GOOGLETRANSLATE(D:D,""auto"",""en"")"),"Premier Li Keqiang arrived in Wuhan")</f>
        <v>Premier Li Keqiang arrived in Wuhan</v>
      </c>
      <c r="D1311" s="4" t="s">
        <v>2110</v>
      </c>
      <c r="E1311" s="4">
        <v>8715286.0</v>
      </c>
      <c r="F1311" s="4">
        <v>10.0</v>
      </c>
      <c r="G1311" s="4" t="s">
        <v>2111</v>
      </c>
    </row>
    <row r="1312">
      <c r="A1312" s="1">
        <v>1310.0</v>
      </c>
      <c r="B1312" s="4" t="s">
        <v>2091</v>
      </c>
      <c r="C1312" s="4" t="str">
        <f>IFERROR(__xludf.DUMMYFUNCTION("GOOGLETRANSLATE(D:D,""auto"",""en"")"),"Let people say Fujian protective clothing")</f>
        <v>Let people say Fujian protective clothing</v>
      </c>
      <c r="D1312" s="4" t="s">
        <v>2112</v>
      </c>
      <c r="E1312" s="4">
        <v>8665811.0</v>
      </c>
      <c r="F1312" s="4">
        <v>11.0</v>
      </c>
      <c r="G1312" s="4" t="s">
        <v>2113</v>
      </c>
    </row>
    <row r="1313">
      <c r="A1313" s="1">
        <v>1311.0</v>
      </c>
      <c r="B1313" s="4" t="s">
        <v>2091</v>
      </c>
      <c r="C1313" s="4" t="str">
        <f>IFERROR(__xludf.DUMMYFUNCTION("GOOGLETRANSLATE(D:D,""auto"",""en"")"),"Wuhan the next three days or will open 5000 beds")</f>
        <v>Wuhan the next three days or will open 5000 beds</v>
      </c>
      <c r="D1313" s="4" t="s">
        <v>2027</v>
      </c>
      <c r="E1313" s="4">
        <v>8513372.0</v>
      </c>
      <c r="F1313" s="4">
        <v>12.0</v>
      </c>
      <c r="G1313" s="4" t="s">
        <v>2028</v>
      </c>
    </row>
    <row r="1314">
      <c r="A1314" s="1">
        <v>1312.0</v>
      </c>
      <c r="B1314" s="4" t="s">
        <v>2091</v>
      </c>
      <c r="C1314" s="4" t="str">
        <f>IFERROR(__xludf.DUMMYFUNCTION("GOOGLETRANSLATE(D:D,""auto"",""en"")"),"Doctor Sons encourage each compartment cover glass")</f>
        <v>Doctor Sons encourage each compartment cover glass</v>
      </c>
      <c r="D1314" s="4" t="s">
        <v>2114</v>
      </c>
      <c r="E1314" s="4">
        <v>8209525.0</v>
      </c>
      <c r="F1314" s="4">
        <v>13.0</v>
      </c>
      <c r="G1314" s="4" t="s">
        <v>2115</v>
      </c>
    </row>
    <row r="1315">
      <c r="A1315" s="1">
        <v>1313.0</v>
      </c>
      <c r="B1315" s="4" t="s">
        <v>2091</v>
      </c>
      <c r="C1315" s="4" t="str">
        <f>IFERROR(__xludf.DUMMYFUNCTION("GOOGLETRANSLATE(D:D,""auto"",""en"")"),"Song Qian Song Weilong jiedi")</f>
        <v>Song Qian Song Weilong jiedi</v>
      </c>
      <c r="D1315" s="4" t="s">
        <v>2116</v>
      </c>
      <c r="E1315" s="4">
        <v>8201532.0</v>
      </c>
      <c r="F1315" s="4">
        <v>14.0</v>
      </c>
      <c r="G1315" s="4" t="s">
        <v>2117</v>
      </c>
    </row>
    <row r="1316">
      <c r="A1316" s="1">
        <v>1314.0</v>
      </c>
      <c r="B1316" s="4" t="s">
        <v>2091</v>
      </c>
      <c r="C1316" s="4" t="str">
        <f>IFERROR(__xludf.DUMMYFUNCTION("GOOGLETRANSLATE(D:D,""auto"",""en"")"),"The best start to the New Year TA")</f>
        <v>The best start to the New Year TA</v>
      </c>
      <c r="D1316" s="4" t="s">
        <v>1877</v>
      </c>
      <c r="E1316" s="4">
        <v>8115823.0</v>
      </c>
      <c r="F1316" s="4">
        <v>15.0</v>
      </c>
      <c r="G1316" s="4" t="s">
        <v>1878</v>
      </c>
    </row>
    <row r="1317">
      <c r="A1317" s="1">
        <v>1315.0</v>
      </c>
      <c r="B1317" s="4" t="s">
        <v>2091</v>
      </c>
      <c r="C1317" s="4" t="str">
        <f>IFERROR(__xludf.DUMMYFUNCTION("GOOGLETRANSLATE(D:D,""auto"",""en"")"),"National wildlife trade ban lifted before the epidemic")</f>
        <v>National wildlife trade ban lifted before the epidemic</v>
      </c>
      <c r="D1317" s="4" t="s">
        <v>2118</v>
      </c>
      <c r="E1317" s="4">
        <v>8100225.0</v>
      </c>
      <c r="F1317" s="4">
        <v>16.0</v>
      </c>
      <c r="G1317" s="4" t="s">
        <v>2119</v>
      </c>
    </row>
    <row r="1318">
      <c r="A1318" s="1">
        <v>1316.0</v>
      </c>
      <c r="B1318" s="4" t="s">
        <v>2091</v>
      </c>
      <c r="C1318" s="4" t="str">
        <f>IFERROR(__xludf.DUMMYFUNCTION("GOOGLETRANSLATE(D:D,""auto"",""en"")"),"Wuhan medical staff interviewed hoarse voice")</f>
        <v>Wuhan medical staff interviewed hoarse voice</v>
      </c>
      <c r="D1318" s="4" t="s">
        <v>2120</v>
      </c>
      <c r="E1318" s="4">
        <v>8022122.0</v>
      </c>
      <c r="F1318" s="4">
        <v>17.0</v>
      </c>
      <c r="G1318" s="4" t="s">
        <v>2121</v>
      </c>
    </row>
    <row r="1319">
      <c r="A1319" s="1">
        <v>1317.0</v>
      </c>
      <c r="B1319" s="4" t="s">
        <v>2091</v>
      </c>
      <c r="C1319" s="4" t="str">
        <f>IFERROR(__xludf.DUMMYFUNCTION("GOOGLETRANSLATE(D:D,""auto"",""en"")"),"Zhejiang successfully isolated the novel coronavirus strains")</f>
        <v>Zhejiang successfully isolated the novel coronavirus strains</v>
      </c>
      <c r="D1319" s="4" t="s">
        <v>2122</v>
      </c>
      <c r="E1319" s="4">
        <v>7991992.0</v>
      </c>
      <c r="F1319" s="4">
        <v>18.0</v>
      </c>
      <c r="G1319" s="4" t="s">
        <v>2123</v>
      </c>
    </row>
    <row r="1320">
      <c r="A1320" s="1">
        <v>1318.0</v>
      </c>
      <c r="B1320" s="4" t="s">
        <v>2091</v>
      </c>
      <c r="C1320" s="4" t="str">
        <f>IFERROR(__xludf.DUMMYFUNCTION("GOOGLETRANSLATE(D:D,""auto"",""en"")"),"There is a large number of new seafood market in South crown virus")</f>
        <v>There is a large number of new seafood market in South crown virus</v>
      </c>
      <c r="D1320" s="4" t="s">
        <v>2083</v>
      </c>
      <c r="E1320" s="4">
        <v>7971308.0</v>
      </c>
      <c r="F1320" s="4">
        <v>19.0</v>
      </c>
      <c r="G1320" s="4" t="s">
        <v>2084</v>
      </c>
    </row>
    <row r="1321">
      <c r="A1321" s="1">
        <v>1319.0</v>
      </c>
      <c r="B1321" s="4" t="s">
        <v>2091</v>
      </c>
      <c r="C1321" s="4" t="str">
        <f>IFERROR(__xludf.DUMMYFUNCTION("GOOGLETRANSLATE(D:D,""auto"",""en"")"),"肖战 Takeishi")</f>
        <v>肖战 Takeishi</v>
      </c>
      <c r="D1321" s="4" t="s">
        <v>2124</v>
      </c>
      <c r="E1321" s="4">
        <v>7869718.0</v>
      </c>
      <c r="F1321" s="4">
        <v>20.0</v>
      </c>
      <c r="G1321" s="4" t="s">
        <v>2125</v>
      </c>
    </row>
    <row r="1322">
      <c r="A1322" s="1">
        <v>1320.0</v>
      </c>
      <c r="B1322" s="4" t="s">
        <v>2091</v>
      </c>
      <c r="C1322" s="4" t="str">
        <f>IFERROR(__xludf.DUMMYFUNCTION("GOOGLETRANSLATE(D:D,""auto"",""en"")"),"Hardcore protect the village ambassador")</f>
        <v>Hardcore protect the village ambassador</v>
      </c>
      <c r="D1322" s="4" t="s">
        <v>2126</v>
      </c>
      <c r="E1322" s="4">
        <v>7804018.0</v>
      </c>
      <c r="F1322" s="4">
        <v>21.0</v>
      </c>
      <c r="G1322" s="4" t="s">
        <v>2127</v>
      </c>
    </row>
    <row r="1323">
      <c r="A1323" s="1">
        <v>1321.0</v>
      </c>
      <c r="B1323" s="4" t="s">
        <v>2091</v>
      </c>
      <c r="C1323" s="4" t="str">
        <f>IFERROR(__xludf.DUMMYFUNCTION("GOOGLETRANSLATE(D:D,""auto"",""en"")"),"CCTV reporter an exclusive interview with the mayor of Wuhan City")</f>
        <v>CCTV reporter an exclusive interview with the mayor of Wuhan City</v>
      </c>
      <c r="D1323" s="4" t="s">
        <v>2128</v>
      </c>
      <c r="E1323" s="4">
        <v>7798518.0</v>
      </c>
      <c r="F1323" s="4">
        <v>22.0</v>
      </c>
      <c r="G1323" s="4" t="s">
        <v>2129</v>
      </c>
    </row>
    <row r="1324">
      <c r="A1324" s="1">
        <v>1322.0</v>
      </c>
      <c r="B1324" s="4" t="s">
        <v>2091</v>
      </c>
      <c r="C1324" s="4" t="str">
        <f>IFERROR(__xludf.DUMMYFUNCTION("GOOGLETRANSLATE(D:D,""auto"",""en"")"),"Appropriate to extend the Lunar New Year holidays")</f>
        <v>Appropriate to extend the Lunar New Year holidays</v>
      </c>
      <c r="D1324" s="4" t="s">
        <v>2021</v>
      </c>
      <c r="E1324" s="4">
        <v>7789064.0</v>
      </c>
      <c r="F1324" s="4">
        <v>23.0</v>
      </c>
      <c r="G1324" s="4" t="s">
        <v>2022</v>
      </c>
    </row>
    <row r="1325">
      <c r="A1325" s="1">
        <v>1323.0</v>
      </c>
      <c r="B1325" s="4" t="s">
        <v>2091</v>
      </c>
      <c r="C1325" s="4" t="str">
        <f>IFERROR(__xludf.DUMMYFUNCTION("GOOGLETRANSLATE(D:D,""auto"",""en"")"),"Live reporter in Wuhan choked several times")</f>
        <v>Live reporter in Wuhan choked several times</v>
      </c>
      <c r="D1325" s="4" t="s">
        <v>2130</v>
      </c>
      <c r="E1325" s="4">
        <v>7785700.0</v>
      </c>
      <c r="F1325" s="4">
        <v>24.0</v>
      </c>
      <c r="G1325" s="4" t="s">
        <v>2131</v>
      </c>
    </row>
    <row r="1326">
      <c r="A1326" s="1">
        <v>1324.0</v>
      </c>
      <c r="B1326" s="4" t="s">
        <v>2091</v>
      </c>
      <c r="C1326" s="4" t="str">
        <f>IFERROR(__xludf.DUMMYFUNCTION("GOOGLETRANSLATE(D:D,""auto"",""en"")"),"National government has put 11.21 billion epidemic prevention and control")</f>
        <v>National government has put 11.21 billion epidemic prevention and control</v>
      </c>
      <c r="D1326" s="4" t="s">
        <v>2132</v>
      </c>
      <c r="E1326" s="4">
        <v>7754543.0</v>
      </c>
      <c r="F1326" s="4">
        <v>25.0</v>
      </c>
      <c r="G1326" s="4" t="s">
        <v>2133</v>
      </c>
    </row>
    <row r="1327">
      <c r="A1327" s="1">
        <v>1325.0</v>
      </c>
      <c r="B1327" s="4" t="s">
        <v>2091</v>
      </c>
      <c r="C1327" s="4" t="str">
        <f>IFERROR(__xludf.DUMMYFUNCTION("GOOGLETRANSLATE(D:D,""auto"",""en"")"),"Family reunion celebration circle")</f>
        <v>Family reunion celebration circle</v>
      </c>
      <c r="D1327" s="4" t="s">
        <v>1634</v>
      </c>
      <c r="E1327" s="4">
        <v>7709802.0</v>
      </c>
      <c r="F1327" s="4">
        <v>26.0</v>
      </c>
      <c r="G1327" s="4" t="s">
        <v>1635</v>
      </c>
    </row>
    <row r="1328">
      <c r="A1328" s="1">
        <v>1326.0</v>
      </c>
      <c r="B1328" s="4" t="s">
        <v>2091</v>
      </c>
      <c r="C1328" s="4" t="str">
        <f>IFERROR(__xludf.DUMMYFUNCTION("GOOGLETRANSLATE(D:D,""auto"",""en"")"),"Relieve the burden on individual policy extended to patients with suspected")</f>
        <v>Relieve the burden on individual policy extended to patients with suspected</v>
      </c>
      <c r="D1328" s="4" t="s">
        <v>2134</v>
      </c>
      <c r="E1328" s="4">
        <v>7637122.0</v>
      </c>
      <c r="F1328" s="4">
        <v>27.0</v>
      </c>
      <c r="G1328" s="4" t="s">
        <v>2135</v>
      </c>
    </row>
    <row r="1329">
      <c r="A1329" s="1">
        <v>1327.0</v>
      </c>
      <c r="B1329" s="4" t="s">
        <v>2091</v>
      </c>
      <c r="C1329" s="4" t="str">
        <f>IFERROR(__xludf.DUMMYFUNCTION("GOOGLETRANSLATE(D:D,""auto"",""en"")"),"Bryant Godfrey photo")</f>
        <v>Bryant Godfrey photo</v>
      </c>
      <c r="D1329" s="4" t="s">
        <v>2136</v>
      </c>
      <c r="E1329" s="4">
        <v>7615587.0</v>
      </c>
      <c r="F1329" s="4">
        <v>28.0</v>
      </c>
      <c r="G1329" s="4" t="s">
        <v>2137</v>
      </c>
    </row>
    <row r="1330">
      <c r="A1330" s="1">
        <v>1328.0</v>
      </c>
      <c r="B1330" s="4" t="s">
        <v>2091</v>
      </c>
      <c r="C1330" s="4" t="str">
        <f>IFERROR(__xludf.DUMMYFUNCTION("GOOGLETRANSLATE(D:D,""auto"",""en"")"),"Wuhan confirmed cases may add about 1000 cases")</f>
        <v>Wuhan confirmed cases may add about 1000 cases</v>
      </c>
      <c r="D1330" s="4" t="s">
        <v>2138</v>
      </c>
      <c r="E1330" s="4">
        <v>7605380.0</v>
      </c>
      <c r="F1330" s="4">
        <v>29.0</v>
      </c>
      <c r="G1330" s="4" t="s">
        <v>2139</v>
      </c>
    </row>
    <row r="1331">
      <c r="A1331" s="1">
        <v>1329.0</v>
      </c>
      <c r="B1331" s="4" t="s">
        <v>2091</v>
      </c>
      <c r="C1331" s="4" t="str">
        <f>IFERROR(__xludf.DUMMYFUNCTION("GOOGLETRANSLATE(D:D,""auto"",""en"")"),"Zhong Nanshan protection team scarce supplies")</f>
        <v>Zhong Nanshan protection team scarce supplies</v>
      </c>
      <c r="D1331" s="4" t="s">
        <v>2140</v>
      </c>
      <c r="E1331" s="4">
        <v>7587394.0</v>
      </c>
      <c r="F1331" s="4">
        <v>30.0</v>
      </c>
      <c r="G1331" s="4" t="s">
        <v>2141</v>
      </c>
    </row>
    <row r="1332">
      <c r="A1332" s="1">
        <v>1330.0</v>
      </c>
      <c r="B1332" s="4" t="s">
        <v>2091</v>
      </c>
      <c r="C1332" s="4" t="str">
        <f>IFERROR(__xludf.DUMMYFUNCTION("GOOGLETRANSLATE(D:D,""auto"",""en"")"),"One person will not be tonight dialogue Zhong Nanshan")</f>
        <v>One person will not be tonight dialogue Zhong Nanshan</v>
      </c>
      <c r="D1332" s="4" t="s">
        <v>2041</v>
      </c>
      <c r="E1332" s="4">
        <v>7563818.0</v>
      </c>
      <c r="F1332" s="4">
        <v>31.0</v>
      </c>
      <c r="G1332" s="4" t="s">
        <v>2042</v>
      </c>
    </row>
    <row r="1333">
      <c r="A1333" s="1">
        <v>1331.0</v>
      </c>
      <c r="B1333" s="4" t="s">
        <v>2091</v>
      </c>
      <c r="C1333" s="4" t="str">
        <f>IFERROR(__xludf.DUMMYFUNCTION("GOOGLETRANSLATE(D:D,""auto"",""en"")"),"Hainan's first new cases of pneumonia deaths")</f>
        <v>Hainan's first new cases of pneumonia deaths</v>
      </c>
      <c r="D1333" s="4" t="s">
        <v>2142</v>
      </c>
      <c r="E1333" s="4">
        <v>7473218.0</v>
      </c>
      <c r="F1333" s="4">
        <v>32.0</v>
      </c>
      <c r="G1333" s="4" t="s">
        <v>2143</v>
      </c>
    </row>
    <row r="1334">
      <c r="A1334" s="1">
        <v>1332.0</v>
      </c>
      <c r="B1334" s="4" t="s">
        <v>2091</v>
      </c>
      <c r="C1334" s="4" t="str">
        <f>IFERROR(__xludf.DUMMYFUNCTION("GOOGLETRANSLATE(D:D,""auto"",""en"")"),"Anhui appear clusters of disease")</f>
        <v>Anhui appear clusters of disease</v>
      </c>
      <c r="D1334" s="4" t="s">
        <v>2144</v>
      </c>
      <c r="E1334" s="4">
        <v>7465474.0</v>
      </c>
      <c r="F1334" s="4">
        <v>33.0</v>
      </c>
      <c r="G1334" s="4" t="s">
        <v>2145</v>
      </c>
    </row>
    <row r="1335">
      <c r="A1335" s="1">
        <v>1333.0</v>
      </c>
      <c r="B1335" s="4" t="s">
        <v>2091</v>
      </c>
      <c r="C1335" s="4" t="str">
        <f>IFERROR(__xludf.DUMMYFUNCTION("GOOGLETRANSLATE(D:D,""auto"",""en"")"),"Japan, regardless of nationality new crown pneumonia treatment at public expense")</f>
        <v>Japan, regardless of nationality new crown pneumonia treatment at public expense</v>
      </c>
      <c r="D1335" s="4" t="s">
        <v>2146</v>
      </c>
      <c r="E1335" s="4">
        <v>7441599.0</v>
      </c>
      <c r="F1335" s="4">
        <v>34.0</v>
      </c>
      <c r="G1335" s="4" t="s">
        <v>2147</v>
      </c>
    </row>
    <row r="1336">
      <c r="A1336" s="1">
        <v>1334.0</v>
      </c>
      <c r="B1336" s="4" t="s">
        <v>2091</v>
      </c>
      <c r="C1336" s="4" t="str">
        <f>IFERROR(__xludf.DUMMYFUNCTION("GOOGLETRANSLATE(D:D,""auto"",""en"")"),"Afghan crash of Flight")</f>
        <v>Afghan crash of Flight</v>
      </c>
      <c r="D1336" s="4" t="s">
        <v>2148</v>
      </c>
      <c r="E1336" s="4">
        <v>7430200.0</v>
      </c>
      <c r="F1336" s="4">
        <v>35.0</v>
      </c>
      <c r="G1336" s="4" t="s">
        <v>2149</v>
      </c>
    </row>
    <row r="1337">
      <c r="A1337" s="1">
        <v>1335.0</v>
      </c>
      <c r="B1337" s="4" t="s">
        <v>2091</v>
      </c>
      <c r="C1337" s="4" t="str">
        <f>IFERROR(__xludf.DUMMYFUNCTION("GOOGLETRANSLATE(D:D,""auto"",""en"")"),"Hu Fei Zeng Yin miss")</f>
        <v>Hu Fei Zeng Yin miss</v>
      </c>
      <c r="D1337" s="4" t="s">
        <v>2150</v>
      </c>
      <c r="E1337" s="4">
        <v>7407303.0</v>
      </c>
      <c r="F1337" s="4">
        <v>36.0</v>
      </c>
      <c r="G1337" s="4" t="s">
        <v>2151</v>
      </c>
    </row>
    <row r="1338">
      <c r="A1338" s="1">
        <v>1336.0</v>
      </c>
      <c r="B1338" s="4" t="s">
        <v>2091</v>
      </c>
      <c r="C1338" s="4" t="str">
        <f>IFERROR(__xludf.DUMMYFUNCTION("GOOGLETRANSLATE(D:D,""auto"",""en"")"),"Shanghai delayed return to work and school")</f>
        <v>Shanghai delayed return to work and school</v>
      </c>
      <c r="D1338" s="4" t="s">
        <v>2152</v>
      </c>
      <c r="E1338" s="4">
        <v>7371523.0</v>
      </c>
      <c r="F1338" s="4">
        <v>37.0</v>
      </c>
      <c r="G1338" s="4" t="s">
        <v>2153</v>
      </c>
    </row>
    <row r="1339">
      <c r="A1339" s="1">
        <v>1337.0</v>
      </c>
      <c r="B1339" s="4" t="s">
        <v>2091</v>
      </c>
      <c r="C1339" s="4" t="str">
        <f>IFERROR(__xludf.DUMMYFUNCTION("GOOGLETRANSLATE(D:D,""auto"",""en"")"),"9 months babies diagnosed with pneumonia new")</f>
        <v>9 months babies diagnosed with pneumonia new</v>
      </c>
      <c r="D1339" s="4" t="s">
        <v>2154</v>
      </c>
      <c r="E1339" s="4">
        <v>7369727.0</v>
      </c>
      <c r="F1339" s="4">
        <v>38.0</v>
      </c>
      <c r="G1339" s="4" t="s">
        <v>2155</v>
      </c>
    </row>
    <row r="1340">
      <c r="A1340" s="1">
        <v>1338.0</v>
      </c>
      <c r="B1340" s="4" t="s">
        <v>2091</v>
      </c>
      <c r="C1340" s="4" t="str">
        <f>IFERROR(__xludf.DUMMYFUNCTION("GOOGLETRANSLATE(D:D,""auto"",""en"")"),"Wuhan Mayor acknowledged the information disclosure is not timely")</f>
        <v>Wuhan Mayor acknowledged the information disclosure is not timely</v>
      </c>
      <c r="D1340" s="4" t="s">
        <v>2156</v>
      </c>
      <c r="E1340" s="4">
        <v>7357605.0</v>
      </c>
      <c r="F1340" s="4">
        <v>39.0</v>
      </c>
      <c r="G1340" s="4" t="s">
        <v>2157</v>
      </c>
    </row>
    <row r="1341">
      <c r="A1341" s="1">
        <v>1339.0</v>
      </c>
      <c r="B1341" s="4" t="s">
        <v>2091</v>
      </c>
      <c r="C1341" s="4" t="str">
        <f>IFERROR(__xludf.DUMMYFUNCTION("GOOGLETRANSLATE(D:D,""auto"",""en"")"),"Wuhan Xiehe medical staff clinical symptoms under control")</f>
        <v>Wuhan Xiehe medical staff clinical symptoms under control</v>
      </c>
      <c r="D1341" s="4" t="s">
        <v>2158</v>
      </c>
      <c r="E1341" s="4">
        <v>7296069.0</v>
      </c>
      <c r="F1341" s="4">
        <v>40.0</v>
      </c>
      <c r="G1341" s="4" t="s">
        <v>2159</v>
      </c>
    </row>
    <row r="1342">
      <c r="A1342" s="1">
        <v>1340.0</v>
      </c>
      <c r="B1342" s="4" t="s">
        <v>2091</v>
      </c>
      <c r="C1342" s="4" t="str">
        <f>IFERROR(__xludf.DUMMYFUNCTION("GOOGLETRANSLATE(D:D,""auto"",""en"")"),"Wuhan Min were appointed former director died")</f>
        <v>Wuhan Min were appointed former director died</v>
      </c>
      <c r="D1342" s="4" t="s">
        <v>2160</v>
      </c>
      <c r="E1342" s="4">
        <v>7276733.0</v>
      </c>
      <c r="F1342" s="4">
        <v>41.0</v>
      </c>
      <c r="G1342" s="4" t="s">
        <v>2161</v>
      </c>
    </row>
    <row r="1343">
      <c r="A1343" s="1">
        <v>1341.0</v>
      </c>
      <c r="B1343" s="4" t="s">
        <v>2091</v>
      </c>
      <c r="C1343" s="4" t="str">
        <f>IFERROR(__xludf.DUMMYFUNCTION("GOOGLETRANSLATE(D:D,""auto"",""en"")"),"Guangdong's first novel coronavirus strains isolated strains")</f>
        <v>Guangdong's first novel coronavirus strains isolated strains</v>
      </c>
      <c r="D1343" s="4" t="s">
        <v>2162</v>
      </c>
      <c r="E1343" s="4">
        <v>7271098.0</v>
      </c>
      <c r="F1343" s="4">
        <v>42.0</v>
      </c>
      <c r="G1343" s="4" t="s">
        <v>2163</v>
      </c>
    </row>
    <row r="1344">
      <c r="A1344" s="1">
        <v>1342.0</v>
      </c>
      <c r="B1344" s="4" t="s">
        <v>2091</v>
      </c>
      <c r="C1344" s="4" t="str">
        <f>IFERROR(__xludf.DUMMYFUNCTION("GOOGLETRANSLATE(D:D,""auto"",""en"")"),"Shandong's first novel coronavirus detection products")</f>
        <v>Shandong's first novel coronavirus detection products</v>
      </c>
      <c r="D1344" s="4" t="s">
        <v>2164</v>
      </c>
      <c r="E1344" s="4">
        <v>7233360.0</v>
      </c>
      <c r="F1344" s="4">
        <v>43.0</v>
      </c>
      <c r="G1344" s="4" t="s">
        <v>2165</v>
      </c>
    </row>
    <row r="1345">
      <c r="A1345" s="1">
        <v>1343.0</v>
      </c>
      <c r="B1345" s="4" t="s">
        <v>2091</v>
      </c>
      <c r="C1345" s="4" t="str">
        <f>IFERROR(__xludf.DUMMYFUNCTION("GOOGLETRANSLATE(D:D,""auto"",""en"")"),"Wuhan's first refused to return home quarantine person")</f>
        <v>Wuhan's first refused to return home quarantine person</v>
      </c>
      <c r="D1345" s="4" t="s">
        <v>2075</v>
      </c>
      <c r="E1345" s="4">
        <v>7195353.0</v>
      </c>
      <c r="F1345" s="4">
        <v>44.0</v>
      </c>
      <c r="G1345" s="4" t="s">
        <v>2076</v>
      </c>
    </row>
    <row r="1346">
      <c r="A1346" s="1">
        <v>1344.0</v>
      </c>
      <c r="B1346" s="4" t="s">
        <v>2091</v>
      </c>
      <c r="C1346" s="4" t="str">
        <f>IFERROR(__xludf.DUMMYFUNCTION("GOOGLETRANSLATE(D:D,""auto"",""en"")"),"Bored to play with Siri idiom")</f>
        <v>Bored to play with Siri idiom</v>
      </c>
      <c r="D1346" s="4" t="s">
        <v>2166</v>
      </c>
      <c r="E1346" s="4">
        <v>7150815.0</v>
      </c>
      <c r="F1346" s="4">
        <v>45.0</v>
      </c>
      <c r="G1346" s="4" t="s">
        <v>2167</v>
      </c>
    </row>
    <row r="1347">
      <c r="A1347" s="1">
        <v>1345.0</v>
      </c>
      <c r="B1347" s="4" t="s">
        <v>2091</v>
      </c>
      <c r="C1347" s="4" t="str">
        <f>IFERROR(__xludf.DUMMYFUNCTION("GOOGLETRANSLATE(D:D,""auto"",""en"")"),"Bryant three days ago to send blessings China")</f>
        <v>Bryant three days ago to send blessings China</v>
      </c>
      <c r="D1347" s="4" t="s">
        <v>2168</v>
      </c>
      <c r="E1347" s="4">
        <v>7114106.0</v>
      </c>
      <c r="F1347" s="4">
        <v>46.0</v>
      </c>
      <c r="G1347" s="4" t="s">
        <v>2169</v>
      </c>
    </row>
    <row r="1348">
      <c r="A1348" s="1">
        <v>1346.0</v>
      </c>
      <c r="B1348" s="4" t="s">
        <v>2091</v>
      </c>
      <c r="C1348" s="4" t="str">
        <f>IFERROR(__xludf.DUMMYFUNCTION("GOOGLETRANSLATE(D:D,""auto"",""en"")"),"Grammy tribute Bryant")</f>
        <v>Grammy tribute Bryant</v>
      </c>
      <c r="D1348" s="4" t="s">
        <v>2170</v>
      </c>
      <c r="E1348" s="4">
        <v>7067107.0</v>
      </c>
      <c r="F1348" s="4">
        <v>47.0</v>
      </c>
      <c r="G1348" s="4" t="s">
        <v>2171</v>
      </c>
    </row>
    <row r="1349">
      <c r="A1349" s="1">
        <v>1347.0</v>
      </c>
      <c r="B1349" s="4" t="s">
        <v>2091</v>
      </c>
      <c r="C1349" s="4" t="str">
        <f>IFERROR(__xludf.DUMMYFUNCTION("GOOGLETRANSLATE(D:D,""auto"",""en"")"),"Vulcan Hill Hospital to hand over military")</f>
        <v>Vulcan Hill Hospital to hand over military</v>
      </c>
      <c r="D1349" s="4" t="s">
        <v>2172</v>
      </c>
      <c r="E1349" s="4">
        <v>7052775.0</v>
      </c>
      <c r="F1349" s="4">
        <v>48.0</v>
      </c>
      <c r="G1349" s="4" t="s">
        <v>2173</v>
      </c>
    </row>
    <row r="1350">
      <c r="A1350" s="1">
        <v>1348.0</v>
      </c>
      <c r="B1350" s="4" t="s">
        <v>2091</v>
      </c>
      <c r="C1350" s="4" t="str">
        <f>IFERROR(__xludf.DUMMYFUNCTION("GOOGLETRANSLATE(D:D,""auto"",""en"")"),"Fans heard Bryant's death dissolved in tears")</f>
        <v>Fans heard Bryant's death dissolved in tears</v>
      </c>
      <c r="D1350" s="4" t="s">
        <v>2174</v>
      </c>
      <c r="E1350" s="4">
        <v>7038950.0</v>
      </c>
      <c r="F1350" s="4">
        <v>49.0</v>
      </c>
      <c r="G1350" s="4" t="s">
        <v>2175</v>
      </c>
    </row>
    <row r="1351">
      <c r="A1351" s="1">
        <v>1349.0</v>
      </c>
      <c r="B1351" s="4" t="s">
        <v>2091</v>
      </c>
      <c r="C1351" s="4" t="str">
        <f>IFERROR(__xludf.DUMMYFUNCTION("GOOGLETRANSLATE(D:D,""auto"",""en"")"),"There are over 500 million people to leave Wuhan")</f>
        <v>There are over 500 million people to leave Wuhan</v>
      </c>
      <c r="D1351" s="4" t="s">
        <v>2176</v>
      </c>
      <c r="E1351" s="4">
        <v>6995504.0</v>
      </c>
      <c r="F1351" s="4">
        <v>50.0</v>
      </c>
      <c r="G1351" s="4" t="s">
        <v>2177</v>
      </c>
    </row>
    <row r="1352">
      <c r="A1352" s="1">
        <v>1350.0</v>
      </c>
      <c r="B1352" s="4" t="s">
        <v>2178</v>
      </c>
      <c r="C1352" s="4" t="str">
        <f>IFERROR(__xludf.DUMMYFUNCTION("GOOGLETRANSLATE(D:D,""auto"",""en"")"),"Tibet start the second response")</f>
        <v>Tibet start the second response</v>
      </c>
      <c r="D1352" s="4" t="s">
        <v>2179</v>
      </c>
      <c r="E1352" s="4">
        <v>1.0323428E7</v>
      </c>
      <c r="F1352" s="4">
        <v>1.0</v>
      </c>
      <c r="G1352" s="4" t="s">
        <v>2180</v>
      </c>
    </row>
    <row r="1353">
      <c r="A1353" s="1">
        <v>1351.0</v>
      </c>
      <c r="B1353" s="4" t="s">
        <v>2178</v>
      </c>
      <c r="C1353" s="4" t="str">
        <f>IFERROR(__xludf.DUMMYFUNCTION("GOOGLETRANSLATE(D:D,""auto"",""en"")"),"Minibuses free passage extended to February 2")</f>
        <v>Minibuses free passage extended to February 2</v>
      </c>
      <c r="D1353" s="4" t="s">
        <v>2181</v>
      </c>
      <c r="E1353" s="4">
        <v>1.0198527E7</v>
      </c>
      <c r="F1353" s="4">
        <v>2.0</v>
      </c>
      <c r="G1353" s="4" t="s">
        <v>2182</v>
      </c>
    </row>
    <row r="1354">
      <c r="A1354" s="1">
        <v>1352.0</v>
      </c>
      <c r="B1354" s="4" t="s">
        <v>2178</v>
      </c>
      <c r="C1354" s="4" t="str">
        <f>IFERROR(__xludf.DUMMYFUNCTION("GOOGLETRANSLATE(D:D,""auto"",""en"")"),"Of the total of confirmed cases increased to 4515 cases")</f>
        <v>Of the total of confirmed cases increased to 4515 cases</v>
      </c>
      <c r="D1354" s="4" t="s">
        <v>2183</v>
      </c>
      <c r="E1354" s="4">
        <v>1.0140424E7</v>
      </c>
      <c r="F1354" s="4">
        <v>3.0</v>
      </c>
      <c r="G1354" s="4" t="s">
        <v>2184</v>
      </c>
    </row>
    <row r="1355">
      <c r="A1355" s="1">
        <v>1353.0</v>
      </c>
      <c r="B1355" s="4" t="s">
        <v>2178</v>
      </c>
      <c r="C1355" s="4" t="str">
        <f>IFERROR(__xludf.DUMMYFUNCTION("GOOGLETRANSLATE(D:D,""auto"",""en"")"),"Mild patients about a week to recover")</f>
        <v>Mild patients about a week to recover</v>
      </c>
      <c r="D1355" s="4" t="s">
        <v>2185</v>
      </c>
      <c r="E1355" s="4">
        <v>1.0040196E7</v>
      </c>
      <c r="F1355" s="4">
        <v>4.0</v>
      </c>
      <c r="G1355" s="4" t="s">
        <v>2186</v>
      </c>
    </row>
    <row r="1356">
      <c r="A1356" s="1">
        <v>1354.0</v>
      </c>
      <c r="B1356" s="4" t="s">
        <v>2178</v>
      </c>
      <c r="C1356" s="4" t="str">
        <f>IFERROR(__xludf.DUMMYFUNCTION("GOOGLETRANSLATE(D:D,""auto"",""en"")"),"Novel coronavirus for all age groups are susceptible")</f>
        <v>Novel coronavirus for all age groups are susceptible</v>
      </c>
      <c r="D1356" s="4" t="s">
        <v>2187</v>
      </c>
      <c r="E1356" s="4">
        <v>1.0039455E7</v>
      </c>
      <c r="F1356" s="4">
        <v>5.0</v>
      </c>
      <c r="G1356" s="4" t="s">
        <v>2188</v>
      </c>
    </row>
    <row r="1357">
      <c r="A1357" s="1">
        <v>1355.0</v>
      </c>
      <c r="B1357" s="4" t="s">
        <v>2178</v>
      </c>
      <c r="C1357" s="4" t="str">
        <f>IFERROR(__xludf.DUMMYFUNCTION("GOOGLETRANSLATE(D:D,""auto"",""en"")"),"Novel coronavirus can be spread through contact")</f>
        <v>Novel coronavirus can be spread through contact</v>
      </c>
      <c r="D1357" s="4" t="s">
        <v>2189</v>
      </c>
      <c r="E1357" s="4">
        <v>9927406.0</v>
      </c>
      <c r="F1357" s="4">
        <v>6.0</v>
      </c>
      <c r="G1357" s="4" t="s">
        <v>2190</v>
      </c>
    </row>
    <row r="1358">
      <c r="A1358" s="1">
        <v>1356.0</v>
      </c>
      <c r="B1358" s="4" t="s">
        <v>2178</v>
      </c>
      <c r="C1358" s="4" t="str">
        <f>IFERROR(__xludf.DUMMYFUNCTION("GOOGLETRANSLATE(D:D,""auto"",""en"")"),"Henan new cases of pneumonia, 40 cases of the new")</f>
        <v>Henan new cases of pneumonia, 40 cases of the new</v>
      </c>
      <c r="D1358" s="4" t="s">
        <v>2191</v>
      </c>
      <c r="E1358" s="4">
        <v>9811998.0</v>
      </c>
      <c r="F1358" s="4">
        <v>7.0</v>
      </c>
      <c r="G1358" s="4" t="s">
        <v>2192</v>
      </c>
    </row>
    <row r="1359">
      <c r="A1359" s="1">
        <v>1357.0</v>
      </c>
      <c r="B1359" s="4" t="s">
        <v>2178</v>
      </c>
      <c r="C1359" s="4" t="str">
        <f>IFERROR(__xludf.DUMMYFUNCTION("GOOGLETRANSLATE(D:D,""auto"",""en"")"),"Relieve the burden on individual policy extended to patients with suspected")</f>
        <v>Relieve the burden on individual policy extended to patients with suspected</v>
      </c>
      <c r="D1359" s="4" t="s">
        <v>2134</v>
      </c>
      <c r="E1359" s="4">
        <v>9736139.0</v>
      </c>
      <c r="F1359" s="4">
        <v>8.0</v>
      </c>
      <c r="G1359" s="4" t="s">
        <v>2135</v>
      </c>
    </row>
    <row r="1360">
      <c r="A1360" s="1">
        <v>1358.0</v>
      </c>
      <c r="B1360" s="4" t="s">
        <v>2178</v>
      </c>
      <c r="C1360" s="4" t="str">
        <f>IFERROR(__xludf.DUMMYFUNCTION("GOOGLETRANSLATE(D:D,""auto"",""en"")"),"Vibrato free online Chinese New Year movie file")</f>
        <v>Vibrato free online Chinese New Year movie file</v>
      </c>
      <c r="D1360" s="4" t="s">
        <v>2193</v>
      </c>
      <c r="E1360" s="4">
        <v>9685376.0</v>
      </c>
      <c r="F1360" s="4">
        <v>9.0</v>
      </c>
      <c r="G1360" s="4" t="s">
        <v>2194</v>
      </c>
    </row>
    <row r="1361">
      <c r="A1361" s="1">
        <v>1359.0</v>
      </c>
      <c r="B1361" s="4" t="s">
        <v>2178</v>
      </c>
      <c r="C1361" s="4" t="str">
        <f>IFERROR(__xludf.DUMMYFUNCTION("GOOGLETRANSLATE(D:D,""auto"",""en"")"),"Novel coronavirus vaccine research and development, officially approved")</f>
        <v>Novel coronavirus vaccine research and development, officially approved</v>
      </c>
      <c r="D1361" s="4" t="s">
        <v>2195</v>
      </c>
      <c r="E1361" s="4">
        <v>9681804.0</v>
      </c>
      <c r="F1361" s="4">
        <v>10.0</v>
      </c>
      <c r="G1361" s="4" t="s">
        <v>2196</v>
      </c>
    </row>
    <row r="1362">
      <c r="A1362" s="1">
        <v>1360.0</v>
      </c>
      <c r="B1362" s="4" t="s">
        <v>2178</v>
      </c>
      <c r="C1362" s="4" t="str">
        <f>IFERROR(__xludf.DUMMYFUNCTION("GOOGLETRANSLATE(D:D,""auto"",""en"")"),"Old waste recycling donations 10,000 yuan")</f>
        <v>Old waste recycling donations 10,000 yuan</v>
      </c>
      <c r="D1362" s="4" t="s">
        <v>2197</v>
      </c>
      <c r="E1362" s="4">
        <v>9543553.0</v>
      </c>
      <c r="F1362" s="4">
        <v>11.0</v>
      </c>
      <c r="G1362" s="4" t="s">
        <v>2198</v>
      </c>
    </row>
    <row r="1363">
      <c r="A1363" s="1">
        <v>1361.0</v>
      </c>
      <c r="B1363" s="4" t="s">
        <v>2178</v>
      </c>
      <c r="C1363" s="4" t="str">
        <f>IFERROR(__xludf.DUMMYFUNCTION("GOOGLETRANSLATE(D:D,""auto"",""en"")"),"Geographical importance can not become a geographical discrimination")</f>
        <v>Geographical importance can not become a geographical discrimination</v>
      </c>
      <c r="D1363" s="4" t="s">
        <v>2199</v>
      </c>
      <c r="E1363" s="4">
        <v>9489295.0</v>
      </c>
      <c r="F1363" s="4">
        <v>12.0</v>
      </c>
      <c r="G1363" s="4" t="s">
        <v>2200</v>
      </c>
    </row>
    <row r="1364">
      <c r="A1364" s="1">
        <v>1362.0</v>
      </c>
      <c r="B1364" s="4" t="s">
        <v>2178</v>
      </c>
      <c r="C1364" s="4" t="str">
        <f>IFERROR(__xludf.DUMMYFUNCTION("GOOGLETRANSLATE(D:D,""auto"",""en"")"),"3.4 million students in the United States to raise protective clothing to donate Wuhan")</f>
        <v>3.4 million students in the United States to raise protective clothing to donate Wuhan</v>
      </c>
      <c r="D1364" s="4" t="s">
        <v>2201</v>
      </c>
      <c r="E1364" s="4">
        <v>9487953.0</v>
      </c>
      <c r="F1364" s="4">
        <v>13.0</v>
      </c>
      <c r="G1364" s="4" t="s">
        <v>2202</v>
      </c>
    </row>
    <row r="1365">
      <c r="A1365" s="1">
        <v>1363.0</v>
      </c>
      <c r="B1365" s="4" t="s">
        <v>2178</v>
      </c>
      <c r="C1365" s="4" t="str">
        <f>IFERROR(__xludf.DUMMYFUNCTION("GOOGLETRANSLATE(D:D,""auto"",""en"")"),"Hainan's first new cases of pneumonia deaths")</f>
        <v>Hainan's first new cases of pneumonia deaths</v>
      </c>
      <c r="D1365" s="4" t="s">
        <v>2142</v>
      </c>
      <c r="E1365" s="4">
        <v>9468290.0</v>
      </c>
      <c r="F1365" s="4">
        <v>14.0</v>
      </c>
      <c r="G1365" s="4" t="s">
        <v>2143</v>
      </c>
    </row>
    <row r="1366">
      <c r="A1366" s="1">
        <v>1364.0</v>
      </c>
      <c r="B1366" s="4" t="s">
        <v>2178</v>
      </c>
      <c r="C1366" s="4" t="str">
        <f>IFERROR(__xludf.DUMMYFUNCTION("GOOGLETRANSLATE(D:D,""auto"",""en"")"),"Henan province's schools delayed opening")</f>
        <v>Henan province's schools delayed opening</v>
      </c>
      <c r="D1366" s="4" t="s">
        <v>2203</v>
      </c>
      <c r="E1366" s="4">
        <v>9454791.0</v>
      </c>
      <c r="F1366" s="4">
        <v>15.0</v>
      </c>
      <c r="G1366" s="4" t="s">
        <v>2204</v>
      </c>
    </row>
    <row r="1367">
      <c r="A1367" s="1">
        <v>1365.0</v>
      </c>
      <c r="B1367" s="4" t="s">
        <v>2178</v>
      </c>
      <c r="C1367" s="4" t="str">
        <f>IFERROR(__xludf.DUMMYFUNCTION("GOOGLETRANSLATE(D:D,""auto"",""en"")"),"National TV entertainment programs to reduce")</f>
        <v>National TV entertainment programs to reduce</v>
      </c>
      <c r="D1367" s="4" t="s">
        <v>2205</v>
      </c>
      <c r="E1367" s="4">
        <v>9420530.0</v>
      </c>
      <c r="F1367" s="4">
        <v>16.0</v>
      </c>
      <c r="G1367" s="4" t="s">
        <v>2206</v>
      </c>
    </row>
    <row r="1368">
      <c r="A1368" s="1">
        <v>1366.0</v>
      </c>
      <c r="B1368" s="4" t="s">
        <v>2178</v>
      </c>
      <c r="C1368" s="4" t="str">
        <f>IFERROR(__xludf.DUMMYFUNCTION("GOOGLETRANSLATE(D:D,""auto"",""en"")"),"Dr. Qinghua stay home to a cat talk function")</f>
        <v>Dr. Qinghua stay home to a cat talk function</v>
      </c>
      <c r="D1368" s="4" t="s">
        <v>2207</v>
      </c>
      <c r="E1368" s="4">
        <v>9386332.0</v>
      </c>
      <c r="F1368" s="4">
        <v>17.0</v>
      </c>
      <c r="G1368" s="4" t="s">
        <v>2208</v>
      </c>
    </row>
    <row r="1369">
      <c r="A1369" s="1">
        <v>1367.0</v>
      </c>
      <c r="B1369" s="4" t="s">
        <v>2178</v>
      </c>
      <c r="C1369" s="4" t="str">
        <f>IFERROR(__xludf.DUMMYFUNCTION("GOOGLETRANSLATE(D:D,""auto"",""en"")"),"One week or 10 days epidemic reached its peak")</f>
        <v>One week or 10 days epidemic reached its peak</v>
      </c>
      <c r="D1369" s="4" t="s">
        <v>2209</v>
      </c>
      <c r="E1369" s="4">
        <v>9318114.0</v>
      </c>
      <c r="F1369" s="4">
        <v>18.0</v>
      </c>
      <c r="G1369" s="4" t="s">
        <v>2210</v>
      </c>
    </row>
    <row r="1370">
      <c r="A1370" s="1">
        <v>1368.0</v>
      </c>
      <c r="B1370" s="4" t="s">
        <v>2178</v>
      </c>
      <c r="C1370" s="4" t="str">
        <f>IFERROR(__xludf.DUMMYFUNCTION("GOOGLETRANSLATE(D:D,""auto"",""en"")"),"Guangxi Jixun over 5000 fellow passengers")</f>
        <v>Guangxi Jixun over 5000 fellow passengers</v>
      </c>
      <c r="D1370" s="4" t="s">
        <v>2211</v>
      </c>
      <c r="E1370" s="4">
        <v>9285687.0</v>
      </c>
      <c r="F1370" s="4">
        <v>19.0</v>
      </c>
      <c r="G1370" s="4" t="s">
        <v>2212</v>
      </c>
    </row>
    <row r="1371">
      <c r="A1371" s="1">
        <v>1369.0</v>
      </c>
      <c r="B1371" s="4" t="s">
        <v>2178</v>
      </c>
      <c r="C1371" s="4" t="str">
        <f>IFERROR(__xludf.DUMMYFUNCTION("GOOGLETRANSLATE(D:D,""auto"",""en"")"),"Wei health committee to respond to published data and network transmission Mom")</f>
        <v>Wei health committee to respond to published data and network transmission Mom</v>
      </c>
      <c r="D1371" s="4" t="s">
        <v>2213</v>
      </c>
      <c r="E1371" s="4">
        <v>9260373.0</v>
      </c>
      <c r="F1371" s="4">
        <v>20.0</v>
      </c>
      <c r="G1371" s="4" t="s">
        <v>2214</v>
      </c>
    </row>
    <row r="1372">
      <c r="A1372" s="1">
        <v>1370.0</v>
      </c>
      <c r="B1372" s="4" t="s">
        <v>2178</v>
      </c>
      <c r="C1372" s="4" t="str">
        <f>IFERROR(__xludf.DUMMYFUNCTION("GOOGLETRANSLATE(D:D,""auto"",""en"")"),"Yi Xi smelt one thousand teach you to make bread")</f>
        <v>Yi Xi smelt one thousand teach you to make bread</v>
      </c>
      <c r="D1372" s="4" t="s">
        <v>2215</v>
      </c>
      <c r="E1372" s="4">
        <v>9121366.0</v>
      </c>
      <c r="F1372" s="4">
        <v>21.0</v>
      </c>
      <c r="G1372" s="4" t="s">
        <v>2216</v>
      </c>
    </row>
    <row r="1373">
      <c r="A1373" s="1">
        <v>1371.0</v>
      </c>
      <c r="B1373" s="4" t="s">
        <v>2178</v>
      </c>
      <c r="C1373" s="4" t="str">
        <f>IFERROR(__xludf.DUMMYFUNCTION("GOOGLETRANSLATE(D:D,""auto"",""en"")"),"Nearly 6,000 people nationwide medical support Hubei")</f>
        <v>Nearly 6,000 people nationwide medical support Hubei</v>
      </c>
      <c r="D1373" s="4" t="s">
        <v>2217</v>
      </c>
      <c r="E1373" s="4">
        <v>9062758.0</v>
      </c>
      <c r="F1373" s="4">
        <v>22.0</v>
      </c>
      <c r="G1373" s="4" t="s">
        <v>2218</v>
      </c>
    </row>
    <row r="1374">
      <c r="A1374" s="1">
        <v>1372.0</v>
      </c>
      <c r="B1374" s="4" t="s">
        <v>2178</v>
      </c>
      <c r="C1374" s="4" t="str">
        <f>IFERROR(__xludf.DUMMYFUNCTION("GOOGLETRANSLATE(D:D,""auto"",""en"")"),"Vulcan Hill Hospital Ward released the first Open House")</f>
        <v>Vulcan Hill Hospital Ward released the first Open House</v>
      </c>
      <c r="D1374" s="4" t="s">
        <v>2219</v>
      </c>
      <c r="E1374" s="4">
        <v>9059521.0</v>
      </c>
      <c r="F1374" s="4">
        <v>23.0</v>
      </c>
      <c r="G1374" s="4" t="s">
        <v>2220</v>
      </c>
    </row>
    <row r="1375">
      <c r="A1375" s="1">
        <v>1373.0</v>
      </c>
      <c r="B1375" s="4" t="s">
        <v>2178</v>
      </c>
      <c r="C1375" s="4" t="str">
        <f>IFERROR(__xludf.DUMMYFUNCTION("GOOGLETRANSLATE(D:D,""auto"",""en"")"),"New Year pajamas contest")</f>
        <v>New Year pajamas contest</v>
      </c>
      <c r="D1375" s="4" t="s">
        <v>2221</v>
      </c>
      <c r="E1375" s="4">
        <v>9039206.0</v>
      </c>
      <c r="F1375" s="4">
        <v>24.0</v>
      </c>
      <c r="G1375" s="4" t="s">
        <v>2222</v>
      </c>
    </row>
    <row r="1376">
      <c r="A1376" s="1">
        <v>1374.0</v>
      </c>
      <c r="B1376" s="4" t="s">
        <v>2178</v>
      </c>
      <c r="C1376" s="4" t="str">
        <f>IFERROR(__xludf.DUMMYFUNCTION("GOOGLETRANSLATE(D:D,""auto"",""en"")"),"Experts respond if need be extended for holidays")</f>
        <v>Experts respond if need be extended for holidays</v>
      </c>
      <c r="D1376" s="4" t="s">
        <v>2223</v>
      </c>
      <c r="E1376" s="4">
        <v>9036819.0</v>
      </c>
      <c r="F1376" s="4">
        <v>25.0</v>
      </c>
      <c r="G1376" s="4" t="s">
        <v>2224</v>
      </c>
    </row>
    <row r="1377">
      <c r="A1377" s="1">
        <v>1375.0</v>
      </c>
      <c r="B1377" s="4" t="s">
        <v>2178</v>
      </c>
      <c r="C1377" s="4" t="str">
        <f>IFERROR(__xludf.DUMMYFUNCTION("GOOGLETRANSLATE(D:D,""auto"",""en"")"),"Zhong Nanshan to support medical refueling Hubei")</f>
        <v>Zhong Nanshan to support medical refueling Hubei</v>
      </c>
      <c r="D1377" s="4" t="s">
        <v>2225</v>
      </c>
      <c r="E1377" s="4">
        <v>8959067.0</v>
      </c>
      <c r="F1377" s="4">
        <v>26.0</v>
      </c>
      <c r="G1377" s="4" t="s">
        <v>2226</v>
      </c>
    </row>
    <row r="1378">
      <c r="A1378" s="1">
        <v>1376.0</v>
      </c>
      <c r="B1378" s="4" t="s">
        <v>2178</v>
      </c>
      <c r="C1378" s="4" t="str">
        <f>IFERROR(__xludf.DUMMYFUNCTION("GOOGLETRANSLATE(D:D,""auto"",""en"")"),"Zhong Nanshan, a massive increase in cases not")</f>
        <v>Zhong Nanshan, a massive increase in cases not</v>
      </c>
      <c r="D1378" s="4" t="s">
        <v>2227</v>
      </c>
      <c r="E1378" s="4">
        <v>8892527.0</v>
      </c>
      <c r="F1378" s="4">
        <v>27.0</v>
      </c>
      <c r="G1378" s="4" t="s">
        <v>2228</v>
      </c>
    </row>
    <row r="1379">
      <c r="A1379" s="1">
        <v>1377.0</v>
      </c>
      <c r="B1379" s="4" t="s">
        <v>2178</v>
      </c>
      <c r="C1379" s="4" t="str">
        <f>IFERROR(__xludf.DUMMYFUNCTION("GOOGLETRANSLATE(D:D,""auto"",""en"")"),"Notice of the Ministry of Education school extension")</f>
        <v>Notice of the Ministry of Education school extension</v>
      </c>
      <c r="D1379" s="4" t="s">
        <v>2229</v>
      </c>
      <c r="E1379" s="4">
        <v>8881702.0</v>
      </c>
      <c r="F1379" s="4">
        <v>28.0</v>
      </c>
      <c r="G1379" s="4" t="s">
        <v>2230</v>
      </c>
    </row>
    <row r="1380">
      <c r="A1380" s="1">
        <v>1378.0</v>
      </c>
      <c r="B1380" s="4" t="s">
        <v>2178</v>
      </c>
      <c r="C1380" s="4" t="str">
        <f>IFERROR(__xludf.DUMMYFUNCTION("GOOGLETRANSLATE(D:D,""auto"",""en"")"),"Wang Yibo Sword Dance")</f>
        <v>Wang Yibo Sword Dance</v>
      </c>
      <c r="D1380" s="4" t="s">
        <v>2231</v>
      </c>
      <c r="E1380" s="4">
        <v>8852404.0</v>
      </c>
      <c r="F1380" s="4">
        <v>29.0</v>
      </c>
      <c r="G1380" s="4" t="s">
        <v>2232</v>
      </c>
    </row>
    <row r="1381">
      <c r="A1381" s="1">
        <v>1379.0</v>
      </c>
      <c r="B1381" s="4" t="s">
        <v>2178</v>
      </c>
      <c r="C1381" s="4" t="str">
        <f>IFERROR(__xludf.DUMMYFUNCTION("GOOGLETRANSLATE(D:D,""auto"",""en"")"),"New pneumonia asymptomatic infection")</f>
        <v>New pneumonia asymptomatic infection</v>
      </c>
      <c r="D1381" s="4" t="s">
        <v>2233</v>
      </c>
      <c r="E1381" s="4">
        <v>8822528.0</v>
      </c>
      <c r="F1381" s="4">
        <v>30.0</v>
      </c>
      <c r="G1381" s="4" t="s">
        <v>2234</v>
      </c>
    </row>
    <row r="1382">
      <c r="A1382" s="1">
        <v>1380.0</v>
      </c>
      <c r="B1382" s="4" t="s">
        <v>2178</v>
      </c>
      <c r="C1382" s="4" t="str">
        <f>IFERROR(__xludf.DUMMYFUNCTION("GOOGLETRANSLATE(D:D,""auto"",""en"")"),"Hubei new confirmed cases 1291 cases")</f>
        <v>Hubei new confirmed cases 1291 cases</v>
      </c>
      <c r="D1382" s="4" t="s">
        <v>2235</v>
      </c>
      <c r="E1382" s="4">
        <v>8784933.0</v>
      </c>
      <c r="F1382" s="4">
        <v>31.0</v>
      </c>
      <c r="G1382" s="4" t="s">
        <v>2236</v>
      </c>
    </row>
    <row r="1383">
      <c r="A1383" s="1">
        <v>1381.0</v>
      </c>
      <c r="B1383" s="4" t="s">
        <v>2178</v>
      </c>
      <c r="C1383" s="4" t="str">
        <f>IFERROR(__xludf.DUMMYFUNCTION("GOOGLETRANSLATE(D:D,""auto"",""en"")"),"Ten times the purchase price of pharmacies selling masks fined 3 million")</f>
        <v>Ten times the purchase price of pharmacies selling masks fined 3 million</v>
      </c>
      <c r="D1383" s="4" t="s">
        <v>2237</v>
      </c>
      <c r="E1383" s="4">
        <v>8748927.0</v>
      </c>
      <c r="F1383" s="4">
        <v>32.0</v>
      </c>
      <c r="G1383" s="4" t="s">
        <v>2238</v>
      </c>
    </row>
    <row r="1384">
      <c r="A1384" s="1">
        <v>1382.0</v>
      </c>
      <c r="B1384" s="4" t="s">
        <v>2178</v>
      </c>
      <c r="C1384" s="4" t="str">
        <f>IFERROR(__xludf.DUMMYFUNCTION("GOOGLETRANSLATE(D:D,""auto"",""en"")"),"Consumers questioned masks were beaten too expensive")</f>
        <v>Consumers questioned masks were beaten too expensive</v>
      </c>
      <c r="D1384" s="4" t="s">
        <v>2239</v>
      </c>
      <c r="E1384" s="4">
        <v>8705609.0</v>
      </c>
      <c r="F1384" s="4">
        <v>33.0</v>
      </c>
      <c r="G1384" s="4" t="s">
        <v>2240</v>
      </c>
    </row>
    <row r="1385">
      <c r="A1385" s="1">
        <v>1383.0</v>
      </c>
      <c r="B1385" s="4" t="s">
        <v>2178</v>
      </c>
      <c r="C1385" s="4" t="str">
        <f>IFERROR(__xludf.DUMMYFUNCTION("GOOGLETRANSLATE(D:D,""auto"",""en"")"),"Henan 300 households a cell to be isolated 14 days")</f>
        <v>Henan 300 households a cell to be isolated 14 days</v>
      </c>
      <c r="D1385" s="4" t="s">
        <v>2241</v>
      </c>
      <c r="E1385" s="4">
        <v>8645769.0</v>
      </c>
      <c r="F1385" s="4">
        <v>34.0</v>
      </c>
      <c r="G1385" s="4" t="s">
        <v>2242</v>
      </c>
    </row>
    <row r="1386">
      <c r="A1386" s="1">
        <v>1384.0</v>
      </c>
      <c r="B1386" s="4" t="s">
        <v>2178</v>
      </c>
      <c r="C1386" s="4" t="str">
        <f>IFERROR(__xludf.DUMMYFUNCTION("GOOGLETRANSLATE(D:D,""auto"",""en"")"),"Tribute to James Bryant")</f>
        <v>Tribute to James Bryant</v>
      </c>
      <c r="D1386" s="4" t="s">
        <v>2243</v>
      </c>
      <c r="E1386" s="4">
        <v>8636868.0</v>
      </c>
      <c r="F1386" s="4">
        <v>35.0</v>
      </c>
      <c r="G1386" s="4" t="s">
        <v>2244</v>
      </c>
    </row>
    <row r="1387">
      <c r="A1387" s="1">
        <v>1385.0</v>
      </c>
      <c r="B1387" s="4" t="s">
        <v>2178</v>
      </c>
      <c r="C1387" s="4" t="str">
        <f>IFERROR(__xludf.DUMMYFUNCTION("GOOGLETRANSLATE(D:D,""auto"",""en"")"),"Wuhan Red Cross service charge is rumor")</f>
        <v>Wuhan Red Cross service charge is rumor</v>
      </c>
      <c r="D1387" s="4" t="s">
        <v>2245</v>
      </c>
      <c r="E1387" s="4">
        <v>8602315.0</v>
      </c>
      <c r="F1387" s="4">
        <v>36.0</v>
      </c>
      <c r="G1387" s="4" t="s">
        <v>2246</v>
      </c>
    </row>
    <row r="1388">
      <c r="A1388" s="1">
        <v>1386.0</v>
      </c>
      <c r="B1388" s="4" t="s">
        <v>2178</v>
      </c>
      <c r="C1388" s="4" t="str">
        <f>IFERROR(__xludf.DUMMYFUNCTION("GOOGLETRANSLATE(D:D,""auto"",""en"")"),"These days the girl's hair")</f>
        <v>These days the girl's hair</v>
      </c>
      <c r="D1388" s="4" t="s">
        <v>2247</v>
      </c>
      <c r="E1388" s="4">
        <v>8558027.0</v>
      </c>
      <c r="F1388" s="4">
        <v>37.0</v>
      </c>
      <c r="G1388" s="4" t="s">
        <v>2248</v>
      </c>
    </row>
    <row r="1389">
      <c r="A1389" s="1">
        <v>1387.0</v>
      </c>
      <c r="B1389" s="4" t="s">
        <v>2178</v>
      </c>
      <c r="C1389" s="4" t="str">
        <f>IFERROR(__xludf.DUMMYFUNCTION("GOOGLETRANSLATE(D:D,""auto"",""en"")"),"Anhui new confirmed cases in 36 cases")</f>
        <v>Anhui new confirmed cases in 36 cases</v>
      </c>
      <c r="D1389" s="4" t="s">
        <v>2249</v>
      </c>
      <c r="E1389" s="4">
        <v>8535250.0</v>
      </c>
      <c r="F1389" s="4">
        <v>38.0</v>
      </c>
      <c r="G1389" s="4" t="s">
        <v>2250</v>
      </c>
    </row>
    <row r="1390">
      <c r="A1390" s="1">
        <v>1388.0</v>
      </c>
      <c r="B1390" s="4" t="s">
        <v>2178</v>
      </c>
      <c r="C1390" s="4" t="str">
        <f>IFERROR(__xludf.DUMMYFUNCTION("GOOGLETRANSLATE(D:D,""auto"",""en"")"),"Tianjin, the first virus detection kit sent to Wuhan")</f>
        <v>Tianjin, the first virus detection kit sent to Wuhan</v>
      </c>
      <c r="D1390" s="4" t="s">
        <v>2251</v>
      </c>
      <c r="E1390" s="4">
        <v>8524227.0</v>
      </c>
      <c r="F1390" s="4">
        <v>39.0</v>
      </c>
      <c r="G1390" s="4" t="s">
        <v>2252</v>
      </c>
    </row>
    <row r="1391">
      <c r="A1391" s="1">
        <v>1389.0</v>
      </c>
      <c r="B1391" s="4" t="s">
        <v>2178</v>
      </c>
      <c r="C1391" s="4" t="str">
        <f>IFERROR(__xludf.DUMMYFUNCTION("GOOGLETRANSLATE(D:D,""auto"",""en"")"),"Earthquake survivors female nurse Qingzhan Wuhan")</f>
        <v>Earthquake survivors female nurse Qingzhan Wuhan</v>
      </c>
      <c r="D1391" s="4" t="s">
        <v>2253</v>
      </c>
      <c r="E1391" s="4">
        <v>8518715.0</v>
      </c>
      <c r="F1391" s="4">
        <v>40.0</v>
      </c>
      <c r="G1391" s="4" t="s">
        <v>2254</v>
      </c>
    </row>
    <row r="1392">
      <c r="A1392" s="1">
        <v>1390.0</v>
      </c>
      <c r="B1392" s="4" t="s">
        <v>2178</v>
      </c>
      <c r="C1392" s="4" t="str">
        <f>IFERROR(__xludf.DUMMYFUNCTION("GOOGLETRANSLATE(D:D,""auto"",""en"")"),"Year of the Rat good singing voice")</f>
        <v>Year of the Rat good singing voice</v>
      </c>
      <c r="D1392" s="4" t="s">
        <v>2255</v>
      </c>
      <c r="E1392" s="4">
        <v>8510933.0</v>
      </c>
      <c r="F1392" s="4">
        <v>41.0</v>
      </c>
      <c r="G1392" s="4" t="s">
        <v>2256</v>
      </c>
    </row>
    <row r="1393">
      <c r="A1393" s="1">
        <v>1391.0</v>
      </c>
      <c r="B1393" s="4" t="s">
        <v>2178</v>
      </c>
      <c r="C1393" s="4" t="str">
        <f>IFERROR(__xludf.DUMMYFUNCTION("GOOGLETRANSLATE(D:D,""auto"",""en"")"),"Around the village cadres propaganda loudspeakers pk")</f>
        <v>Around the village cadres propaganda loudspeakers pk</v>
      </c>
      <c r="D1393" s="4" t="s">
        <v>2257</v>
      </c>
      <c r="E1393" s="4">
        <v>8413471.0</v>
      </c>
      <c r="F1393" s="4">
        <v>42.0</v>
      </c>
      <c r="G1393" s="4" t="s">
        <v>2258</v>
      </c>
    </row>
    <row r="1394">
      <c r="A1394" s="1">
        <v>1392.0</v>
      </c>
      <c r="B1394" s="4" t="s">
        <v>2178</v>
      </c>
      <c r="C1394" s="4" t="str">
        <f>IFERROR(__xludf.DUMMYFUNCTION("GOOGLETRANSLATE(D:D,""auto"",""en"")"),"A cabbage sell 63.9 yuan fined 500,000")</f>
        <v>A cabbage sell 63.9 yuan fined 500,000</v>
      </c>
      <c r="D1394" s="4" t="s">
        <v>2259</v>
      </c>
      <c r="E1394" s="4">
        <v>8401943.0</v>
      </c>
      <c r="F1394" s="4">
        <v>43.0</v>
      </c>
      <c r="G1394" s="4" t="s">
        <v>2260</v>
      </c>
    </row>
    <row r="1395">
      <c r="A1395" s="1">
        <v>1393.0</v>
      </c>
      <c r="B1395" s="4" t="s">
        <v>2178</v>
      </c>
      <c r="C1395" s="4" t="str">
        <f>IFERROR(__xludf.DUMMYFUNCTION("GOOGLETRANSLATE(D:D,""auto"",""en"")"),"One person ran in front of the truth to the rumors")</f>
        <v>One person ran in front of the truth to the rumors</v>
      </c>
      <c r="D1395" s="4" t="s">
        <v>2261</v>
      </c>
      <c r="E1395" s="4">
        <v>8356847.0</v>
      </c>
      <c r="F1395" s="4">
        <v>44.0</v>
      </c>
      <c r="G1395" s="4" t="s">
        <v>2262</v>
      </c>
    </row>
    <row r="1396">
      <c r="A1396" s="1">
        <v>1394.0</v>
      </c>
      <c r="B1396" s="4" t="s">
        <v>2178</v>
      </c>
      <c r="C1396" s="4" t="str">
        <f>IFERROR(__xludf.DUMMYFUNCTION("GOOGLETRANSLATE(D:D,""auto"",""en"")"),"Chinese people in Japan return the country to mad to buy masks")</f>
        <v>Chinese people in Japan return the country to mad to buy masks</v>
      </c>
      <c r="D1396" s="4" t="s">
        <v>2263</v>
      </c>
      <c r="E1396" s="4">
        <v>8344280.0</v>
      </c>
      <c r="F1396" s="4">
        <v>45.0</v>
      </c>
      <c r="G1396" s="4" t="s">
        <v>2264</v>
      </c>
    </row>
    <row r="1397">
      <c r="A1397" s="1">
        <v>1395.0</v>
      </c>
      <c r="B1397" s="4" t="s">
        <v>2178</v>
      </c>
      <c r="C1397" s="4" t="str">
        <f>IFERROR(__xludf.DUMMYFUNCTION("GOOGLETRANSLATE(D:D,""auto"",""en"")"),"Shandong 20,000 goggles rush to the rescue Wuhan")</f>
        <v>Shandong 20,000 goggles rush to the rescue Wuhan</v>
      </c>
      <c r="D1397" s="4" t="s">
        <v>2265</v>
      </c>
      <c r="E1397" s="4">
        <v>8330837.0</v>
      </c>
      <c r="F1397" s="4">
        <v>46.0</v>
      </c>
      <c r="G1397" s="4" t="s">
        <v>2266</v>
      </c>
    </row>
    <row r="1398">
      <c r="A1398" s="1">
        <v>1396.0</v>
      </c>
      <c r="B1398" s="4" t="s">
        <v>2178</v>
      </c>
      <c r="C1398" s="4" t="str">
        <f>IFERROR(__xludf.DUMMYFUNCTION("GOOGLETRANSLATE(D:D,""auto"",""en"")"),"Jiangsu new new 23 cases of pneumonia")</f>
        <v>Jiangsu new new 23 cases of pneumonia</v>
      </c>
      <c r="D1398" s="4" t="s">
        <v>2267</v>
      </c>
      <c r="E1398" s="4">
        <v>8194677.0</v>
      </c>
      <c r="F1398" s="4">
        <v>47.0</v>
      </c>
      <c r="G1398" s="4" t="s">
        <v>2268</v>
      </c>
    </row>
    <row r="1399">
      <c r="A1399" s="1">
        <v>1397.0</v>
      </c>
      <c r="B1399" s="4" t="s">
        <v>2178</v>
      </c>
      <c r="C1399" s="4" t="str">
        <f>IFERROR(__xludf.DUMMYFUNCTION("GOOGLETRANSLATE(D:D,""auto"",""en"")"),"Chongqing 22 new confirmed cases")</f>
        <v>Chongqing 22 new confirmed cases</v>
      </c>
      <c r="D1399" s="4" t="s">
        <v>2269</v>
      </c>
      <c r="E1399" s="4">
        <v>8157553.0</v>
      </c>
      <c r="F1399" s="4">
        <v>48.0</v>
      </c>
      <c r="G1399" s="4" t="s">
        <v>2270</v>
      </c>
    </row>
    <row r="1400">
      <c r="A1400" s="1">
        <v>1398.0</v>
      </c>
      <c r="B1400" s="4" t="s">
        <v>2178</v>
      </c>
      <c r="C1400" s="4" t="str">
        <f>IFERROR(__xludf.DUMMYFUNCTION("GOOGLETRANSLATE(D:D,""auto"",""en"")"),"Shanxi 7 new confirmed cases")</f>
        <v>Shanxi 7 new confirmed cases</v>
      </c>
      <c r="D1400" s="4" t="s">
        <v>2271</v>
      </c>
      <c r="E1400" s="4">
        <v>8128072.0</v>
      </c>
      <c r="F1400" s="4">
        <v>49.0</v>
      </c>
      <c r="G1400" s="4" t="s">
        <v>2272</v>
      </c>
    </row>
    <row r="1401">
      <c r="A1401" s="1">
        <v>1399.0</v>
      </c>
      <c r="B1401" s="4" t="s">
        <v>2178</v>
      </c>
      <c r="C1401" s="4" t="str">
        <f>IFERROR(__xludf.DUMMYFUNCTION("GOOGLETRANSLATE(D:D,""auto"",""en"")"),"Guy leaving 500 masks ran")</f>
        <v>Guy leaving 500 masks ran</v>
      </c>
      <c r="D1401" s="4" t="s">
        <v>2273</v>
      </c>
      <c r="E1401" s="4">
        <v>8115130.0</v>
      </c>
      <c r="F1401" s="4">
        <v>50.0</v>
      </c>
      <c r="G1401" s="4" t="s">
        <v>2274</v>
      </c>
    </row>
    <row r="1402">
      <c r="A1402" s="1">
        <v>1400.0</v>
      </c>
      <c r="B1402" s="4" t="s">
        <v>2275</v>
      </c>
      <c r="C1402" s="4" t="str">
        <f>IFERROR(__xludf.DUMMYFUNCTION("GOOGLETRANSLATE(D:D,""auto"",""en"")"),"Of the total of confirmed cases increased to 5974 cases")</f>
        <v>Of the total of confirmed cases increased to 5974 cases</v>
      </c>
      <c r="D1402" s="4" t="s">
        <v>2276</v>
      </c>
      <c r="E1402" s="4">
        <v>1.2426399E7</v>
      </c>
      <c r="F1402" s="4">
        <v>1.0</v>
      </c>
      <c r="G1402" s="4" t="s">
        <v>2277</v>
      </c>
    </row>
    <row r="1403">
      <c r="A1403" s="1">
        <v>1401.0</v>
      </c>
      <c r="B1403" s="4" t="s">
        <v>2275</v>
      </c>
      <c r="C1403" s="4" t="str">
        <f>IFERROR(__xludf.DUMMYFUNCTION("GOOGLETRANSLATE(D:D,""auto"",""en"")"),"Experts respond asymptomatic patients with contagious")</f>
        <v>Experts respond asymptomatic patients with contagious</v>
      </c>
      <c r="D1403" s="4" t="s">
        <v>2278</v>
      </c>
      <c r="E1403" s="4">
        <v>1.213724E7</v>
      </c>
      <c r="F1403" s="4">
        <v>2.0</v>
      </c>
      <c r="G1403" s="4" t="s">
        <v>2279</v>
      </c>
    </row>
    <row r="1404">
      <c r="A1404" s="1">
        <v>1402.0</v>
      </c>
      <c r="B1404" s="4" t="s">
        <v>2275</v>
      </c>
      <c r="C1404" s="4" t="str">
        <f>IFERROR(__xludf.DUMMYFUNCTION("GOOGLETRANSLATE(D:D,""auto"",""en"")"),"Li Lanjuan from the vaccine have been close")</f>
        <v>Li Lanjuan from the vaccine have been close</v>
      </c>
      <c r="D1404" s="4" t="s">
        <v>2280</v>
      </c>
      <c r="E1404" s="4">
        <v>1.1833001E7</v>
      </c>
      <c r="F1404" s="4">
        <v>3.0</v>
      </c>
      <c r="G1404" s="4" t="s">
        <v>2281</v>
      </c>
    </row>
    <row r="1405">
      <c r="A1405" s="1">
        <v>1403.0</v>
      </c>
      <c r="B1405" s="4" t="s">
        <v>2275</v>
      </c>
      <c r="C1405" s="4" t="str">
        <f>IFERROR(__xludf.DUMMYFUNCTION("GOOGLETRANSLATE(D:D,""auto"",""en"")"),"JJ Stay With You")</f>
        <v>JJ Stay With You</v>
      </c>
      <c r="D1405" s="4" t="s">
        <v>2282</v>
      </c>
      <c r="E1405" s="4">
        <v>1.1543873E7</v>
      </c>
      <c r="F1405" s="4">
        <v>4.0</v>
      </c>
      <c r="G1405" s="4" t="s">
        <v>2283</v>
      </c>
    </row>
    <row r="1406">
      <c r="A1406" s="1">
        <v>1404.0</v>
      </c>
      <c r="B1406" s="4" t="s">
        <v>2275</v>
      </c>
      <c r="C1406" s="4" t="str">
        <f>IFERROR(__xludf.DUMMYFUNCTION("GOOGLETRANSLATE(D:D,""auto"",""en"")"),"Bryant crash all nine bodies found")</f>
        <v>Bryant crash all nine bodies found</v>
      </c>
      <c r="D1406" s="4" t="s">
        <v>2284</v>
      </c>
      <c r="E1406" s="4">
        <v>1.1306314E7</v>
      </c>
      <c r="F1406" s="4">
        <v>5.0</v>
      </c>
      <c r="G1406" s="4" t="s">
        <v>2285</v>
      </c>
    </row>
    <row r="1407">
      <c r="A1407" s="1">
        <v>1405.0</v>
      </c>
      <c r="B1407" s="4" t="s">
        <v>2275</v>
      </c>
      <c r="C1407" s="4" t="str">
        <f>IFERROR(__xludf.DUMMYFUNCTION("GOOGLETRANSLATE(D:D,""auto"",""en"")"),"The number of new diagnosed SARS pneumonia than")</f>
        <v>The number of new diagnosed SARS pneumonia than</v>
      </c>
      <c r="D1407" s="4" t="s">
        <v>2286</v>
      </c>
      <c r="E1407" s="4">
        <v>1.1060341E7</v>
      </c>
      <c r="F1407" s="4">
        <v>6.0</v>
      </c>
      <c r="G1407" s="4" t="s">
        <v>2287</v>
      </c>
    </row>
    <row r="1408">
      <c r="A1408" s="1">
        <v>1406.0</v>
      </c>
      <c r="B1408" s="4" t="s">
        <v>2275</v>
      </c>
      <c r="C1408" s="4" t="str">
        <f>IFERROR(__xludf.DUMMYFUNCTION("GOOGLETRANSLATE(D:D,""auto"",""en"")"),"A wide variety of pastime")</f>
        <v>A wide variety of pastime</v>
      </c>
      <c r="D1408" s="4" t="s">
        <v>2288</v>
      </c>
      <c r="E1408" s="4">
        <v>1.074748E7</v>
      </c>
      <c r="F1408" s="4">
        <v>7.0</v>
      </c>
      <c r="G1408" s="4" t="s">
        <v>2289</v>
      </c>
    </row>
    <row r="1409">
      <c r="A1409" s="1">
        <v>1407.0</v>
      </c>
      <c r="B1409" s="4" t="s">
        <v>2275</v>
      </c>
      <c r="C1409" s="4" t="str">
        <f>IFERROR(__xludf.DUMMYFUNCTION("GOOGLETRANSLATE(D:D,""auto"",""en"")"),"Guangdong new new 53 cases of pneumonia")</f>
        <v>Guangdong new new 53 cases of pneumonia</v>
      </c>
      <c r="D1409" s="4" t="s">
        <v>2290</v>
      </c>
      <c r="E1409" s="4">
        <v>1.0475562E7</v>
      </c>
      <c r="F1409" s="4">
        <v>8.0</v>
      </c>
      <c r="G1409" s="4" t="s">
        <v>2291</v>
      </c>
    </row>
    <row r="1410">
      <c r="A1410" s="1">
        <v>1408.0</v>
      </c>
      <c r="B1410" s="4" t="s">
        <v>2275</v>
      </c>
      <c r="C1410" s="4" t="str">
        <f>IFERROR(__xludf.DUMMYFUNCTION("GOOGLETRANSLATE(D:D,""auto"",""en"")"),"Zhejiang new 123 cases of new pneumonia")</f>
        <v>Zhejiang new 123 cases of new pneumonia</v>
      </c>
      <c r="D1410" s="4" t="s">
        <v>2292</v>
      </c>
      <c r="E1410" s="4">
        <v>1.0179827E7</v>
      </c>
      <c r="F1410" s="4">
        <v>9.0</v>
      </c>
      <c r="G1410" s="4" t="s">
        <v>2293</v>
      </c>
    </row>
    <row r="1411">
      <c r="A1411" s="1">
        <v>1409.0</v>
      </c>
      <c r="B1411" s="4" t="s">
        <v>2275</v>
      </c>
      <c r="C1411" s="4" t="str">
        <f>IFERROR(__xludf.DUMMYFUNCTION("GOOGLETRANSLATE(D:D,""auto"",""en"")"),"Guizhou No new pneumonia 28 new cases")</f>
        <v>Guizhou No new pneumonia 28 new cases</v>
      </c>
      <c r="D1411" s="4" t="s">
        <v>2294</v>
      </c>
      <c r="E1411" s="4">
        <v>9917222.0</v>
      </c>
      <c r="F1411" s="4">
        <v>10.0</v>
      </c>
      <c r="G1411" s="4" t="s">
        <v>2295</v>
      </c>
    </row>
    <row r="1412">
      <c r="A1412" s="1">
        <v>1410.0</v>
      </c>
      <c r="B1412" s="4" t="s">
        <v>2275</v>
      </c>
      <c r="C1412" s="4" t="str">
        <f>IFERROR(__xludf.DUMMYFUNCTION("GOOGLETRANSLATE(D:D,""auto"",""en"")"),"These days the girl's hair")</f>
        <v>These days the girl's hair</v>
      </c>
      <c r="D1412" s="4" t="s">
        <v>2247</v>
      </c>
      <c r="E1412" s="4">
        <v>9910245.0</v>
      </c>
      <c r="F1412" s="4">
        <v>11.0</v>
      </c>
      <c r="G1412" s="4" t="s">
        <v>2248</v>
      </c>
    </row>
    <row r="1413">
      <c r="A1413" s="1">
        <v>1411.0</v>
      </c>
      <c r="B1413" s="4" t="s">
        <v>2275</v>
      </c>
      <c r="C1413" s="4" t="str">
        <f>IFERROR(__xludf.DUMMYFUNCTION("GOOGLETRANSLATE(D:D,""auto"",""en"")"),"Three drugs inhibit the virus better")</f>
        <v>Three drugs inhibit the virus better</v>
      </c>
      <c r="D1413" s="4" t="s">
        <v>2296</v>
      </c>
      <c r="E1413" s="4">
        <v>9657387.0</v>
      </c>
      <c r="F1413" s="4">
        <v>12.0</v>
      </c>
      <c r="G1413" s="4" t="s">
        <v>2297</v>
      </c>
    </row>
    <row r="1414">
      <c r="A1414" s="1">
        <v>1412.0</v>
      </c>
      <c r="B1414" s="4" t="s">
        <v>2275</v>
      </c>
      <c r="C1414" s="4" t="str">
        <f>IFERROR(__xludf.DUMMYFUNCTION("GOOGLETRANSLATE(D:D,""auto"",""en"")"),"Year of the Rat good singing voice")</f>
        <v>Year of the Rat good singing voice</v>
      </c>
      <c r="D1414" s="4" t="s">
        <v>2255</v>
      </c>
      <c r="E1414" s="4">
        <v>9527498.0</v>
      </c>
      <c r="F1414" s="4">
        <v>13.0</v>
      </c>
      <c r="G1414" s="4" t="s">
        <v>2256</v>
      </c>
    </row>
    <row r="1415">
      <c r="A1415" s="1">
        <v>1413.0</v>
      </c>
      <c r="B1415" s="4" t="s">
        <v>2275</v>
      </c>
      <c r="C1415" s="4" t="str">
        <f>IFERROR(__xludf.DUMMYFUNCTION("GOOGLETRANSLATE(D:D,""auto"",""en"")"),"New students will be six people infected with pneumonia")</f>
        <v>New students will be six people infected with pneumonia</v>
      </c>
      <c r="D1415" s="4" t="s">
        <v>2298</v>
      </c>
      <c r="E1415" s="4">
        <v>9425379.0</v>
      </c>
      <c r="F1415" s="4">
        <v>14.0</v>
      </c>
      <c r="G1415" s="4" t="s">
        <v>2299</v>
      </c>
    </row>
    <row r="1416">
      <c r="A1416" s="1">
        <v>1414.0</v>
      </c>
      <c r="B1416" s="4" t="s">
        <v>2275</v>
      </c>
      <c r="C1416" s="4" t="str">
        <f>IFERROR(__xludf.DUMMYFUNCTION("GOOGLETRANSLATE(D:D,""auto"",""en"")"),"The new outbreak of pneumonia may improve before the Lantern Festival")</f>
        <v>The new outbreak of pneumonia may improve before the Lantern Festival</v>
      </c>
      <c r="D1416" s="4" t="s">
        <v>2300</v>
      </c>
      <c r="E1416" s="4">
        <v>9397610.0</v>
      </c>
      <c r="F1416" s="4">
        <v>15.0</v>
      </c>
      <c r="G1416" s="4" t="s">
        <v>2301</v>
      </c>
    </row>
    <row r="1417">
      <c r="A1417" s="1">
        <v>1415.0</v>
      </c>
      <c r="B1417" s="4" t="s">
        <v>2275</v>
      </c>
      <c r="C1417" s="4" t="str">
        <f>IFERROR(__xludf.DUMMYFUNCTION("GOOGLETRANSLATE(D:D,""auto"",""en"")"),"Zhong Nanshan, a massive increase in cases not")</f>
        <v>Zhong Nanshan, a massive increase in cases not</v>
      </c>
      <c r="D1417" s="4" t="s">
        <v>2227</v>
      </c>
      <c r="E1417" s="4">
        <v>9368361.0</v>
      </c>
      <c r="F1417" s="4">
        <v>16.0</v>
      </c>
      <c r="G1417" s="4" t="s">
        <v>2228</v>
      </c>
    </row>
    <row r="1418">
      <c r="A1418" s="1">
        <v>1416.0</v>
      </c>
      <c r="B1418" s="4" t="s">
        <v>2275</v>
      </c>
      <c r="C1418" s="4" t="str">
        <f>IFERROR(__xludf.DUMMYFUNCTION("GOOGLETRANSLATE(D:D,""auto"",""en"")"),"Hefei public to send a 200 masks to the police station")</f>
        <v>Hefei public to send a 200 masks to the police station</v>
      </c>
      <c r="D1418" s="4" t="s">
        <v>2302</v>
      </c>
      <c r="E1418" s="4">
        <v>9218332.0</v>
      </c>
      <c r="F1418" s="4">
        <v>17.0</v>
      </c>
      <c r="G1418" s="4" t="s">
        <v>2303</v>
      </c>
    </row>
    <row r="1419">
      <c r="A1419" s="1">
        <v>1417.0</v>
      </c>
      <c r="B1419" s="4" t="s">
        <v>2275</v>
      </c>
      <c r="C1419" s="4" t="str">
        <f>IFERROR(__xludf.DUMMYFUNCTION("GOOGLETRANSLATE(D:D,""auto"",""en"")"),"Japan confirmed tour bus driver was carrying Dalian")</f>
        <v>Japan confirmed tour bus driver was carrying Dalian</v>
      </c>
      <c r="D1419" s="4" t="s">
        <v>2304</v>
      </c>
      <c r="E1419" s="4">
        <v>9185233.0</v>
      </c>
      <c r="F1419" s="4">
        <v>18.0</v>
      </c>
      <c r="G1419" s="4" t="s">
        <v>2305</v>
      </c>
    </row>
    <row r="1420">
      <c r="A1420" s="1">
        <v>1418.0</v>
      </c>
      <c r="B1420" s="4" t="s">
        <v>2275</v>
      </c>
      <c r="C1420" s="4" t="str">
        <f>IFERROR(__xludf.DUMMYFUNCTION("GOOGLETRANSLATE(D:D,""auto"",""en"")"),"Wuhan 87-year-old mother cured")</f>
        <v>Wuhan 87-year-old mother cured</v>
      </c>
      <c r="D1420" s="4" t="s">
        <v>2306</v>
      </c>
      <c r="E1420" s="4">
        <v>9184367.0</v>
      </c>
      <c r="F1420" s="4">
        <v>19.0</v>
      </c>
      <c r="G1420" s="4" t="s">
        <v>2307</v>
      </c>
    </row>
    <row r="1421">
      <c r="A1421" s="1">
        <v>1419.0</v>
      </c>
      <c r="B1421" s="4" t="s">
        <v>2275</v>
      </c>
      <c r="C1421" s="4" t="str">
        <f>IFERROR(__xludf.DUMMYFUNCTION("GOOGLETRANSLATE(D:D,""auto"",""en"")"),"Students will be infected with a new type of pneumonia 6")</f>
        <v>Students will be infected with a new type of pneumonia 6</v>
      </c>
      <c r="D1421" s="4" t="s">
        <v>2308</v>
      </c>
      <c r="E1421" s="4">
        <v>8976231.0</v>
      </c>
      <c r="F1421" s="4">
        <v>20.0</v>
      </c>
      <c r="G1421" s="4" t="s">
        <v>2309</v>
      </c>
    </row>
    <row r="1422">
      <c r="A1422" s="1">
        <v>1420.0</v>
      </c>
      <c r="B1422" s="4" t="s">
        <v>2275</v>
      </c>
      <c r="C1422" s="4" t="str">
        <f>IFERROR(__xludf.DUMMYFUNCTION("GOOGLETRANSLATE(D:D,""auto"",""en"")"),"Henan new new 38 cases of pneumonia")</f>
        <v>Henan new new 38 cases of pneumonia</v>
      </c>
      <c r="D1422" s="4" t="s">
        <v>2310</v>
      </c>
      <c r="E1422" s="4">
        <v>8812257.0</v>
      </c>
      <c r="F1422" s="4">
        <v>21.0</v>
      </c>
      <c r="G1422" s="4" t="s">
        <v>2311</v>
      </c>
    </row>
    <row r="1423">
      <c r="A1423" s="1">
        <v>1421.0</v>
      </c>
      <c r="B1423" s="4" t="s">
        <v>2275</v>
      </c>
      <c r="C1423" s="4" t="str">
        <f>IFERROR(__xludf.DUMMYFUNCTION("GOOGLETRANSLATE(D:D,""auto"",""en"")"),"Anhui's first confirmed cases were cured")</f>
        <v>Anhui's first confirmed cases were cured</v>
      </c>
      <c r="D1423" s="4" t="s">
        <v>2312</v>
      </c>
      <c r="E1423" s="4">
        <v>8786102.0</v>
      </c>
      <c r="F1423" s="4">
        <v>22.0</v>
      </c>
      <c r="G1423" s="4" t="s">
        <v>2313</v>
      </c>
    </row>
    <row r="1424">
      <c r="A1424" s="1">
        <v>1422.0</v>
      </c>
      <c r="B1424" s="4" t="s">
        <v>2275</v>
      </c>
      <c r="C1424" s="4" t="str">
        <f>IFERROR(__xludf.DUMMYFUNCTION("GOOGLETRANSLATE(D:D,""auto"",""en"")"),"Each team play live Memorial Kobe")</f>
        <v>Each team play live Memorial Kobe</v>
      </c>
      <c r="D1424" s="4" t="s">
        <v>2314</v>
      </c>
      <c r="E1424" s="4">
        <v>8782860.0</v>
      </c>
      <c r="F1424" s="4">
        <v>23.0</v>
      </c>
      <c r="G1424" s="4" t="s">
        <v>2315</v>
      </c>
    </row>
    <row r="1425">
      <c r="A1425" s="1">
        <v>1423.0</v>
      </c>
      <c r="B1425" s="4" t="s">
        <v>2275</v>
      </c>
      <c r="C1425" s="4" t="str">
        <f>IFERROR(__xludf.DUMMYFUNCTION("GOOGLETRANSLATE(D:D,""auto"",""en"")"),"Xiaozhan eat gold dumplings")</f>
        <v>Xiaozhan eat gold dumplings</v>
      </c>
      <c r="D1425" s="4" t="s">
        <v>2316</v>
      </c>
      <c r="E1425" s="4">
        <v>8671484.0</v>
      </c>
      <c r="F1425" s="4">
        <v>24.0</v>
      </c>
      <c r="G1425" s="4" t="s">
        <v>2317</v>
      </c>
    </row>
    <row r="1426">
      <c r="A1426" s="1">
        <v>1424.0</v>
      </c>
      <c r="B1426" s="4" t="s">
        <v>2275</v>
      </c>
      <c r="C1426" s="4" t="str">
        <f>IFERROR(__xludf.DUMMYFUNCTION("GOOGLETRANSLATE(D:D,""auto"",""en"")"),"Hubei new confirmed cases 840 cases")</f>
        <v>Hubei new confirmed cases 840 cases</v>
      </c>
      <c r="D1426" s="4" t="s">
        <v>2318</v>
      </c>
      <c r="E1426" s="4">
        <v>8494960.0</v>
      </c>
      <c r="F1426" s="4">
        <v>25.0</v>
      </c>
      <c r="G1426" s="4" t="s">
        <v>2319</v>
      </c>
    </row>
    <row r="1427">
      <c r="A1427" s="1">
        <v>1425.0</v>
      </c>
      <c r="B1427" s="4" t="s">
        <v>2275</v>
      </c>
      <c r="C1427" s="4" t="str">
        <f>IFERROR(__xludf.DUMMYFUNCTION("GOOGLETRANSLATE(D:D,""auto"",""en"")"),"Wuxi deck rollover accidents 17 officials have been processed")</f>
        <v>Wuxi deck rollover accidents 17 officials have been processed</v>
      </c>
      <c r="D1427" s="4" t="s">
        <v>2320</v>
      </c>
      <c r="E1427" s="4">
        <v>8443434.0</v>
      </c>
      <c r="F1427" s="4">
        <v>26.0</v>
      </c>
      <c r="G1427" s="4" t="s">
        <v>2321</v>
      </c>
    </row>
    <row r="1428">
      <c r="A1428" s="1">
        <v>1426.0</v>
      </c>
      <c r="B1428" s="4" t="s">
        <v>2275</v>
      </c>
      <c r="C1428" s="4" t="str">
        <f>IFERROR(__xludf.DUMMYFUNCTION("GOOGLETRANSLATE(D:D,""auto"",""en"")"),"Shandong new new 26 cases of pneumonia")</f>
        <v>Shandong new new 26 cases of pneumonia</v>
      </c>
      <c r="D1428" s="4" t="s">
        <v>2322</v>
      </c>
      <c r="E1428" s="4">
        <v>8420672.0</v>
      </c>
      <c r="F1428" s="4">
        <v>27.0</v>
      </c>
      <c r="G1428" s="4" t="s">
        <v>2323</v>
      </c>
    </row>
    <row r="1429">
      <c r="A1429" s="1">
        <v>1427.0</v>
      </c>
      <c r="B1429" s="4" t="s">
        <v>2275</v>
      </c>
      <c r="C1429" s="4" t="str">
        <f>IFERROR(__xludf.DUMMYFUNCTION("GOOGLETRANSLATE(D:D,""auto"",""en"")"),"Veterans buy 4000 masks distributed to the public")</f>
        <v>Veterans buy 4000 masks distributed to the public</v>
      </c>
      <c r="D1429" s="4" t="s">
        <v>2324</v>
      </c>
      <c r="E1429" s="4">
        <v>8376583.0</v>
      </c>
      <c r="F1429" s="4">
        <v>28.0</v>
      </c>
      <c r="G1429" s="4" t="s">
        <v>2325</v>
      </c>
    </row>
    <row r="1430">
      <c r="A1430" s="1">
        <v>1428.0</v>
      </c>
      <c r="B1430" s="4" t="s">
        <v>2275</v>
      </c>
      <c r="C1430" s="4" t="str">
        <f>IFERROR(__xludf.DUMMYFUNCTION("GOOGLETRANSLATE(D:D,""auto"",""en"")"),"Earthquake survivors female nurse Qingzhan Wuhan")</f>
        <v>Earthquake survivors female nurse Qingzhan Wuhan</v>
      </c>
      <c r="D1430" s="4" t="s">
        <v>2253</v>
      </c>
      <c r="E1430" s="4">
        <v>8325570.0</v>
      </c>
      <c r="F1430" s="4">
        <v>29.0</v>
      </c>
      <c r="G1430" s="4" t="s">
        <v>2254</v>
      </c>
    </row>
    <row r="1431">
      <c r="A1431" s="1">
        <v>1429.0</v>
      </c>
      <c r="B1431" s="4" t="s">
        <v>2275</v>
      </c>
      <c r="C1431" s="4" t="str">
        <f>IFERROR(__xludf.DUMMYFUNCTION("GOOGLETRANSLATE(D:D,""auto"",""en"")"),"Chongqing's first confirmed cases were cured")</f>
        <v>Chongqing's first confirmed cases were cured</v>
      </c>
      <c r="D1431" s="4" t="s">
        <v>2326</v>
      </c>
      <c r="E1431" s="4">
        <v>8244362.0</v>
      </c>
      <c r="F1431" s="4">
        <v>30.0</v>
      </c>
      <c r="G1431" s="4" t="s">
        <v>2327</v>
      </c>
    </row>
    <row r="1432">
      <c r="A1432" s="1">
        <v>1430.0</v>
      </c>
      <c r="B1432" s="4" t="s">
        <v>2275</v>
      </c>
      <c r="C1432" s="4" t="str">
        <f>IFERROR(__xludf.DUMMYFUNCTION("GOOGLETRANSLATE(D:D,""auto"",""en"")"),"Friends infection that fellow doctors tears collapse in critical condition")</f>
        <v>Friends infection that fellow doctors tears collapse in critical condition</v>
      </c>
      <c r="D1432" s="4" t="s">
        <v>2328</v>
      </c>
      <c r="E1432" s="4">
        <v>8150518.0</v>
      </c>
      <c r="F1432" s="4">
        <v>31.0</v>
      </c>
      <c r="G1432" s="4" t="s">
        <v>2329</v>
      </c>
    </row>
    <row r="1433">
      <c r="A1433" s="1">
        <v>1431.0</v>
      </c>
      <c r="B1433" s="4" t="s">
        <v>2275</v>
      </c>
      <c r="C1433" s="4" t="str">
        <f>IFERROR(__xludf.DUMMYFUNCTION("GOOGLETRANSLATE(D:D,""auto"",""en"")"),"Isolated three novel coronavirus strains")</f>
        <v>Isolated three novel coronavirus strains</v>
      </c>
      <c r="D1433" s="4" t="s">
        <v>2330</v>
      </c>
      <c r="E1433" s="4">
        <v>8144920.0</v>
      </c>
      <c r="F1433" s="4">
        <v>32.0</v>
      </c>
      <c r="G1433" s="4" t="s">
        <v>2331</v>
      </c>
    </row>
    <row r="1434">
      <c r="A1434" s="1">
        <v>1432.0</v>
      </c>
      <c r="B1434" s="4" t="s">
        <v>2275</v>
      </c>
      <c r="C1434" s="4" t="str">
        <f>IFERROR(__xludf.DUMMYFUNCTION("GOOGLETRANSLATE(D:D,""auto"",""en"")"),"Dean Jinyintan hospital suffering from Amyotrophic Lateral Sclerosis disease")</f>
        <v>Dean Jinyintan hospital suffering from Amyotrophic Lateral Sclerosis disease</v>
      </c>
      <c r="D1434" s="4" t="s">
        <v>2332</v>
      </c>
      <c r="E1434" s="4">
        <v>8094117.0</v>
      </c>
      <c r="F1434" s="4">
        <v>33.0</v>
      </c>
      <c r="G1434" s="4" t="s">
        <v>2333</v>
      </c>
    </row>
    <row r="1435">
      <c r="A1435" s="1">
        <v>1433.0</v>
      </c>
      <c r="B1435" s="4" t="s">
        <v>2275</v>
      </c>
      <c r="C1435" s="4" t="str">
        <f>IFERROR(__xludf.DUMMYFUNCTION("GOOGLETRANSLATE(D:D,""auto"",""en"")"),"Kobe Time magazine cover")</f>
        <v>Kobe Time magazine cover</v>
      </c>
      <c r="D1435" s="4" t="s">
        <v>2334</v>
      </c>
      <c r="E1435" s="4">
        <v>8085614.0</v>
      </c>
      <c r="F1435" s="4">
        <v>34.0</v>
      </c>
      <c r="G1435" s="4" t="s">
        <v>2335</v>
      </c>
    </row>
    <row r="1436">
      <c r="A1436" s="1">
        <v>1434.0</v>
      </c>
      <c r="B1436" s="4" t="s">
        <v>2275</v>
      </c>
      <c r="C1436" s="4" t="str">
        <f>IFERROR(__xludf.DUMMYFUNCTION("GOOGLETRANSLATE(D:D,""auto"",""en"")"),"Experts respond if need be extended for holidays")</f>
        <v>Experts respond if need be extended for holidays</v>
      </c>
      <c r="D1436" s="4" t="s">
        <v>2223</v>
      </c>
      <c r="E1436" s="4">
        <v>8077935.0</v>
      </c>
      <c r="F1436" s="4">
        <v>35.0</v>
      </c>
      <c r="G1436" s="4" t="s">
        <v>2224</v>
      </c>
    </row>
    <row r="1437">
      <c r="A1437" s="1">
        <v>1435.0</v>
      </c>
      <c r="B1437" s="4" t="s">
        <v>2275</v>
      </c>
      <c r="C1437" s="4" t="str">
        <f>IFERROR(__xludf.DUMMYFUNCTION("GOOGLETRANSLATE(D:D,""auto"",""en"")"),"Fifth welcome the God of Wealth")</f>
        <v>Fifth welcome the God of Wealth</v>
      </c>
      <c r="D1437" s="4" t="s">
        <v>2336</v>
      </c>
      <c r="E1437" s="4">
        <v>8063506.0</v>
      </c>
      <c r="F1437" s="4">
        <v>36.0</v>
      </c>
      <c r="G1437" s="4" t="s">
        <v>2337</v>
      </c>
    </row>
    <row r="1438">
      <c r="A1438" s="1">
        <v>1436.0</v>
      </c>
      <c r="B1438" s="4" t="s">
        <v>2275</v>
      </c>
      <c r="C1438" s="4" t="str">
        <f>IFERROR(__xludf.DUMMYFUNCTION("GOOGLETRANSLATE(D:D,""auto"",""en"")"),"Zhu Yilong donated RMB 1 million to support Wuhan")</f>
        <v>Zhu Yilong donated RMB 1 million to support Wuhan</v>
      </c>
      <c r="D1438" s="4" t="s">
        <v>2338</v>
      </c>
      <c r="E1438" s="4">
        <v>7925635.0</v>
      </c>
      <c r="F1438" s="4">
        <v>37.0</v>
      </c>
      <c r="G1438" s="4" t="s">
        <v>2339</v>
      </c>
    </row>
    <row r="1439">
      <c r="A1439" s="1">
        <v>1437.0</v>
      </c>
      <c r="B1439" s="4" t="s">
        <v>2275</v>
      </c>
      <c r="C1439" s="4" t="str">
        <f>IFERROR(__xludf.DUMMYFUNCTION("GOOGLETRANSLATE(D:D,""auto"",""en"")"),"Ministry of Public Security official explicitly prohibit the unauthorized road closures")</f>
        <v>Ministry of Public Security official explicitly prohibit the unauthorized road closures</v>
      </c>
      <c r="D1439" s="4" t="s">
        <v>2340</v>
      </c>
      <c r="E1439" s="4">
        <v>7851348.0</v>
      </c>
      <c r="F1439" s="4">
        <v>38.0</v>
      </c>
      <c r="G1439" s="4" t="s">
        <v>2341</v>
      </c>
    </row>
    <row r="1440">
      <c r="A1440" s="1">
        <v>1438.0</v>
      </c>
      <c r="B1440" s="4" t="s">
        <v>2275</v>
      </c>
      <c r="C1440" s="4" t="str">
        <f>IFERROR(__xludf.DUMMYFUNCTION("GOOGLETRANSLATE(D:D,""auto"",""en"")"),"The minimum Anhui diagnosed patient only 8 months old")</f>
        <v>The minimum Anhui diagnosed patient only 8 months old</v>
      </c>
      <c r="D1440" s="4" t="s">
        <v>2342</v>
      </c>
      <c r="E1440" s="4">
        <v>7796557.0</v>
      </c>
      <c r="F1440" s="4">
        <v>39.0</v>
      </c>
      <c r="G1440" s="4" t="s">
        <v>2343</v>
      </c>
    </row>
    <row r="1441">
      <c r="A1441" s="1">
        <v>1439.0</v>
      </c>
      <c r="B1441" s="4" t="s">
        <v>2275</v>
      </c>
      <c r="C1441" s="4" t="str">
        <f>IFERROR(__xludf.DUMMYFUNCTION("GOOGLETRANSLATE(D:D,""auto"",""en"")"),"Husband sent his wife a year rush to the rescue Wuhan propaganda do housework")</f>
        <v>Husband sent his wife a year rush to the rescue Wuhan propaganda do housework</v>
      </c>
      <c r="D1441" s="4" t="s">
        <v>2344</v>
      </c>
      <c r="E1441" s="4">
        <v>7712039.0</v>
      </c>
      <c r="F1441" s="4">
        <v>40.0</v>
      </c>
      <c r="G1441" s="4" t="s">
        <v>2345</v>
      </c>
    </row>
    <row r="1442">
      <c r="A1442" s="1">
        <v>1440.0</v>
      </c>
      <c r="B1442" s="4" t="s">
        <v>2275</v>
      </c>
      <c r="C1442" s="4" t="str">
        <f>IFERROR(__xludf.DUMMYFUNCTION("GOOGLETRANSLATE(D:D,""auto"",""en"")"),"White House temporarily suspended Sino-US flights")</f>
        <v>White House temporarily suspended Sino-US flights</v>
      </c>
      <c r="D1442" s="4" t="s">
        <v>2346</v>
      </c>
      <c r="E1442" s="4">
        <v>7640572.0</v>
      </c>
      <c r="F1442" s="4">
        <v>41.0</v>
      </c>
      <c r="G1442" s="4" t="s">
        <v>2347</v>
      </c>
    </row>
    <row r="1443">
      <c r="A1443" s="1">
        <v>1441.0</v>
      </c>
      <c r="B1443" s="4" t="s">
        <v>2275</v>
      </c>
      <c r="C1443" s="4" t="str">
        <f>IFERROR(__xludf.DUMMYFUNCTION("GOOGLETRANSLATE(D:D,""auto"",""en"")"),"Sichuan first cases were cured")</f>
        <v>Sichuan first cases were cured</v>
      </c>
      <c r="D1443" s="4" t="s">
        <v>2348</v>
      </c>
      <c r="E1443" s="4">
        <v>7590969.0</v>
      </c>
      <c r="F1443" s="4">
        <v>42.0</v>
      </c>
      <c r="G1443" s="4" t="s">
        <v>2349</v>
      </c>
    </row>
    <row r="1444">
      <c r="A1444" s="1">
        <v>1442.0</v>
      </c>
      <c r="B1444" s="4" t="s">
        <v>2275</v>
      </c>
      <c r="C1444" s="4" t="str">
        <f>IFERROR(__xludf.DUMMYFUNCTION("GOOGLETRANSLATE(D:D,""auto"",""en"")"),"White House considering canceling all flights between China and the US")</f>
        <v>White House considering canceling all flights between China and the US</v>
      </c>
      <c r="D1444" s="4" t="s">
        <v>2350</v>
      </c>
      <c r="E1444" s="4">
        <v>7552399.0</v>
      </c>
      <c r="F1444" s="4">
        <v>43.0</v>
      </c>
      <c r="G1444" s="4" t="s">
        <v>2351</v>
      </c>
    </row>
    <row r="1445">
      <c r="A1445" s="1">
        <v>1443.0</v>
      </c>
      <c r="B1445" s="4" t="s">
        <v>2275</v>
      </c>
      <c r="C1445" s="4" t="str">
        <f>IFERROR(__xludf.DUMMYFUNCTION("GOOGLETRANSLATE(D:D,""auto"",""en"")"),"O'Neal Bryant memory of tears")</f>
        <v>O'Neal Bryant memory of tears</v>
      </c>
      <c r="D1445" s="4" t="s">
        <v>2352</v>
      </c>
      <c r="E1445" s="4">
        <v>7473636.0</v>
      </c>
      <c r="F1445" s="4">
        <v>44.0</v>
      </c>
      <c r="G1445" s="4" t="s">
        <v>2353</v>
      </c>
    </row>
    <row r="1446">
      <c r="A1446" s="1">
        <v>1444.0</v>
      </c>
      <c r="B1446" s="4" t="s">
        <v>2275</v>
      </c>
      <c r="C1446" s="4" t="str">
        <f>IFERROR(__xludf.DUMMYFUNCTION("GOOGLETRANSLATE(D:D,""auto"",""en"")"),"It found that patients flight 116 trips")</f>
        <v>It found that patients flight 116 trips</v>
      </c>
      <c r="D1446" s="4" t="s">
        <v>2354</v>
      </c>
      <c r="E1446" s="4">
        <v>7436546.0</v>
      </c>
      <c r="F1446" s="4">
        <v>45.0</v>
      </c>
      <c r="G1446" s="4" t="s">
        <v>2355</v>
      </c>
    </row>
    <row r="1447">
      <c r="A1447" s="1">
        <v>1445.0</v>
      </c>
      <c r="B1447" s="4" t="s">
        <v>2275</v>
      </c>
      <c r="C1447" s="4" t="str">
        <f>IFERROR(__xludf.DUMMYFUNCTION("GOOGLETRANSLATE(D:D,""auto"",""en"")"),"The amount of added Vitamin C may fight the new virus crown")</f>
        <v>The amount of added Vitamin C may fight the new virus crown</v>
      </c>
      <c r="D1447" s="4" t="s">
        <v>2356</v>
      </c>
      <c r="E1447" s="4">
        <v>7323338.0</v>
      </c>
      <c r="F1447" s="4">
        <v>46.0</v>
      </c>
      <c r="G1447" s="4" t="s">
        <v>2357</v>
      </c>
    </row>
    <row r="1448">
      <c r="A1448" s="1">
        <v>1446.0</v>
      </c>
      <c r="B1448" s="4" t="s">
        <v>2275</v>
      </c>
      <c r="C1448" s="4" t="str">
        <f>IFERROR(__xludf.DUMMYFUNCTION("GOOGLETRANSLATE(D:D,""auto"",""en"")"),"Gilbert Air travel at home")</f>
        <v>Gilbert Air travel at home</v>
      </c>
      <c r="D1448" s="4" t="s">
        <v>2358</v>
      </c>
      <c r="E1448" s="4">
        <v>7258143.0</v>
      </c>
      <c r="F1448" s="4">
        <v>47.0</v>
      </c>
      <c r="G1448" s="4" t="s">
        <v>2359</v>
      </c>
    </row>
    <row r="1449">
      <c r="A1449" s="1">
        <v>1447.0</v>
      </c>
      <c r="B1449" s="4" t="s">
        <v>2275</v>
      </c>
      <c r="C1449" s="4" t="str">
        <f>IFERROR(__xludf.DUMMYFUNCTION("GOOGLETRANSLATE(D:D,""auto"",""en"")"),"Wuhan, Hubei Party Secretary in response to discrimination")</f>
        <v>Wuhan, Hubei Party Secretary in response to discrimination</v>
      </c>
      <c r="D1449" s="4" t="s">
        <v>2360</v>
      </c>
      <c r="E1449" s="4">
        <v>7192124.0</v>
      </c>
      <c r="F1449" s="4">
        <v>48.0</v>
      </c>
      <c r="G1449" s="4" t="s">
        <v>2361</v>
      </c>
    </row>
    <row r="1450">
      <c r="A1450" s="1">
        <v>1448.0</v>
      </c>
      <c r="B1450" s="4" t="s">
        <v>2275</v>
      </c>
      <c r="C1450" s="4" t="str">
        <f>IFERROR(__xludf.DUMMYFUNCTION("GOOGLETRANSLATE(D:D,""auto"",""en"")"),"Huanggang version of the official opening of Xiaotangshan")</f>
        <v>Huanggang version of the official opening of Xiaotangshan</v>
      </c>
      <c r="D1450" s="4" t="s">
        <v>2362</v>
      </c>
      <c r="E1450" s="4">
        <v>7174927.0</v>
      </c>
      <c r="F1450" s="4">
        <v>49.0</v>
      </c>
      <c r="G1450" s="4" t="s">
        <v>2363</v>
      </c>
    </row>
    <row r="1451">
      <c r="A1451" s="1">
        <v>1449.0</v>
      </c>
      <c r="B1451" s="4" t="s">
        <v>2275</v>
      </c>
      <c r="C1451" s="4" t="str">
        <f>IFERROR(__xludf.DUMMYFUNCTION("GOOGLETRANSLATE(D:D,""auto"",""en"")"),"Inner Mongolia new three cases of new pneumonia")</f>
        <v>Inner Mongolia new three cases of new pneumonia</v>
      </c>
      <c r="D1451" s="4" t="s">
        <v>2364</v>
      </c>
      <c r="E1451" s="4">
        <v>7030142.0</v>
      </c>
      <c r="F1451" s="4">
        <v>50.0</v>
      </c>
      <c r="G1451" s="4" t="s">
        <v>2365</v>
      </c>
    </row>
    <row r="1452">
      <c r="A1452" s="1">
        <v>1450.0</v>
      </c>
      <c r="B1452" s="4" t="s">
        <v>2366</v>
      </c>
      <c r="C1452" s="4" t="str">
        <f>IFERROR(__xludf.DUMMYFUNCTION("GOOGLETRANSLATE(D:D,""auto"",""en"")"),"Bryant wife replacement Avatar")</f>
        <v>Bryant wife replacement Avatar</v>
      </c>
      <c r="D1452" s="4" t="s">
        <v>2367</v>
      </c>
      <c r="E1452" s="4">
        <v>1.0859536E7</v>
      </c>
      <c r="F1452" s="4">
        <v>1.0</v>
      </c>
      <c r="G1452" s="4" t="s">
        <v>2368</v>
      </c>
    </row>
    <row r="1453">
      <c r="A1453" s="1">
        <v>1451.0</v>
      </c>
      <c r="B1453" s="4" t="s">
        <v>2366</v>
      </c>
      <c r="C1453" s="4" t="str">
        <f>IFERROR(__xludf.DUMMYFUNCTION("GOOGLETRANSLATE(D:D,""auto"",""en"")"),"Anhui added 48 cases of confirmed cases")</f>
        <v>Anhui added 48 cases of confirmed cases</v>
      </c>
      <c r="D1453" s="4" t="s">
        <v>2369</v>
      </c>
      <c r="E1453" s="4">
        <v>1.0526469E7</v>
      </c>
      <c r="F1453" s="4">
        <v>2.0</v>
      </c>
      <c r="G1453" s="4" t="s">
        <v>2370</v>
      </c>
    </row>
    <row r="1454">
      <c r="A1454" s="1">
        <v>1452.0</v>
      </c>
      <c r="B1454" s="4" t="s">
        <v>2366</v>
      </c>
      <c r="C1454" s="4" t="str">
        <f>IFERROR(__xludf.DUMMYFUNCTION("GOOGLETRANSLATE(D:D,""auto"",""en"")"),"Women have a new boyfriend lied to the police pneumonia")</f>
        <v>Women have a new boyfriend lied to the police pneumonia</v>
      </c>
      <c r="D1454" s="4" t="s">
        <v>2371</v>
      </c>
      <c r="E1454" s="4">
        <v>1.0284085E7</v>
      </c>
      <c r="F1454" s="4">
        <v>3.0</v>
      </c>
      <c r="G1454" s="4" t="s">
        <v>2372</v>
      </c>
    </row>
    <row r="1455">
      <c r="A1455" s="1">
        <v>1453.0</v>
      </c>
      <c r="B1455" s="4" t="s">
        <v>2366</v>
      </c>
      <c r="C1455" s="4" t="str">
        <f>IFERROR(__xludf.DUMMYFUNCTION("GOOGLETRANSLATE(D:D,""auto"",""en"")"),"JJ Stay With You")</f>
        <v>JJ Stay With You</v>
      </c>
      <c r="D1455" s="4" t="s">
        <v>2282</v>
      </c>
      <c r="E1455" s="4">
        <v>1.0011683E7</v>
      </c>
      <c r="F1455" s="4">
        <v>4.0</v>
      </c>
      <c r="G1455" s="4" t="s">
        <v>2283</v>
      </c>
    </row>
    <row r="1456">
      <c r="A1456" s="1">
        <v>1454.0</v>
      </c>
      <c r="B1456" s="4" t="s">
        <v>2366</v>
      </c>
      <c r="C1456" s="4" t="str">
        <f>IFERROR(__xludf.DUMMYFUNCTION("GOOGLETRANSLATE(D:D,""auto"",""en"")"),"Hubei long to respond to criticism of friends")</f>
        <v>Hubei long to respond to criticism of friends</v>
      </c>
      <c r="D1456" s="4" t="s">
        <v>2373</v>
      </c>
      <c r="E1456" s="4">
        <v>9739573.0</v>
      </c>
      <c r="F1456" s="4">
        <v>5.0</v>
      </c>
      <c r="G1456" s="4" t="s">
        <v>2374</v>
      </c>
    </row>
    <row r="1457">
      <c r="A1457" s="1">
        <v>1455.0</v>
      </c>
      <c r="B1457" s="4" t="s">
        <v>2366</v>
      </c>
      <c r="C1457" s="4" t="str">
        <f>IFERROR(__xludf.DUMMYFUNCTION("GOOGLETRANSLATE(D:D,""auto"",""en"")"),"Of the total of confirmed cases increased to 7711 cases")</f>
        <v>Of the total of confirmed cases increased to 7711 cases</v>
      </c>
      <c r="D1457" s="4" t="s">
        <v>2375</v>
      </c>
      <c r="E1457" s="4">
        <v>9567416.0</v>
      </c>
      <c r="F1457" s="4">
        <v>6.0</v>
      </c>
      <c r="G1457" s="4" t="s">
        <v>2376</v>
      </c>
    </row>
    <row r="1458">
      <c r="A1458" s="1">
        <v>1456.0</v>
      </c>
      <c r="B1458" s="4" t="s">
        <v>2366</v>
      </c>
      <c r="C1458" s="4" t="str">
        <f>IFERROR(__xludf.DUMMYFUNCTION("GOOGLETRANSLATE(D:D,""auto"",""en"")"),"Raytheon Hill Hospital all the electricity")</f>
        <v>Raytheon Hill Hospital all the electricity</v>
      </c>
      <c r="D1458" s="4" t="s">
        <v>2377</v>
      </c>
      <c r="E1458" s="4">
        <v>9464403.0</v>
      </c>
      <c r="F1458" s="4">
        <v>7.0</v>
      </c>
      <c r="G1458" s="4" t="s">
        <v>2378</v>
      </c>
    </row>
    <row r="1459">
      <c r="A1459" s="1">
        <v>1457.0</v>
      </c>
      <c r="B1459" s="4" t="s">
        <v>2366</v>
      </c>
      <c r="C1459" s="4" t="str">
        <f>IFERROR(__xludf.DUMMYFUNCTION("GOOGLETRANSLATE(D:D,""auto"",""en"")"),"SF respond intercepted parcel courier sell masks")</f>
        <v>SF respond intercepted parcel courier sell masks</v>
      </c>
      <c r="D1459" s="4" t="s">
        <v>2379</v>
      </c>
      <c r="E1459" s="4">
        <v>9249524.0</v>
      </c>
      <c r="F1459" s="4">
        <v>8.0</v>
      </c>
      <c r="G1459" s="4" t="s">
        <v>2380</v>
      </c>
    </row>
    <row r="1460">
      <c r="A1460" s="1">
        <v>1458.0</v>
      </c>
      <c r="B1460" s="4" t="s">
        <v>2366</v>
      </c>
      <c r="C1460" s="4" t="str">
        <f>IFERROR(__xludf.DUMMYFUNCTION("GOOGLETRANSLATE(D:D,""auto"",""en"")"),"Yen value of those spectacles seal")</f>
        <v>Yen value of those spectacles seal</v>
      </c>
      <c r="D1460" s="4" t="s">
        <v>2381</v>
      </c>
      <c r="E1460" s="4">
        <v>9238021.0</v>
      </c>
      <c r="F1460" s="4">
        <v>9.0</v>
      </c>
      <c r="G1460" s="4" t="s">
        <v>2382</v>
      </c>
    </row>
    <row r="1461">
      <c r="A1461" s="1">
        <v>1459.0</v>
      </c>
      <c r="B1461" s="4" t="s">
        <v>2366</v>
      </c>
      <c r="C1461" s="4" t="str">
        <f>IFERROR(__xludf.DUMMYFUNCTION("GOOGLETRANSLATE(D:D,""auto"",""en"")"),"Zhong Nanshan, academician personally demonstrate how to take off the mask")</f>
        <v>Zhong Nanshan, academician personally demonstrate how to take off the mask</v>
      </c>
      <c r="D1461" s="4" t="s">
        <v>2383</v>
      </c>
      <c r="E1461" s="4">
        <v>9233119.0</v>
      </c>
      <c r="F1461" s="4">
        <v>10.0</v>
      </c>
      <c r="G1461" s="4" t="s">
        <v>2384</v>
      </c>
    </row>
    <row r="1462">
      <c r="A1462" s="1">
        <v>1460.0</v>
      </c>
      <c r="B1462" s="4" t="s">
        <v>2366</v>
      </c>
      <c r="C1462" s="4" t="str">
        <f>IFERROR(__xludf.DUMMYFUNCTION("GOOGLETRANSLATE(D:D,""auto"",""en"")"),"Spectators NBA right Zhilong")</f>
        <v>Spectators NBA right Zhilong</v>
      </c>
      <c r="D1462" s="4" t="s">
        <v>2385</v>
      </c>
      <c r="E1462" s="4">
        <v>9175818.0</v>
      </c>
      <c r="F1462" s="4">
        <v>11.0</v>
      </c>
      <c r="G1462" s="4" t="s">
        <v>2386</v>
      </c>
    </row>
    <row r="1463">
      <c r="A1463" s="1">
        <v>1461.0</v>
      </c>
      <c r="B1463" s="4" t="s">
        <v>2366</v>
      </c>
      <c r="C1463" s="4" t="str">
        <f>IFERROR(__xludf.DUMMYFUNCTION("GOOGLETRANSLATE(D:D,""auto"",""en"")"),"Hebei 17 new confirmed cases")</f>
        <v>Hebei 17 new confirmed cases</v>
      </c>
      <c r="D1463" s="4" t="s">
        <v>2387</v>
      </c>
      <c r="E1463" s="4">
        <v>9065164.0</v>
      </c>
      <c r="F1463" s="4">
        <v>12.0</v>
      </c>
      <c r="G1463" s="4" t="s">
        <v>2388</v>
      </c>
    </row>
    <row r="1464">
      <c r="A1464" s="1">
        <v>1462.0</v>
      </c>
      <c r="B1464" s="4" t="s">
        <v>2366</v>
      </c>
      <c r="C1464" s="4" t="str">
        <f>IFERROR(__xludf.DUMMYFUNCTION("GOOGLETRANSLATE(D:D,""auto"",""en"")"),"Wife Vanessa Bryant made a long article")</f>
        <v>Wife Vanessa Bryant made a long article</v>
      </c>
      <c r="D1464" s="4" t="s">
        <v>2389</v>
      </c>
      <c r="E1464" s="4">
        <v>9039107.0</v>
      </c>
      <c r="F1464" s="4">
        <v>13.0</v>
      </c>
      <c r="G1464" s="4" t="s">
        <v>2390</v>
      </c>
    </row>
    <row r="1465">
      <c r="A1465" s="1">
        <v>1463.0</v>
      </c>
      <c r="B1465" s="4" t="s">
        <v>2366</v>
      </c>
      <c r="C1465" s="4" t="str">
        <f>IFERROR(__xludf.DUMMYFUNCTION("GOOGLETRANSLATE(D:D,""auto"",""en"")"),"Playing nurse the patient's family pneumonia jingfangxingju")</f>
        <v>Playing nurse the patient's family pneumonia jingfangxingju</v>
      </c>
      <c r="D1465" s="4" t="s">
        <v>2391</v>
      </c>
      <c r="E1465" s="4">
        <v>8981845.0</v>
      </c>
      <c r="F1465" s="4">
        <v>14.0</v>
      </c>
      <c r="G1465" s="4" t="s">
        <v>2392</v>
      </c>
    </row>
    <row r="1466">
      <c r="A1466" s="1">
        <v>1464.0</v>
      </c>
      <c r="B1466" s="4" t="s">
        <v>2366</v>
      </c>
      <c r="C1466" s="4" t="str">
        <f>IFERROR(__xludf.DUMMYFUNCTION("GOOGLETRANSLATE(D:D,""auto"",""en"")"),"The stage is everywhere")</f>
        <v>The stage is everywhere</v>
      </c>
      <c r="D1466" s="4" t="s">
        <v>188</v>
      </c>
      <c r="E1466" s="4">
        <v>8910969.0</v>
      </c>
      <c r="F1466" s="4">
        <v>15.0</v>
      </c>
      <c r="G1466" s="4" t="s">
        <v>189</v>
      </c>
    </row>
    <row r="1467">
      <c r="A1467" s="1">
        <v>1465.0</v>
      </c>
      <c r="B1467" s="4" t="s">
        <v>2366</v>
      </c>
      <c r="C1467" s="4" t="str">
        <f>IFERROR(__xludf.DUMMYFUNCTION("GOOGLETRANSLATE(D:D,""auto"",""en"")"),"Huashan Hospital, director of hard core")</f>
        <v>Huashan Hospital, director of hard core</v>
      </c>
      <c r="D1467" s="4" t="s">
        <v>2393</v>
      </c>
      <c r="E1467" s="4">
        <v>8869601.0</v>
      </c>
      <c r="F1467" s="4">
        <v>16.0</v>
      </c>
      <c r="G1467" s="4" t="s">
        <v>2394</v>
      </c>
    </row>
    <row r="1468">
      <c r="A1468" s="1">
        <v>1466.0</v>
      </c>
      <c r="B1468" s="4" t="s">
        <v>2366</v>
      </c>
      <c r="C1468" s="4" t="str">
        <f>IFERROR(__xludf.DUMMYFUNCTION("GOOGLETRANSLATE(D:D,""auto"",""en"")"),"The new pet will be infected with pneumonia")</f>
        <v>The new pet will be infected with pneumonia</v>
      </c>
      <c r="D1468" s="4" t="s">
        <v>2395</v>
      </c>
      <c r="E1468" s="4">
        <v>8782832.0</v>
      </c>
      <c r="F1468" s="4">
        <v>17.0</v>
      </c>
      <c r="G1468" s="4" t="s">
        <v>2396</v>
      </c>
    </row>
    <row r="1469">
      <c r="A1469" s="1">
        <v>1467.0</v>
      </c>
      <c r="B1469" s="4" t="s">
        <v>2366</v>
      </c>
      <c r="C1469" s="4" t="str">
        <f>IFERROR(__xludf.DUMMYFUNCTION("GOOGLETRANSLATE(D:D,""auto"",""en"")"),"Beijing Capital International Airport canceled flights 546 sorties")</f>
        <v>Beijing Capital International Airport canceled flights 546 sorties</v>
      </c>
      <c r="D1469" s="4" t="s">
        <v>2397</v>
      </c>
      <c r="E1469" s="4">
        <v>8773177.0</v>
      </c>
      <c r="F1469" s="4">
        <v>18.0</v>
      </c>
      <c r="G1469" s="4" t="s">
        <v>2398</v>
      </c>
    </row>
    <row r="1470">
      <c r="A1470" s="1">
        <v>1468.0</v>
      </c>
      <c r="B1470" s="4" t="s">
        <v>2366</v>
      </c>
      <c r="C1470" s="4" t="str">
        <f>IFERROR(__xludf.DUMMYFUNCTION("GOOGLETRANSLATE(D:D,""auto"",""en"")"),"One six five people diagnosed with the remaining two and a half years old baby")</f>
        <v>One six five people diagnosed with the remaining two and a half years old baby</v>
      </c>
      <c r="D1470" s="4" t="s">
        <v>2399</v>
      </c>
      <c r="E1470" s="4">
        <v>8685610.0</v>
      </c>
      <c r="F1470" s="4">
        <v>19.0</v>
      </c>
      <c r="G1470" s="4" t="s">
        <v>2400</v>
      </c>
    </row>
    <row r="1471">
      <c r="A1471" s="1">
        <v>1469.0</v>
      </c>
      <c r="B1471" s="4" t="s">
        <v>2366</v>
      </c>
      <c r="C1471" s="4" t="str">
        <f>IFERROR(__xludf.DUMMYFUNCTION("GOOGLETRANSLATE(D:D,""auto"",""en"")"),"The baby may love the way masks")</f>
        <v>The baby may love the way masks</v>
      </c>
      <c r="D1471" s="4" t="s">
        <v>2401</v>
      </c>
      <c r="E1471" s="4">
        <v>8571316.0</v>
      </c>
      <c r="F1471" s="4">
        <v>20.0</v>
      </c>
      <c r="G1471" s="4" t="s">
        <v>2402</v>
      </c>
    </row>
    <row r="1472">
      <c r="A1472" s="1">
        <v>1470.0</v>
      </c>
      <c r="B1472" s="4" t="s">
        <v>2366</v>
      </c>
      <c r="C1472" s="4" t="str">
        <f>IFERROR(__xludf.DUMMYFUNCTION("GOOGLETRANSLATE(D:D,""auto"",""en"")"),"Wife Vanessa Bryant starter culture")</f>
        <v>Wife Vanessa Bryant starter culture</v>
      </c>
      <c r="D1472" s="4" t="s">
        <v>2403</v>
      </c>
      <c r="E1472" s="4">
        <v>8406502.0</v>
      </c>
      <c r="F1472" s="4">
        <v>21.0</v>
      </c>
      <c r="G1472" s="4" t="s">
        <v>2404</v>
      </c>
    </row>
    <row r="1473">
      <c r="A1473" s="1">
        <v>1471.0</v>
      </c>
      <c r="B1473" s="4" t="s">
        <v>2366</v>
      </c>
      <c r="C1473" s="4" t="str">
        <f>IFERROR(__xludf.DUMMYFUNCTION("GOOGLETRANSLATE(D:D,""auto"",""en"")"),"Zhejiang new 132 cases of confirmed cases")</f>
        <v>Zhejiang new 132 cases of confirmed cases</v>
      </c>
      <c r="D1473" s="4" t="s">
        <v>2405</v>
      </c>
      <c r="E1473" s="4">
        <v>8388531.0</v>
      </c>
      <c r="F1473" s="4">
        <v>22.0</v>
      </c>
      <c r="G1473" s="4" t="s">
        <v>2406</v>
      </c>
    </row>
    <row r="1474">
      <c r="A1474" s="1">
        <v>1472.0</v>
      </c>
      <c r="B1474" s="4" t="s">
        <v>2366</v>
      </c>
      <c r="C1474" s="4" t="str">
        <f>IFERROR(__xludf.DUMMYFUNCTION("GOOGLETRANSLATE(D:D,""auto"",""en"")"),"Police on duty for the unfortunate death prevention initiative")</f>
        <v>Police on duty for the unfortunate death prevention initiative</v>
      </c>
      <c r="D1474" s="4" t="s">
        <v>2407</v>
      </c>
      <c r="E1474" s="4">
        <v>8334017.0</v>
      </c>
      <c r="F1474" s="4">
        <v>23.0</v>
      </c>
      <c r="G1474" s="4" t="s">
        <v>2408</v>
      </c>
    </row>
    <row r="1475">
      <c r="A1475" s="1">
        <v>1473.0</v>
      </c>
      <c r="B1475" s="4" t="s">
        <v>2366</v>
      </c>
      <c r="C1475" s="4" t="str">
        <f>IFERROR(__xludf.DUMMYFUNCTION("GOOGLETRANSLATE(D:D,""auto"",""en"")"),"Xu Zheng Wang Yibo evaluation concert")</f>
        <v>Xu Zheng Wang Yibo evaluation concert</v>
      </c>
      <c r="D1475" s="4" t="s">
        <v>2409</v>
      </c>
      <c r="E1475" s="4">
        <v>8232031.0</v>
      </c>
      <c r="F1475" s="4">
        <v>24.0</v>
      </c>
      <c r="G1475" s="4" t="s">
        <v>2410</v>
      </c>
    </row>
    <row r="1476">
      <c r="A1476" s="1">
        <v>1474.0</v>
      </c>
      <c r="B1476" s="4" t="s">
        <v>2366</v>
      </c>
      <c r="C1476" s="4" t="str">
        <f>IFERROR(__xludf.DUMMYFUNCTION("GOOGLETRANSLATE(D:D,""auto"",""en"")"),"Dean Jinyintan Hospital responds to Amyotrophic Lateral Sclerosis disease")</f>
        <v>Dean Jinyintan Hospital responds to Amyotrophic Lateral Sclerosis disease</v>
      </c>
      <c r="D1476" s="4" t="s">
        <v>2411</v>
      </c>
      <c r="E1476" s="4">
        <v>8221466.0</v>
      </c>
      <c r="F1476" s="4">
        <v>25.0</v>
      </c>
      <c r="G1476" s="4" t="s">
        <v>2412</v>
      </c>
    </row>
    <row r="1477">
      <c r="A1477" s="1">
        <v>1475.0</v>
      </c>
      <c r="B1477" s="4" t="s">
        <v>2366</v>
      </c>
      <c r="C1477" s="4" t="str">
        <f>IFERROR(__xludf.DUMMYFUNCTION("GOOGLETRANSLATE(D:D,""auto"",""en"")"),"Wuhan courier sent without rejection")</f>
        <v>Wuhan courier sent without rejection</v>
      </c>
      <c r="D1477" s="4" t="s">
        <v>2413</v>
      </c>
      <c r="E1477" s="4">
        <v>8201241.0</v>
      </c>
      <c r="F1477" s="4">
        <v>26.0</v>
      </c>
      <c r="G1477" s="4" t="s">
        <v>2414</v>
      </c>
    </row>
    <row r="1478">
      <c r="A1478" s="1">
        <v>1476.0</v>
      </c>
      <c r="B1478" s="4" t="s">
        <v>2366</v>
      </c>
      <c r="C1478" s="4" t="str">
        <f>IFERROR(__xludf.DUMMYFUNCTION("GOOGLETRANSLATE(D:D,""auto"",""en"")"),"Eve sixth comparison with FIG.")</f>
        <v>Eve sixth comparison with FIG.</v>
      </c>
      <c r="D1478" s="4" t="s">
        <v>2415</v>
      </c>
      <c r="E1478" s="4">
        <v>8151646.0</v>
      </c>
      <c r="F1478" s="4">
        <v>27.0</v>
      </c>
      <c r="G1478" s="4" t="s">
        <v>2416</v>
      </c>
    </row>
    <row r="1479">
      <c r="A1479" s="1">
        <v>1477.0</v>
      </c>
      <c r="B1479" s="4" t="s">
        <v>2366</v>
      </c>
      <c r="C1479" s="4" t="str">
        <f>IFERROR(__xludf.DUMMYFUNCTION("GOOGLETRANSLATE(D:D,""auto"",""en"")"),"Sister letters coming micro")</f>
        <v>Sister letters coming micro</v>
      </c>
      <c r="D1479" s="4" t="s">
        <v>2417</v>
      </c>
      <c r="E1479" s="4">
        <v>8025122.0</v>
      </c>
      <c r="F1479" s="4">
        <v>28.0</v>
      </c>
      <c r="G1479" s="4" t="s">
        <v>2418</v>
      </c>
    </row>
    <row r="1480">
      <c r="A1480" s="1">
        <v>1478.0</v>
      </c>
      <c r="B1480" s="4" t="s">
        <v>2366</v>
      </c>
      <c r="C1480" s="4" t="str">
        <f>IFERROR(__xludf.DUMMYFUNCTION("GOOGLETRANSLATE(D:D,""auto"",""en"")"),"Outbound lost clothing clothing masks 5800 to return home")</f>
        <v>Outbound lost clothing clothing masks 5800 to return home</v>
      </c>
      <c r="D1480" s="4" t="s">
        <v>2419</v>
      </c>
      <c r="E1480" s="4">
        <v>7991362.0</v>
      </c>
      <c r="F1480" s="4">
        <v>29.0</v>
      </c>
      <c r="G1480" s="4" t="s">
        <v>2420</v>
      </c>
    </row>
    <row r="1481">
      <c r="A1481" s="1">
        <v>1479.0</v>
      </c>
      <c r="B1481" s="4" t="s">
        <v>2366</v>
      </c>
      <c r="C1481" s="4" t="str">
        <f>IFERROR(__xludf.DUMMYFUNCTION("GOOGLETRANSLATE(D:D,""auto"",""en"")"),"Finland confirmed the first case of the new cases of pneumonia")</f>
        <v>Finland confirmed the first case of the new cases of pneumonia</v>
      </c>
      <c r="D1481" s="4" t="s">
        <v>2421</v>
      </c>
      <c r="E1481" s="4">
        <v>7989084.0</v>
      </c>
      <c r="F1481" s="4">
        <v>30.0</v>
      </c>
      <c r="G1481" s="4" t="s">
        <v>2422</v>
      </c>
    </row>
    <row r="1482">
      <c r="A1482" s="1">
        <v>1480.0</v>
      </c>
      <c r="B1482" s="4" t="s">
        <v>2366</v>
      </c>
      <c r="C1482" s="4" t="str">
        <f>IFERROR(__xludf.DUMMYFUNCTION("GOOGLETRANSLATE(D:D,""auto"",""en"")"),"Zhejiang, more than 500,000 masks increase is served daily")</f>
        <v>Zhejiang, more than 500,000 masks increase is served daily</v>
      </c>
      <c r="D1482" s="4" t="s">
        <v>2423</v>
      </c>
      <c r="E1482" s="4">
        <v>7928145.0</v>
      </c>
      <c r="F1482" s="4">
        <v>31.0</v>
      </c>
      <c r="G1482" s="4" t="s">
        <v>2424</v>
      </c>
    </row>
    <row r="1483">
      <c r="A1483" s="1">
        <v>1481.0</v>
      </c>
      <c r="B1483" s="4" t="s">
        <v>2366</v>
      </c>
      <c r="C1483" s="4" t="str">
        <f>IFERROR(__xludf.DUMMYFUNCTION("GOOGLETRANSLATE(D:D,""auto"",""en"")"),"Online users overseer excavator-day mission")</f>
        <v>Online users overseer excavator-day mission</v>
      </c>
      <c r="D1483" s="4" t="s">
        <v>2425</v>
      </c>
      <c r="E1483" s="4">
        <v>7858089.0</v>
      </c>
      <c r="F1483" s="4">
        <v>32.0</v>
      </c>
      <c r="G1483" s="4" t="s">
        <v>2426</v>
      </c>
    </row>
    <row r="1484">
      <c r="A1484" s="1">
        <v>1482.0</v>
      </c>
      <c r="B1484" s="4" t="s">
        <v>2366</v>
      </c>
      <c r="C1484" s="4" t="str">
        <f>IFERROR(__xludf.DUMMYFUNCTION("GOOGLETRANSLATE(D:D,""auto"",""en"")"),"Xieteng Fei wreck a child")</f>
        <v>Xieteng Fei wreck a child</v>
      </c>
      <c r="D1484" s="4" t="s">
        <v>2427</v>
      </c>
      <c r="E1484" s="4">
        <v>7800806.0</v>
      </c>
      <c r="F1484" s="4">
        <v>33.0</v>
      </c>
      <c r="G1484" s="4" t="s">
        <v>2428</v>
      </c>
    </row>
    <row r="1485">
      <c r="A1485" s="1">
        <v>1483.0</v>
      </c>
      <c r="B1485" s="4" t="s">
        <v>2366</v>
      </c>
      <c r="C1485" s="4" t="str">
        <f>IFERROR(__xludf.DUMMYFUNCTION("GOOGLETRANSLATE(D:D,""auto"",""en"")"),"97 anonymous guy donated 250,000 masks")</f>
        <v>97 anonymous guy donated 250,000 masks</v>
      </c>
      <c r="D1485" s="4" t="s">
        <v>2429</v>
      </c>
      <c r="E1485" s="4">
        <v>7767910.0</v>
      </c>
      <c r="F1485" s="4">
        <v>34.0</v>
      </c>
      <c r="G1485" s="4" t="s">
        <v>2430</v>
      </c>
    </row>
    <row r="1486">
      <c r="A1486" s="1">
        <v>1484.0</v>
      </c>
      <c r="B1486" s="4" t="s">
        <v>2366</v>
      </c>
      <c r="C1486" s="4" t="str">
        <f>IFERROR(__xludf.DUMMYFUNCTION("GOOGLETRANSLATE(D:D,""auto"",""en"")"),"Guangdong added 70 cases of confirmed cases")</f>
        <v>Guangdong added 70 cases of confirmed cases</v>
      </c>
      <c r="D1486" s="4" t="s">
        <v>2431</v>
      </c>
      <c r="E1486" s="4">
        <v>7759332.0</v>
      </c>
      <c r="F1486" s="4">
        <v>35.0</v>
      </c>
      <c r="G1486" s="4" t="s">
        <v>2432</v>
      </c>
    </row>
    <row r="1487">
      <c r="A1487" s="1">
        <v>1485.0</v>
      </c>
      <c r="B1487" s="4" t="s">
        <v>2366</v>
      </c>
      <c r="C1487" s="4" t="str">
        <f>IFERROR(__xludf.DUMMYFUNCTION("GOOGLETRANSLATE(D:D,""auto"",""en"")"),"Zhang Guowei International Invitational high jump championship")</f>
        <v>Zhang Guowei International Invitational high jump championship</v>
      </c>
      <c r="D1487" s="4" t="s">
        <v>2433</v>
      </c>
      <c r="E1487" s="4">
        <v>7738456.0</v>
      </c>
      <c r="F1487" s="4">
        <v>36.0</v>
      </c>
      <c r="G1487" s="4" t="s">
        <v>2434</v>
      </c>
    </row>
    <row r="1488">
      <c r="A1488" s="1">
        <v>1486.0</v>
      </c>
      <c r="B1488" s="4" t="s">
        <v>2366</v>
      </c>
      <c r="C1488" s="4" t="str">
        <f>IFERROR(__xludf.DUMMYFUNCTION("GOOGLETRANSLATE(D:D,""auto"",""en"")"),"Henan new 72 cases of confirmed cases")</f>
        <v>Henan new 72 cases of confirmed cases</v>
      </c>
      <c r="D1488" s="4" t="s">
        <v>2435</v>
      </c>
      <c r="E1488" s="4">
        <v>7572928.0</v>
      </c>
      <c r="F1488" s="4">
        <v>37.0</v>
      </c>
      <c r="G1488" s="4" t="s">
        <v>2436</v>
      </c>
    </row>
    <row r="1489">
      <c r="A1489" s="1">
        <v>1487.0</v>
      </c>
      <c r="B1489" s="4" t="s">
        <v>2366</v>
      </c>
      <c r="C1489" s="4" t="str">
        <f>IFERROR(__xludf.DUMMYFUNCTION("GOOGLETRANSLATE(D:D,""auto"",""en"")"),"Huanggang Wei health committee")</f>
        <v>Huanggang Wei health committee</v>
      </c>
      <c r="D1489" s="4" t="s">
        <v>2437</v>
      </c>
      <c r="E1489" s="4">
        <v>7540849.0</v>
      </c>
      <c r="F1489" s="4">
        <v>38.0</v>
      </c>
      <c r="G1489" s="4" t="s">
        <v>2438</v>
      </c>
    </row>
    <row r="1490">
      <c r="A1490" s="1">
        <v>1488.0</v>
      </c>
      <c r="B1490" s="4" t="s">
        <v>2366</v>
      </c>
      <c r="C1490" s="4" t="str">
        <f>IFERROR(__xludf.DUMMYFUNCTION("GOOGLETRANSLATE(D:D,""auto"",""en"")"),"Shandong postpone the resumption of work time")</f>
        <v>Shandong postpone the resumption of work time</v>
      </c>
      <c r="D1490" s="4" t="s">
        <v>2439</v>
      </c>
      <c r="E1490" s="4">
        <v>7535556.0</v>
      </c>
      <c r="F1490" s="4">
        <v>39.0</v>
      </c>
      <c r="G1490" s="4" t="s">
        <v>2440</v>
      </c>
    </row>
    <row r="1491">
      <c r="A1491" s="1">
        <v>1489.0</v>
      </c>
      <c r="B1491" s="4" t="s">
        <v>2366</v>
      </c>
      <c r="C1491" s="4" t="str">
        <f>IFERROR(__xludf.DUMMYFUNCTION("GOOGLETRANSLATE(D:D,""auto"",""en"")"),"Hunan five people diagnosed with the new crown after dinner pneumonia")</f>
        <v>Hunan five people diagnosed with the new crown after dinner pneumonia</v>
      </c>
      <c r="D1491" s="4" t="s">
        <v>2441</v>
      </c>
      <c r="E1491" s="4">
        <v>7511159.0</v>
      </c>
      <c r="F1491" s="4">
        <v>40.0</v>
      </c>
      <c r="G1491" s="4" t="s">
        <v>2442</v>
      </c>
    </row>
    <row r="1492">
      <c r="A1492" s="1">
        <v>1490.0</v>
      </c>
      <c r="B1492" s="4" t="s">
        <v>2366</v>
      </c>
      <c r="C1492" s="4" t="str">
        <f>IFERROR(__xludf.DUMMYFUNCTION("GOOGLETRANSLATE(D:D,""auto"",""en"")"),"After 95 nurse's hand")</f>
        <v>After 95 nurse's hand</v>
      </c>
      <c r="D1492" s="4" t="s">
        <v>2443</v>
      </c>
      <c r="E1492" s="4">
        <v>7358128.0</v>
      </c>
      <c r="F1492" s="4">
        <v>41.0</v>
      </c>
      <c r="G1492" s="4" t="s">
        <v>2444</v>
      </c>
    </row>
    <row r="1493">
      <c r="A1493" s="1">
        <v>1491.0</v>
      </c>
      <c r="B1493" s="4" t="s">
        <v>2366</v>
      </c>
      <c r="C1493" s="4" t="str">
        <f>IFERROR(__xludf.DUMMYFUNCTION("GOOGLETRANSLATE(D:D,""auto"",""en"")"),"Virus in wool clothing shorter survival time")</f>
        <v>Virus in wool clothing shorter survival time</v>
      </c>
      <c r="D1493" s="4" t="s">
        <v>2445</v>
      </c>
      <c r="E1493" s="4">
        <v>7354876.0</v>
      </c>
      <c r="F1493" s="4">
        <v>42.0</v>
      </c>
      <c r="G1493" s="4" t="s">
        <v>2446</v>
      </c>
    </row>
    <row r="1494">
      <c r="A1494" s="1">
        <v>1492.0</v>
      </c>
      <c r="B1494" s="4" t="s">
        <v>2366</v>
      </c>
      <c r="C1494" s="4" t="str">
        <f>IFERROR(__xludf.DUMMYFUNCTION("GOOGLETRANSLATE(D:D,""auto"",""en"")"),"That infected female nurses in emergency department")</f>
        <v>That infected female nurses in emergency department</v>
      </c>
      <c r="D1494" s="4" t="s">
        <v>2447</v>
      </c>
      <c r="E1494" s="4">
        <v>7327563.0</v>
      </c>
      <c r="F1494" s="4">
        <v>43.0</v>
      </c>
      <c r="G1494" s="4" t="s">
        <v>2448</v>
      </c>
    </row>
    <row r="1495">
      <c r="A1495" s="1">
        <v>1493.0</v>
      </c>
      <c r="B1495" s="4" t="s">
        <v>2366</v>
      </c>
      <c r="C1495" s="4" t="str">
        <f>IFERROR(__xludf.DUMMYFUNCTION("GOOGLETRANSLATE(D:D,""auto"",""en"")"),"White House temporarily suspended Sino-US flights")</f>
        <v>White House temporarily suspended Sino-US flights</v>
      </c>
      <c r="D1495" s="4" t="s">
        <v>2346</v>
      </c>
      <c r="E1495" s="4">
        <v>7295783.0</v>
      </c>
      <c r="F1495" s="4">
        <v>44.0</v>
      </c>
      <c r="G1495" s="4" t="s">
        <v>2347</v>
      </c>
    </row>
    <row r="1496">
      <c r="A1496" s="1">
        <v>1494.0</v>
      </c>
      <c r="B1496" s="4" t="s">
        <v>2366</v>
      </c>
      <c r="C1496" s="4" t="str">
        <f>IFERROR(__xludf.DUMMYFUNCTION("GOOGLETRANSLATE(D:D,""auto"",""en"")"),"Wang Bo Dengtai version of GQ Cover")</f>
        <v>Wang Bo Dengtai version of GQ Cover</v>
      </c>
      <c r="D1496" s="4" t="s">
        <v>2449</v>
      </c>
      <c r="E1496" s="4">
        <v>7277548.0</v>
      </c>
      <c r="F1496" s="4">
        <v>45.0</v>
      </c>
      <c r="G1496" s="4" t="s">
        <v>2450</v>
      </c>
    </row>
    <row r="1497">
      <c r="A1497" s="1">
        <v>1495.0</v>
      </c>
      <c r="B1497" s="4" t="s">
        <v>2366</v>
      </c>
      <c r="C1497" s="4" t="str">
        <f>IFERROR(__xludf.DUMMYFUNCTION("GOOGLETRANSLATE(D:D,""auto"",""en"")"),"Xiaozhan eat gold dumplings")</f>
        <v>Xiaozhan eat gold dumplings</v>
      </c>
      <c r="D1497" s="4" t="s">
        <v>2316</v>
      </c>
      <c r="E1497" s="4">
        <v>7258132.0</v>
      </c>
      <c r="F1497" s="4">
        <v>46.0</v>
      </c>
      <c r="G1497" s="4" t="s">
        <v>2317</v>
      </c>
    </row>
    <row r="1498">
      <c r="A1498" s="1">
        <v>1496.0</v>
      </c>
      <c r="B1498" s="4" t="s">
        <v>2366</v>
      </c>
      <c r="C1498" s="4" t="str">
        <f>IFERROR(__xludf.DUMMYFUNCTION("GOOGLETRANSLATE(D:D,""auto"",""en"")"),"Chinese women's football is isolated in Australia 14 days")</f>
        <v>Chinese women's football is isolated in Australia 14 days</v>
      </c>
      <c r="D1498" s="4" t="s">
        <v>2451</v>
      </c>
      <c r="E1498" s="4">
        <v>7210339.0</v>
      </c>
      <c r="F1498" s="4">
        <v>47.0</v>
      </c>
      <c r="G1498" s="4" t="s">
        <v>2452</v>
      </c>
    </row>
    <row r="1499">
      <c r="A1499" s="1">
        <v>1497.0</v>
      </c>
      <c r="B1499" s="4" t="s">
        <v>2366</v>
      </c>
      <c r="C1499" s="4" t="str">
        <f>IFERROR(__xludf.DUMMYFUNCTION("GOOGLETRANSLATE(D:D,""auto"",""en"")"),"Hubei Provincial Committee expressed condolences for the dead epidemic")</f>
        <v>Hubei Provincial Committee expressed condolences for the dead epidemic</v>
      </c>
      <c r="D1499" s="4" t="s">
        <v>2453</v>
      </c>
      <c r="E1499" s="4">
        <v>7168583.0</v>
      </c>
      <c r="F1499" s="4">
        <v>48.0</v>
      </c>
      <c r="G1499" s="4" t="s">
        <v>2454</v>
      </c>
    </row>
    <row r="1500">
      <c r="A1500" s="1">
        <v>1498.0</v>
      </c>
      <c r="B1500" s="4" t="s">
        <v>2366</v>
      </c>
      <c r="C1500" s="4" t="str">
        <f>IFERROR(__xludf.DUMMYFUNCTION("GOOGLETRANSLATE(D:D,""auto"",""en"")"),"Wang Yuan Ouyang Nana dominate large")</f>
        <v>Wang Yuan Ouyang Nana dominate large</v>
      </c>
      <c r="D1500" s="4" t="s">
        <v>2455</v>
      </c>
      <c r="E1500" s="4">
        <v>7047084.0</v>
      </c>
      <c r="F1500" s="4">
        <v>49.0</v>
      </c>
      <c r="G1500" s="4" t="s">
        <v>2456</v>
      </c>
    </row>
    <row r="1501">
      <c r="A1501" s="1">
        <v>1499.0</v>
      </c>
      <c r="B1501" s="4" t="s">
        <v>2366</v>
      </c>
      <c r="C1501" s="4" t="str">
        <f>IFERROR(__xludf.DUMMYFUNCTION("GOOGLETRANSLATE(D:D,""auto"",""en"")"),"Deng purple chess sing Wuhan refueling")</f>
        <v>Deng purple chess sing Wuhan refueling</v>
      </c>
      <c r="D1501" s="4" t="s">
        <v>2457</v>
      </c>
      <c r="E1501" s="4">
        <v>7046778.0</v>
      </c>
      <c r="F1501" s="4">
        <v>50.0</v>
      </c>
      <c r="G1501" s="4" t="s">
        <v>2458</v>
      </c>
    </row>
    <row r="1502">
      <c r="A1502" s="1">
        <v>1500.0</v>
      </c>
      <c r="B1502" s="4" t="s">
        <v>2459</v>
      </c>
      <c r="C1502" s="4" t="str">
        <f>IFERROR(__xludf.DUMMYFUNCTION("GOOGLETRANSLATE(D:D,""auto"",""en"")"),"Bryant wife replacement Avatar")</f>
        <v>Bryant wife replacement Avatar</v>
      </c>
      <c r="D1502" s="4" t="s">
        <v>2367</v>
      </c>
      <c r="E1502" s="4">
        <v>1.345213E7</v>
      </c>
      <c r="F1502" s="4">
        <v>1.0</v>
      </c>
      <c r="G1502" s="4" t="s">
        <v>2368</v>
      </c>
    </row>
    <row r="1503">
      <c r="A1503" s="1">
        <v>1501.0</v>
      </c>
      <c r="B1503" s="4" t="s">
        <v>2459</v>
      </c>
      <c r="C1503" s="4" t="str">
        <f>IFERROR(__xludf.DUMMYFUNCTION("GOOGLETRANSLATE(D:D,""auto"",""en"")"),"Of the total 9692 cases diagnosed with pneumonia new")</f>
        <v>Of the total 9692 cases diagnosed with pneumonia new</v>
      </c>
      <c r="D1503" s="4" t="s">
        <v>2460</v>
      </c>
      <c r="E1503" s="4">
        <v>1.335794E7</v>
      </c>
      <c r="F1503" s="4">
        <v>2.0</v>
      </c>
      <c r="G1503" s="4" t="s">
        <v>2461</v>
      </c>
    </row>
    <row r="1504">
      <c r="A1504" s="1">
        <v>1502.0</v>
      </c>
      <c r="B1504" s="4" t="s">
        <v>2459</v>
      </c>
      <c r="C1504" s="4" t="str">
        <f>IFERROR(__xludf.DUMMYFUNCTION("GOOGLETRANSLATE(D:D,""auto"",""en"")"),"The new crown pneumonia constitutes an international health emergencies")</f>
        <v>The new crown pneumonia constitutes an international health emergencies</v>
      </c>
      <c r="D1504" s="4" t="s">
        <v>2462</v>
      </c>
      <c r="E1504" s="4">
        <v>1.3094471E7</v>
      </c>
      <c r="F1504" s="4">
        <v>3.0</v>
      </c>
      <c r="G1504" s="4" t="s">
        <v>2463</v>
      </c>
    </row>
    <row r="1505">
      <c r="A1505" s="1">
        <v>1503.0</v>
      </c>
      <c r="B1505" s="4" t="s">
        <v>2459</v>
      </c>
      <c r="C1505" s="4" t="str">
        <f>IFERROR(__xludf.DUMMYFUNCTION("GOOGLETRANSLATE(D:D,""auto"",""en"")"),"US first case of human to human transmission cases")</f>
        <v>US first case of human to human transmission cases</v>
      </c>
      <c r="D1505" s="4" t="s">
        <v>2464</v>
      </c>
      <c r="E1505" s="4">
        <v>1.2768912E7</v>
      </c>
      <c r="F1505" s="4">
        <v>4.0</v>
      </c>
      <c r="G1505" s="4" t="s">
        <v>2465</v>
      </c>
    </row>
    <row r="1506">
      <c r="A1506" s="1">
        <v>1504.0</v>
      </c>
      <c r="B1506" s="4" t="s">
        <v>2459</v>
      </c>
      <c r="C1506" s="4" t="str">
        <f>IFERROR(__xludf.DUMMYFUNCTION("GOOGLETRANSLATE(D:D,""auto"",""en"")"),"SF respond intercepted parcel courier sell masks")</f>
        <v>SF respond intercepted parcel courier sell masks</v>
      </c>
      <c r="D1506" s="4" t="s">
        <v>2379</v>
      </c>
      <c r="E1506" s="4">
        <v>1.2617047E7</v>
      </c>
      <c r="F1506" s="4">
        <v>5.0</v>
      </c>
      <c r="G1506" s="4" t="s">
        <v>2380</v>
      </c>
    </row>
    <row r="1507">
      <c r="A1507" s="1">
        <v>1505.0</v>
      </c>
      <c r="B1507" s="4" t="s">
        <v>2459</v>
      </c>
      <c r="C1507" s="4" t="str">
        <f>IFERROR(__xludf.DUMMYFUNCTION("GOOGLETRANSLATE(D:D,""auto"",""en"")"),"Hebei enterprises return to work no earlier than February 9")</f>
        <v>Hebei enterprises return to work no earlier than February 9</v>
      </c>
      <c r="D1507" s="4" t="s">
        <v>2466</v>
      </c>
      <c r="E1507" s="4">
        <v>1.2402878E7</v>
      </c>
      <c r="F1507" s="4">
        <v>6.0</v>
      </c>
      <c r="G1507" s="4" t="s">
        <v>2467</v>
      </c>
    </row>
    <row r="1508">
      <c r="A1508" s="1">
        <v>1506.0</v>
      </c>
      <c r="B1508" s="4" t="s">
        <v>2459</v>
      </c>
      <c r="C1508" s="4" t="str">
        <f>IFERROR(__xludf.DUMMYFUNCTION("GOOGLETRANSLATE(D:D,""auto"",""en"")"),"Li Keqiang again shook hands with Zhong Nanshan")</f>
        <v>Li Keqiang again shook hands with Zhong Nanshan</v>
      </c>
      <c r="D1508" s="4" t="s">
        <v>2468</v>
      </c>
      <c r="E1508" s="4">
        <v>1.2073306E7</v>
      </c>
      <c r="F1508" s="4">
        <v>7.0</v>
      </c>
      <c r="G1508" s="4" t="s">
        <v>2469</v>
      </c>
    </row>
    <row r="1509">
      <c r="A1509" s="1">
        <v>1507.0</v>
      </c>
      <c r="B1509" s="4" t="s">
        <v>2459</v>
      </c>
      <c r="C1509" s="4" t="str">
        <f>IFERROR(__xludf.DUMMYFUNCTION("GOOGLETRANSLATE(D:D,""auto"",""en"")"),"Huanggang Wei, director of health committee is removed from office")</f>
        <v>Huanggang Wei, director of health committee is removed from office</v>
      </c>
      <c r="D1509" s="4" t="s">
        <v>2470</v>
      </c>
      <c r="E1509" s="4">
        <v>1.1969879E7</v>
      </c>
      <c r="F1509" s="4">
        <v>8.0</v>
      </c>
      <c r="G1509" s="4" t="s">
        <v>2471</v>
      </c>
    </row>
    <row r="1510">
      <c r="A1510" s="1">
        <v>1508.0</v>
      </c>
      <c r="B1510" s="4" t="s">
        <v>2459</v>
      </c>
      <c r="C1510" s="4" t="str">
        <f>IFERROR(__xludf.DUMMYFUNCTION("GOOGLETRANSLATE(D:D,""auto"",""en"")"),"Shanghai medical experts to respond to the first-line party leader")</f>
        <v>Shanghai medical experts to respond to the first-line party leader</v>
      </c>
      <c r="D1510" s="4" t="s">
        <v>2472</v>
      </c>
      <c r="E1510" s="4">
        <v>1.1795189E7</v>
      </c>
      <c r="F1510" s="4">
        <v>9.0</v>
      </c>
      <c r="G1510" s="4" t="s">
        <v>2473</v>
      </c>
    </row>
    <row r="1511">
      <c r="A1511" s="1">
        <v>1509.0</v>
      </c>
      <c r="B1511" s="4" t="s">
        <v>2459</v>
      </c>
      <c r="C1511" s="4" t="str">
        <f>IFERROR(__xludf.DUMMYFUNCTION("GOOGLETRANSLATE(D:D,""auto"",""en"")"),"Henan new 74 cases total 352 cases diagnosed")</f>
        <v>Henan new 74 cases total 352 cases diagnosed</v>
      </c>
      <c r="D1511" s="4" t="s">
        <v>2474</v>
      </c>
      <c r="E1511" s="4">
        <v>1.1538911E7</v>
      </c>
      <c r="F1511" s="4">
        <v>10.0</v>
      </c>
      <c r="G1511" s="4" t="s">
        <v>2475</v>
      </c>
    </row>
    <row r="1512">
      <c r="A1512" s="1">
        <v>1510.0</v>
      </c>
      <c r="B1512" s="4" t="s">
        <v>2459</v>
      </c>
      <c r="C1512" s="4" t="str">
        <f>IFERROR(__xludf.DUMMYFUNCTION("GOOGLETRANSLATE(D:D,""auto"",""en"")"),"Wang Yuan Ouyang Nana dominate large")</f>
        <v>Wang Yuan Ouyang Nana dominate large</v>
      </c>
      <c r="D1512" s="4" t="s">
        <v>2455</v>
      </c>
      <c r="E1512" s="4">
        <v>1.1373348E7</v>
      </c>
      <c r="F1512" s="4">
        <v>11.0</v>
      </c>
      <c r="G1512" s="4" t="s">
        <v>2456</v>
      </c>
    </row>
    <row r="1513">
      <c r="A1513" s="1">
        <v>1511.0</v>
      </c>
      <c r="B1513" s="4" t="s">
        <v>2459</v>
      </c>
      <c r="C1513" s="4" t="str">
        <f>IFERROR(__xludf.DUMMYFUNCTION("GOOGLETRANSLATE(D:D,""auto"",""en"")"),"Ministry of Foreign Affairs to respond to the World Health Organization decided")</f>
        <v>Ministry of Foreign Affairs to respond to the World Health Organization decided</v>
      </c>
      <c r="D1513" s="4" t="s">
        <v>2476</v>
      </c>
      <c r="E1513" s="4">
        <v>1.1208251E7</v>
      </c>
      <c r="F1513" s="4">
        <v>12.0</v>
      </c>
      <c r="G1513" s="4" t="s">
        <v>2477</v>
      </c>
    </row>
    <row r="1514">
      <c r="A1514" s="1">
        <v>1512.0</v>
      </c>
      <c r="B1514" s="4" t="s">
        <v>2459</v>
      </c>
      <c r="C1514" s="4" t="str">
        <f>IFERROR(__xludf.DUMMYFUNCTION("GOOGLETRANSLATE(D:D,""auto"",""en"")"),"Slipped instantly masks distressed cry")</f>
        <v>Slipped instantly masks distressed cry</v>
      </c>
      <c r="D1514" s="4" t="s">
        <v>2478</v>
      </c>
      <c r="E1514" s="4">
        <v>1.0927207E7</v>
      </c>
      <c r="F1514" s="4">
        <v>13.0</v>
      </c>
      <c r="G1514" s="4" t="s">
        <v>2479</v>
      </c>
    </row>
    <row r="1515">
      <c r="A1515" s="1">
        <v>1513.0</v>
      </c>
      <c r="B1515" s="4" t="s">
        <v>2459</v>
      </c>
      <c r="C1515" s="4" t="str">
        <f>IFERROR(__xludf.DUMMYFUNCTION("GOOGLETRANSLATE(D:D,""auto"",""en"")"),"Beijing transition period from the input to the proliferation of")</f>
        <v>Beijing transition period from the input to the proliferation of</v>
      </c>
      <c r="D1515" s="4" t="s">
        <v>2480</v>
      </c>
      <c r="E1515" s="4">
        <v>1.0707707E7</v>
      </c>
      <c r="F1515" s="4">
        <v>14.0</v>
      </c>
      <c r="G1515" s="4" t="s">
        <v>2481</v>
      </c>
    </row>
    <row r="1516">
      <c r="A1516" s="1">
        <v>1514.0</v>
      </c>
      <c r="B1516" s="4" t="s">
        <v>2459</v>
      </c>
      <c r="C1516" s="4" t="str">
        <f>IFERROR(__xludf.DUMMYFUNCTION("GOOGLETRANSLATE(D:D,""auto"",""en"")"),"New Sichuan confirmed 36 cases of a total of 177 cases")</f>
        <v>New Sichuan confirmed 36 cases of a total of 177 cases</v>
      </c>
      <c r="D1516" s="4" t="s">
        <v>2482</v>
      </c>
      <c r="E1516" s="4">
        <v>1.0649457E7</v>
      </c>
      <c r="F1516" s="4">
        <v>15.0</v>
      </c>
      <c r="G1516" s="4" t="s">
        <v>2483</v>
      </c>
    </row>
    <row r="1517">
      <c r="A1517" s="1">
        <v>1515.0</v>
      </c>
      <c r="B1517" s="4" t="s">
        <v>2459</v>
      </c>
      <c r="C1517" s="4" t="str">
        <f>IFERROR(__xludf.DUMMYFUNCTION("GOOGLETRANSLATE(D:D,""auto"",""en"")"),"Provincial secretary of the inspection epidemic was stopped by the village uncle")</f>
        <v>Provincial secretary of the inspection epidemic was stopped by the village uncle</v>
      </c>
      <c r="D1517" s="4" t="s">
        <v>2484</v>
      </c>
      <c r="E1517" s="4">
        <v>1.0562818E7</v>
      </c>
      <c r="F1517" s="4">
        <v>16.0</v>
      </c>
      <c r="G1517" s="4" t="s">
        <v>2485</v>
      </c>
    </row>
    <row r="1518">
      <c r="A1518" s="1">
        <v>1516.0</v>
      </c>
      <c r="B1518" s="4" t="s">
        <v>2459</v>
      </c>
      <c r="C1518" s="4" t="str">
        <f>IFERROR(__xludf.DUMMYFUNCTION("GOOGLETRANSLATE(D:D,""auto"",""en"")"),"Chongqing Nantong fly 83 flights were observed Medicine")</f>
        <v>Chongqing Nantong fly 83 flights were observed Medicine</v>
      </c>
      <c r="D1518" s="4" t="s">
        <v>2486</v>
      </c>
      <c r="E1518" s="4">
        <v>1.0387313E7</v>
      </c>
      <c r="F1518" s="4">
        <v>17.0</v>
      </c>
      <c r="G1518" s="4" t="s">
        <v>2487</v>
      </c>
    </row>
    <row r="1519">
      <c r="A1519" s="1">
        <v>1517.0</v>
      </c>
      <c r="B1519" s="4" t="s">
        <v>2459</v>
      </c>
      <c r="C1519" s="4" t="str">
        <f>IFERROR(__xludf.DUMMYFUNCTION("GOOGLETRANSLATE(D:D,""auto"",""en"")"),"Anhui added 37 cases total 237 cases diagnosed")</f>
        <v>Anhui added 37 cases total 237 cases diagnosed</v>
      </c>
      <c r="D1519" s="4" t="s">
        <v>2488</v>
      </c>
      <c r="E1519" s="4">
        <v>1.0279441E7</v>
      </c>
      <c r="F1519" s="4">
        <v>18.0</v>
      </c>
      <c r="G1519" s="4" t="s">
        <v>2489</v>
      </c>
    </row>
    <row r="1520">
      <c r="A1520" s="1">
        <v>1518.0</v>
      </c>
      <c r="B1520" s="4" t="s">
        <v>2459</v>
      </c>
      <c r="C1520" s="4" t="str">
        <f>IFERROR(__xludf.DUMMYFUNCTION("GOOGLETRANSLATE(D:D,""auto"",""en"")"),"Do not rush vegetables Reminder")</f>
        <v>Do not rush vegetables Reminder</v>
      </c>
      <c r="D1520" s="4" t="s">
        <v>2490</v>
      </c>
      <c r="E1520" s="4">
        <v>1.0268038E7</v>
      </c>
      <c r="F1520" s="4">
        <v>19.0</v>
      </c>
      <c r="G1520" s="4" t="s">
        <v>2491</v>
      </c>
    </row>
    <row r="1521">
      <c r="A1521" s="1">
        <v>1519.0</v>
      </c>
      <c r="B1521" s="4" t="s">
        <v>2459</v>
      </c>
      <c r="C1521" s="4" t="str">
        <f>IFERROR(__xludf.DUMMYFUNCTION("GOOGLETRANSLATE(D:D,""auto"",""en"")"),"14, T156 and K1454 times a passenger")</f>
        <v>14, T156 and K1454 times a passenger</v>
      </c>
      <c r="D1521" s="4" t="s">
        <v>2492</v>
      </c>
      <c r="E1521" s="4">
        <v>1.013465E7</v>
      </c>
      <c r="F1521" s="4">
        <v>20.0</v>
      </c>
      <c r="G1521" s="4" t="s">
        <v>2493</v>
      </c>
    </row>
    <row r="1522">
      <c r="A1522" s="1">
        <v>1520.0</v>
      </c>
      <c r="B1522" s="4" t="s">
        <v>2459</v>
      </c>
      <c r="C1522" s="4" t="str">
        <f>IFERROR(__xludf.DUMMYFUNCTION("GOOGLETRANSLATE(D:D,""auto"",""en"")"),"I came back a year to supervise you do housework")</f>
        <v>I came back a year to supervise you do housework</v>
      </c>
      <c r="D1522" s="4" t="s">
        <v>2494</v>
      </c>
      <c r="E1522" s="4">
        <v>1.0105775E7</v>
      </c>
      <c r="F1522" s="4">
        <v>21.0</v>
      </c>
      <c r="G1522" s="4" t="s">
        <v>2495</v>
      </c>
    </row>
    <row r="1523">
      <c r="A1523" s="1">
        <v>1521.0</v>
      </c>
      <c r="B1523" s="4" t="s">
        <v>2459</v>
      </c>
      <c r="C1523" s="4" t="str">
        <f>IFERROR(__xludf.DUMMYFUNCTION("GOOGLETRANSLATE(D:D,""auto"",""en"")"),"97 anonymous guy donated 250,000 masks")</f>
        <v>97 anonymous guy donated 250,000 masks</v>
      </c>
      <c r="D1523" s="4" t="s">
        <v>2429</v>
      </c>
      <c r="E1523" s="4">
        <v>1.0006634E7</v>
      </c>
      <c r="F1523" s="4">
        <v>22.0</v>
      </c>
      <c r="G1523" s="4" t="s">
        <v>2430</v>
      </c>
    </row>
    <row r="1524">
      <c r="A1524" s="1">
        <v>1522.0</v>
      </c>
      <c r="B1524" s="4" t="s">
        <v>2459</v>
      </c>
      <c r="C1524" s="4" t="str">
        <f>IFERROR(__xludf.DUMMYFUNCTION("GOOGLETRANSLATE(D:D,""auto"",""en"")"),"Wuhan family members of a patient assaulted a doctor jingfangxingju")</f>
        <v>Wuhan family members of a patient assaulted a doctor jingfangxingju</v>
      </c>
      <c r="D1524" s="4" t="s">
        <v>2496</v>
      </c>
      <c r="E1524" s="4">
        <v>9977238.0</v>
      </c>
      <c r="F1524" s="4">
        <v>23.0</v>
      </c>
      <c r="G1524" s="4" t="s">
        <v>2497</v>
      </c>
    </row>
    <row r="1525">
      <c r="A1525" s="1">
        <v>1523.0</v>
      </c>
      <c r="B1525" s="4" t="s">
        <v>2459</v>
      </c>
      <c r="C1525" s="4" t="str">
        <f>IFERROR(__xludf.DUMMYFUNCTION("GOOGLETRANSLATE(D:D,""auto"",""en"")"),"Wuhan, a help to get identity cards open house detention")</f>
        <v>Wuhan, a help to get identity cards open house detention</v>
      </c>
      <c r="D1525" s="4" t="s">
        <v>2498</v>
      </c>
      <c r="E1525" s="4">
        <v>9909217.0</v>
      </c>
      <c r="F1525" s="4">
        <v>24.0</v>
      </c>
      <c r="G1525" s="4" t="s">
        <v>2499</v>
      </c>
    </row>
    <row r="1526">
      <c r="A1526" s="1">
        <v>1524.0</v>
      </c>
      <c r="B1526" s="4" t="s">
        <v>2459</v>
      </c>
      <c r="C1526" s="4" t="str">
        <f>IFERROR(__xludf.DUMMYFUNCTION("GOOGLETRANSLATE(D:D,""auto"",""en"")"),"Beijing a total of seven cases of new confirmed 121 cases")</f>
        <v>Beijing a total of seven cases of new confirmed 121 cases</v>
      </c>
      <c r="D1526" s="4" t="s">
        <v>2500</v>
      </c>
      <c r="E1526" s="4">
        <v>9865711.0</v>
      </c>
      <c r="F1526" s="4">
        <v>25.0</v>
      </c>
      <c r="G1526" s="4" t="s">
        <v>2501</v>
      </c>
    </row>
    <row r="1527">
      <c r="A1527" s="1">
        <v>1525.0</v>
      </c>
      <c r="B1527" s="4" t="s">
        <v>2459</v>
      </c>
      <c r="C1527" s="4" t="str">
        <f>IFERROR(__xludf.DUMMYFUNCTION("GOOGLETRANSLATE(D:D,""auto"",""en"")"),"Guangdong new total of 82 cases diagnosed 393 cases")</f>
        <v>Guangdong new total of 82 cases diagnosed 393 cases</v>
      </c>
      <c r="D1527" s="4" t="s">
        <v>2502</v>
      </c>
      <c r="E1527" s="4">
        <v>9709387.0</v>
      </c>
      <c r="F1527" s="4">
        <v>26.0</v>
      </c>
      <c r="G1527" s="4" t="s">
        <v>2503</v>
      </c>
    </row>
    <row r="1528">
      <c r="A1528" s="1">
        <v>1526.0</v>
      </c>
      <c r="B1528" s="4" t="s">
        <v>2459</v>
      </c>
      <c r="C1528" s="4" t="str">
        <f>IFERROR(__xludf.DUMMYFUNCTION("GOOGLETRANSLATE(D:D,""auto"",""en"")"),"Epidemic prevention and control medical officer grants")</f>
        <v>Epidemic prevention and control medical officer grants</v>
      </c>
      <c r="D1528" s="4" t="s">
        <v>2504</v>
      </c>
      <c r="E1528" s="4">
        <v>9708895.0</v>
      </c>
      <c r="F1528" s="4">
        <v>27.0</v>
      </c>
      <c r="G1528" s="4" t="s">
        <v>2505</v>
      </c>
    </row>
    <row r="1529">
      <c r="A1529" s="1">
        <v>1527.0</v>
      </c>
      <c r="B1529" s="4" t="s">
        <v>2459</v>
      </c>
      <c r="C1529" s="4" t="str">
        <f>IFERROR(__xludf.DUMMYFUNCTION("GOOGLETRANSLATE(D:D,""auto"",""en"")"),"Hubei Red Cross donated masks to respond to questioning")</f>
        <v>Hubei Red Cross donated masks to respond to questioning</v>
      </c>
      <c r="D1529" s="4" t="s">
        <v>2506</v>
      </c>
      <c r="E1529" s="4">
        <v>9668686.0</v>
      </c>
      <c r="F1529" s="4">
        <v>28.0</v>
      </c>
      <c r="G1529" s="4" t="s">
        <v>2507</v>
      </c>
    </row>
    <row r="1530">
      <c r="A1530" s="1">
        <v>1528.0</v>
      </c>
      <c r="B1530" s="4" t="s">
        <v>2459</v>
      </c>
      <c r="C1530" s="4" t="str">
        <f>IFERROR(__xludf.DUMMYFUNCTION("GOOGLETRANSLATE(D:D,""auto"",""en"")"),"Chongqing Add 24 cases total 206 cases diagnosed")</f>
        <v>Chongqing Add 24 cases total 206 cases diagnosed</v>
      </c>
      <c r="D1530" s="4" t="s">
        <v>2508</v>
      </c>
      <c r="E1530" s="4">
        <v>9469518.0</v>
      </c>
      <c r="F1530" s="4">
        <v>29.0</v>
      </c>
      <c r="G1530" s="4" t="s">
        <v>2509</v>
      </c>
    </row>
    <row r="1531">
      <c r="A1531" s="1">
        <v>1529.0</v>
      </c>
      <c r="B1531" s="4" t="s">
        <v>2459</v>
      </c>
      <c r="C1531" s="4" t="str">
        <f>IFERROR(__xludf.DUMMYFUNCTION("GOOGLETRANSLATE(D:D,""auto"",""en"")"),"NBA All-Star Kobe Bryant restructuring tribute")</f>
        <v>NBA All-Star Kobe Bryant restructuring tribute</v>
      </c>
      <c r="D1531" s="4" t="s">
        <v>2510</v>
      </c>
      <c r="E1531" s="4">
        <v>9428235.0</v>
      </c>
      <c r="F1531" s="4">
        <v>30.0</v>
      </c>
      <c r="G1531" s="4" t="s">
        <v>2511</v>
      </c>
    </row>
    <row r="1532">
      <c r="A1532" s="1">
        <v>1530.0</v>
      </c>
      <c r="B1532" s="4" t="s">
        <v>2459</v>
      </c>
      <c r="C1532" s="4" t="str">
        <f>IFERROR(__xludf.DUMMYFUNCTION("GOOGLETRANSLATE(D:D,""auto"",""en"")"),"Experts called for N95 masks medical staff to leave")</f>
        <v>Experts called for N95 masks medical staff to leave</v>
      </c>
      <c r="D1532" s="4" t="s">
        <v>2512</v>
      </c>
      <c r="E1532" s="4">
        <v>9391068.0</v>
      </c>
      <c r="F1532" s="4">
        <v>31.0</v>
      </c>
      <c r="G1532" s="4" t="s">
        <v>2513</v>
      </c>
    </row>
    <row r="1533">
      <c r="A1533" s="1">
        <v>1531.0</v>
      </c>
      <c r="B1533" s="4" t="s">
        <v>2459</v>
      </c>
      <c r="C1533" s="4" t="str">
        <f>IFERROR(__xludf.DUMMYFUNCTION("GOOGLETRANSLATE(D:D,""auto"",""en"")"),"Beijing enterprises February 10 to work")</f>
        <v>Beijing enterprises February 10 to work</v>
      </c>
      <c r="D1533" s="4" t="s">
        <v>2514</v>
      </c>
      <c r="E1533" s="4">
        <v>9274013.0</v>
      </c>
      <c r="F1533" s="4">
        <v>32.0</v>
      </c>
      <c r="G1533" s="4" t="s">
        <v>2515</v>
      </c>
    </row>
    <row r="1534">
      <c r="A1534" s="1">
        <v>1532.0</v>
      </c>
      <c r="B1534" s="4" t="s">
        <v>2459</v>
      </c>
      <c r="C1534" s="4" t="str">
        <f>IFERROR(__xludf.DUMMYFUNCTION("GOOGLETRANSLATE(D:D,""auto"",""en"")"),"Shandong new total of 20 cases diagnosed 178 cases")</f>
        <v>Shandong new total of 20 cases diagnosed 178 cases</v>
      </c>
      <c r="D1534" s="4" t="s">
        <v>2516</v>
      </c>
      <c r="E1534" s="4">
        <v>9222064.0</v>
      </c>
      <c r="F1534" s="4">
        <v>33.0</v>
      </c>
      <c r="G1534" s="4" t="s">
        <v>2517</v>
      </c>
    </row>
    <row r="1535">
      <c r="A1535" s="1">
        <v>1533.0</v>
      </c>
      <c r="B1535" s="4" t="s">
        <v>2459</v>
      </c>
      <c r="C1535" s="4" t="str">
        <f>IFERROR(__xludf.DUMMYFUNCTION("GOOGLETRANSLATE(D:D,""auto"",""en"")"),"The baby may love the way masks")</f>
        <v>The baby may love the way masks</v>
      </c>
      <c r="D1535" s="4" t="s">
        <v>2401</v>
      </c>
      <c r="E1535" s="4">
        <v>9157347.0</v>
      </c>
      <c r="F1535" s="4">
        <v>34.0</v>
      </c>
      <c r="G1535" s="4" t="s">
        <v>2402</v>
      </c>
    </row>
    <row r="1536">
      <c r="A1536" s="1">
        <v>1534.0</v>
      </c>
      <c r="B1536" s="4" t="s">
        <v>2459</v>
      </c>
      <c r="C1536" s="4" t="str">
        <f>IFERROR(__xludf.DUMMYFUNCTION("GOOGLETRANSLATE(D:D,""auto"",""en"")"),"Jiangsu new total of 39 cases diagnosed 168 cases")</f>
        <v>Jiangsu new total of 39 cases diagnosed 168 cases</v>
      </c>
      <c r="D1536" s="4" t="s">
        <v>2518</v>
      </c>
      <c r="E1536" s="4">
        <v>9012450.0</v>
      </c>
      <c r="F1536" s="4">
        <v>35.0</v>
      </c>
      <c r="G1536" s="4" t="s">
        <v>2519</v>
      </c>
    </row>
    <row r="1537">
      <c r="A1537" s="1">
        <v>1535.0</v>
      </c>
      <c r="B1537" s="4" t="s">
        <v>2459</v>
      </c>
      <c r="C1537" s="4" t="str">
        <f>IFERROR(__xludf.DUMMYFUNCTION("GOOGLETRANSLATE(D:D,""auto"",""en"")"),"Northern large cities will be put in reserve vegetables")</f>
        <v>Northern large cities will be put in reserve vegetables</v>
      </c>
      <c r="D1537" s="4" t="s">
        <v>2520</v>
      </c>
      <c r="E1537" s="4">
        <v>8924467.0</v>
      </c>
      <c r="F1537" s="4">
        <v>36.0</v>
      </c>
      <c r="G1537" s="4" t="s">
        <v>2521</v>
      </c>
    </row>
    <row r="1538">
      <c r="A1538" s="1">
        <v>1536.0</v>
      </c>
      <c r="B1538" s="4" t="s">
        <v>2459</v>
      </c>
      <c r="C1538" s="4" t="str">
        <f>IFERROR(__xludf.DUMMYFUNCTION("GOOGLETRANSLATE(D:D,""auto"",""en"")"),"After the new crown cure pneumonia patients have the risk of re-infection")</f>
        <v>After the new crown cure pneumonia patients have the risk of re-infection</v>
      </c>
      <c r="D1538" s="4" t="s">
        <v>2522</v>
      </c>
      <c r="E1538" s="4">
        <v>8755807.0</v>
      </c>
      <c r="F1538" s="4">
        <v>37.0</v>
      </c>
      <c r="G1538" s="4" t="s">
        <v>2523</v>
      </c>
    </row>
    <row r="1539">
      <c r="A1539" s="1">
        <v>1537.0</v>
      </c>
      <c r="B1539" s="4" t="s">
        <v>2459</v>
      </c>
      <c r="C1539" s="4" t="str">
        <f>IFERROR(__xludf.DUMMYFUNCTION("GOOGLETRANSLATE(D:D,""auto"",""en"")"),"Mother does not wear a mask to prevent hard-core stopping by villagers")</f>
        <v>Mother does not wear a mask to prevent hard-core stopping by villagers</v>
      </c>
      <c r="D1539" s="4" t="s">
        <v>2524</v>
      </c>
      <c r="E1539" s="4">
        <v>8722664.0</v>
      </c>
      <c r="F1539" s="4">
        <v>38.0</v>
      </c>
      <c r="G1539" s="4" t="s">
        <v>2525</v>
      </c>
    </row>
    <row r="1540">
      <c r="A1540" s="1">
        <v>1538.0</v>
      </c>
      <c r="B1540" s="4" t="s">
        <v>2459</v>
      </c>
      <c r="C1540" s="4" t="str">
        <f>IFERROR(__xludf.DUMMYFUNCTION("GOOGLETRANSLATE(D:D,""auto"",""en"")"),"China decided to send charter flights overseas citizens Hubei home")</f>
        <v>China decided to send charter flights overseas citizens Hubei home</v>
      </c>
      <c r="D1540" s="4" t="s">
        <v>2526</v>
      </c>
      <c r="E1540" s="4">
        <v>8707748.0</v>
      </c>
      <c r="F1540" s="4">
        <v>39.0</v>
      </c>
      <c r="G1540" s="4" t="s">
        <v>2527</v>
      </c>
    </row>
    <row r="1541">
      <c r="A1541" s="1">
        <v>1539.0</v>
      </c>
      <c r="B1541" s="4" t="s">
        <v>2459</v>
      </c>
      <c r="C1541" s="4" t="str">
        <f>IFERROR(__xludf.DUMMYFUNCTION("GOOGLETRANSLATE(D:D,""auto"",""en"")"),"I was driven to the home of what the")</f>
        <v>I was driven to the home of what the</v>
      </c>
      <c r="D1541" s="4" t="s">
        <v>2528</v>
      </c>
      <c r="E1541" s="4">
        <v>8626825.0</v>
      </c>
      <c r="F1541" s="4">
        <v>40.0</v>
      </c>
      <c r="G1541" s="4" t="s">
        <v>2529</v>
      </c>
    </row>
    <row r="1542">
      <c r="A1542" s="1">
        <v>1540.0</v>
      </c>
      <c r="B1542" s="4" t="s">
        <v>2459</v>
      </c>
      <c r="C1542" s="4" t="str">
        <f>IFERROR(__xludf.DUMMYFUNCTION("GOOGLETRANSLATE(D:D,""auto"",""en"")"),"NBA Eastern and Western All-Star reserve list released")</f>
        <v>NBA Eastern and Western All-Star reserve list released</v>
      </c>
      <c r="D1542" s="4" t="s">
        <v>2530</v>
      </c>
      <c r="E1542" s="4">
        <v>8610913.0</v>
      </c>
      <c r="F1542" s="4">
        <v>41.0</v>
      </c>
      <c r="G1542" s="4" t="s">
        <v>2531</v>
      </c>
    </row>
    <row r="1543">
      <c r="A1543" s="1">
        <v>1541.0</v>
      </c>
      <c r="B1543" s="4" t="s">
        <v>2459</v>
      </c>
      <c r="C1543" s="4" t="str">
        <f>IFERROR(__xludf.DUMMYFUNCTION("GOOGLETRANSLATE(D:D,""auto"",""en"")"),"E-choked flight attendants agreed to aid doctors")</f>
        <v>E-choked flight attendants agreed to aid doctors</v>
      </c>
      <c r="D1543" s="4" t="s">
        <v>2532</v>
      </c>
      <c r="E1543" s="4">
        <v>8565025.0</v>
      </c>
      <c r="F1543" s="4">
        <v>42.0</v>
      </c>
      <c r="G1543" s="4" t="s">
        <v>2533</v>
      </c>
    </row>
    <row r="1544">
      <c r="A1544" s="1">
        <v>1542.0</v>
      </c>
      <c r="B1544" s="4" t="s">
        <v>2459</v>
      </c>
      <c r="C1544" s="4" t="str">
        <f>IFERROR(__xludf.DUMMYFUNCTION("GOOGLETRANSLATE(D:D,""auto"",""en"")"),"Wuhan courier sent without rejection")</f>
        <v>Wuhan courier sent without rejection</v>
      </c>
      <c r="D1544" s="4" t="s">
        <v>2413</v>
      </c>
      <c r="E1544" s="4">
        <v>8560097.0</v>
      </c>
      <c r="F1544" s="4">
        <v>43.0</v>
      </c>
      <c r="G1544" s="4" t="s">
        <v>2414</v>
      </c>
    </row>
    <row r="1545">
      <c r="A1545" s="1">
        <v>1543.0</v>
      </c>
      <c r="B1545" s="4" t="s">
        <v>2459</v>
      </c>
      <c r="C1545" s="4" t="str">
        <f>IFERROR(__xludf.DUMMYFUNCTION("GOOGLETRANSLATE(D:D,""auto"",""en"")"),"Beijing extended the holiday to February 10")</f>
        <v>Beijing extended the holiday to February 10</v>
      </c>
      <c r="D1545" s="4" t="s">
        <v>2534</v>
      </c>
      <c r="E1545" s="4">
        <v>8448222.0</v>
      </c>
      <c r="F1545" s="4">
        <v>44.0</v>
      </c>
      <c r="G1545" s="4" t="s">
        <v>2535</v>
      </c>
    </row>
    <row r="1546">
      <c r="A1546" s="1">
        <v>1544.0</v>
      </c>
      <c r="B1546" s="4" t="s">
        <v>2459</v>
      </c>
      <c r="C1546" s="4" t="str">
        <f>IFERROR(__xludf.DUMMYFUNCTION("GOOGLETRANSLATE(D:D,""auto"",""en"")"),"Prosecutors asked the suspect to make low-quality masks")</f>
        <v>Prosecutors asked the suspect to make low-quality masks</v>
      </c>
      <c r="D1546" s="4" t="s">
        <v>2536</v>
      </c>
      <c r="E1546" s="4">
        <v>8447773.0</v>
      </c>
      <c r="F1546" s="4">
        <v>45.0</v>
      </c>
      <c r="G1546" s="4" t="s">
        <v>2537</v>
      </c>
    </row>
    <row r="1547">
      <c r="A1547" s="1">
        <v>1545.0</v>
      </c>
      <c r="B1547" s="4" t="s">
        <v>2459</v>
      </c>
      <c r="C1547" s="4" t="str">
        <f>IFERROR(__xludf.DUMMYFUNCTION("GOOGLETRANSLATE(D:D,""auto"",""en"")"),"Elva unexciting love little genius")</f>
        <v>Elva unexciting love little genius</v>
      </c>
      <c r="D1547" s="4" t="s">
        <v>2538</v>
      </c>
      <c r="E1547" s="4">
        <v>8380730.0</v>
      </c>
      <c r="F1547" s="4">
        <v>46.0</v>
      </c>
      <c r="G1547" s="4" t="s">
        <v>2539</v>
      </c>
    </row>
    <row r="1548">
      <c r="A1548" s="1">
        <v>1546.0</v>
      </c>
      <c r="B1548" s="4" t="s">
        <v>2459</v>
      </c>
      <c r="C1548" s="4" t="str">
        <f>IFERROR(__xludf.DUMMYFUNCTION("GOOGLETRANSLATE(D:D,""auto"",""en"")"),"Grassroots cadres to go to the expense of a car accident on his way vaccination")</f>
        <v>Grassroots cadres to go to the expense of a car accident on his way vaccination</v>
      </c>
      <c r="D1548" s="4" t="s">
        <v>2540</v>
      </c>
      <c r="E1548" s="4">
        <v>8365094.0</v>
      </c>
      <c r="F1548" s="4">
        <v>47.0</v>
      </c>
      <c r="G1548" s="4" t="s">
        <v>2541</v>
      </c>
    </row>
    <row r="1549">
      <c r="A1549" s="1">
        <v>1547.0</v>
      </c>
      <c r="B1549" s="4" t="s">
        <v>2459</v>
      </c>
      <c r="C1549" s="4" t="str">
        <f>IFERROR(__xludf.DUMMYFUNCTION("GOOGLETRANSLATE(D:D,""auto"",""en"")"),"Human photographed so far the clearest picture of the sun")</f>
        <v>Human photographed so far the clearest picture of the sun</v>
      </c>
      <c r="D1549" s="4" t="s">
        <v>2542</v>
      </c>
      <c r="E1549" s="4">
        <v>8330930.0</v>
      </c>
      <c r="F1549" s="4">
        <v>48.0</v>
      </c>
      <c r="G1549" s="4" t="s">
        <v>2543</v>
      </c>
    </row>
    <row r="1550">
      <c r="A1550" s="1">
        <v>1548.0</v>
      </c>
      <c r="B1550" s="4" t="s">
        <v>2459</v>
      </c>
      <c r="C1550" s="4" t="str">
        <f>IFERROR(__xludf.DUMMYFUNCTION("GOOGLETRANSLATE(D:D,""auto"",""en"")"),"Zhejiang new total of 109 cases diagnosed 537 cases")</f>
        <v>Zhejiang new total of 109 cases diagnosed 537 cases</v>
      </c>
      <c r="D1550" s="4" t="s">
        <v>2544</v>
      </c>
      <c r="E1550" s="4">
        <v>8318851.0</v>
      </c>
      <c r="F1550" s="4">
        <v>49.0</v>
      </c>
      <c r="G1550" s="4" t="s">
        <v>2545</v>
      </c>
    </row>
    <row r="1551">
      <c r="A1551" s="1">
        <v>1549.0</v>
      </c>
      <c r="B1551" s="4" t="s">
        <v>2459</v>
      </c>
      <c r="C1551" s="4" t="str">
        <f>IFERROR(__xludf.DUMMYFUNCTION("GOOGLETRANSLATE(D:D,""auto"",""en"")"),"James Tattoo")</f>
        <v>James Tattoo</v>
      </c>
      <c r="D1551" s="4" t="s">
        <v>2546</v>
      </c>
      <c r="E1551" s="4">
        <v>8242564.0</v>
      </c>
      <c r="F1551" s="4">
        <v>50.0</v>
      </c>
      <c r="G1551" s="4" t="s">
        <v>2547</v>
      </c>
    </row>
    <row r="1552">
      <c r="A1552" s="1">
        <v>1550.0</v>
      </c>
      <c r="B1552" s="4" t="s">
        <v>2548</v>
      </c>
      <c r="C1552" s="4" t="str">
        <f>IFERROR(__xludf.DUMMYFUNCTION("GOOGLETRANSLATE(D:D,""auto"",""en"")"),"111 Wuhan Wuhan passenger charter flight back from Tokyo")</f>
        <v>111 Wuhan Wuhan passenger charter flight back from Tokyo</v>
      </c>
      <c r="D1552" s="4" t="s">
        <v>2549</v>
      </c>
      <c r="E1552" s="4">
        <v>1.1491213E7</v>
      </c>
      <c r="F1552" s="4">
        <v>1.0</v>
      </c>
      <c r="G1552" s="4" t="s">
        <v>2550</v>
      </c>
    </row>
    <row r="1553">
      <c r="A1553" s="1">
        <v>1551.0</v>
      </c>
      <c r="B1553" s="4" t="s">
        <v>2548</v>
      </c>
      <c r="C1553" s="4" t="str">
        <f>IFERROR(__xludf.DUMMYFUNCTION("GOOGLETRANSLATE(D:D,""auto"",""en"")"),"It can also be a viral vector")</f>
        <v>It can also be a viral vector</v>
      </c>
      <c r="D1553" s="4" t="s">
        <v>2551</v>
      </c>
      <c r="E1553" s="4">
        <v>1.1250244E7</v>
      </c>
      <c r="F1553" s="4">
        <v>2.0</v>
      </c>
      <c r="G1553" s="4" t="s">
        <v>2552</v>
      </c>
    </row>
    <row r="1554">
      <c r="A1554" s="1">
        <v>1552.0</v>
      </c>
      <c r="B1554" s="4" t="s">
        <v>2548</v>
      </c>
      <c r="C1554" s="4" t="str">
        <f>IFERROR(__xludf.DUMMYFUNCTION("GOOGLETRANSLATE(D:D,""auto"",""en"")"),"Li Lanjuan advocate nothing wrong not to take medicine")</f>
        <v>Li Lanjuan advocate nothing wrong not to take medicine</v>
      </c>
      <c r="D1554" s="4" t="s">
        <v>2553</v>
      </c>
      <c r="E1554" s="4">
        <v>1.1173342E7</v>
      </c>
      <c r="F1554" s="4">
        <v>3.0</v>
      </c>
      <c r="G1554" s="4" t="s">
        <v>2554</v>
      </c>
    </row>
    <row r="1555">
      <c r="A1555" s="1">
        <v>1553.0</v>
      </c>
      <c r="B1555" s="4" t="s">
        <v>2548</v>
      </c>
      <c r="C1555" s="4" t="str">
        <f>IFERROR(__xludf.DUMMYFUNCTION("GOOGLETRANSLATE(D:D,""auto"",""en"")"),"Vulcan mountain workers are not sore and broken fingers")</f>
        <v>Vulcan mountain workers are not sore and broken fingers</v>
      </c>
      <c r="D1555" s="4" t="s">
        <v>2555</v>
      </c>
      <c r="E1555" s="4">
        <v>1.0989643E7</v>
      </c>
      <c r="F1555" s="4">
        <v>4.0</v>
      </c>
      <c r="G1555" s="4" t="s">
        <v>2556</v>
      </c>
    </row>
    <row r="1556">
      <c r="A1556" s="1">
        <v>1554.0</v>
      </c>
      <c r="B1556" s="4" t="s">
        <v>2548</v>
      </c>
      <c r="C1556" s="4" t="str">
        <f>IFERROR(__xludf.DUMMYFUNCTION("GOOGLETRANSLATE(D:D,""auto"",""en"")"),"Hangzhou Red Cross published daily balance")</f>
        <v>Hangzhou Red Cross published daily balance</v>
      </c>
      <c r="D1556" s="4" t="s">
        <v>2557</v>
      </c>
      <c r="E1556" s="4">
        <v>1.0859838E7</v>
      </c>
      <c r="F1556" s="4">
        <v>5.0</v>
      </c>
      <c r="G1556" s="4" t="s">
        <v>2558</v>
      </c>
    </row>
    <row r="1557">
      <c r="A1557" s="1">
        <v>1555.0</v>
      </c>
      <c r="B1557" s="4" t="s">
        <v>2548</v>
      </c>
      <c r="C1557" s="4" t="str">
        <f>IFERROR(__xludf.DUMMYFUNCTION("GOOGLETRANSLATE(D:D,""auto"",""en"")"),"Army medical team in most of the house a group of people")</f>
        <v>Army medical team in most of the house a group of people</v>
      </c>
      <c r="D1557" s="4" t="s">
        <v>2559</v>
      </c>
      <c r="E1557" s="4">
        <v>1.0785844E7</v>
      </c>
      <c r="F1557" s="4">
        <v>6.0</v>
      </c>
      <c r="G1557" s="4" t="s">
        <v>2560</v>
      </c>
    </row>
    <row r="1558">
      <c r="A1558" s="1">
        <v>1556.0</v>
      </c>
      <c r="B1558" s="4" t="s">
        <v>2548</v>
      </c>
      <c r="C1558" s="4" t="str">
        <f>IFERROR(__xludf.DUMMYFUNCTION("GOOGLETRANSLATE(D:D,""auto"",""en"")"),"Huanggang control the implementation of the urban population of travel")</f>
        <v>Huanggang control the implementation of the urban population of travel</v>
      </c>
      <c r="D1558" s="4" t="s">
        <v>2561</v>
      </c>
      <c r="E1558" s="4">
        <v>1.0700188E7</v>
      </c>
      <c r="F1558" s="4">
        <v>7.0</v>
      </c>
      <c r="G1558" s="4" t="s">
        <v>2562</v>
      </c>
    </row>
    <row r="1559">
      <c r="A1559" s="1">
        <v>1557.0</v>
      </c>
      <c r="B1559" s="4" t="s">
        <v>2548</v>
      </c>
      <c r="C1559" s="4" t="str">
        <f>IFERROR(__xludf.DUMMYFUNCTION("GOOGLETRANSLATE(D:D,""auto"",""en"")"),"Hubei Red Cross will be responsible accountable,")</f>
        <v>Hubei Red Cross will be responsible accountable,</v>
      </c>
      <c r="D1559" s="4" t="s">
        <v>2563</v>
      </c>
      <c r="E1559" s="4">
        <v>1.0463284E7</v>
      </c>
      <c r="F1559" s="4">
        <v>8.0</v>
      </c>
      <c r="G1559" s="4" t="s">
        <v>2564</v>
      </c>
    </row>
    <row r="1560">
      <c r="A1560" s="1">
        <v>1558.0</v>
      </c>
      <c r="B1560" s="4" t="s">
        <v>2548</v>
      </c>
      <c r="C1560" s="4" t="str">
        <f>IFERROR(__xludf.DUMMYFUNCTION("GOOGLETRANSLATE(D:D,""auto"",""en"")"),"Eight policemen died in the epidemic prevention and control line")</f>
        <v>Eight policemen died in the epidemic prevention and control line</v>
      </c>
      <c r="D1560" s="4" t="s">
        <v>2565</v>
      </c>
      <c r="E1560" s="4">
        <v>1.0361156E7</v>
      </c>
      <c r="F1560" s="4">
        <v>9.0</v>
      </c>
      <c r="G1560" s="4" t="s">
        <v>2566</v>
      </c>
    </row>
    <row r="1561">
      <c r="A1561" s="1">
        <v>1559.0</v>
      </c>
      <c r="B1561" s="4" t="s">
        <v>2548</v>
      </c>
      <c r="C1561" s="4" t="str">
        <f>IFERROR(__xludf.DUMMYFUNCTION("GOOGLETRANSLATE(D:D,""auto"",""en"")"),"The new crown pneumonia patients deliberately concealing the whereabouts filing")</f>
        <v>The new crown pneumonia patients deliberately concealing the whereabouts filing</v>
      </c>
      <c r="D1561" s="4" t="s">
        <v>2567</v>
      </c>
      <c r="E1561" s="4">
        <v>1.035203E7</v>
      </c>
      <c r="F1561" s="4">
        <v>10.0</v>
      </c>
      <c r="G1561" s="4" t="s">
        <v>2568</v>
      </c>
    </row>
    <row r="1562">
      <c r="A1562" s="1">
        <v>1560.0</v>
      </c>
      <c r="B1562" s="4" t="s">
        <v>2548</v>
      </c>
      <c r="C1562" s="4" t="str">
        <f>IFERROR(__xludf.DUMMYFUNCTION("GOOGLETRANSLATE(D:D,""auto"",""en"")"),"Hubei suspended for all marriage registration business")</f>
        <v>Hubei suspended for all marriage registration business</v>
      </c>
      <c r="D1562" s="4" t="s">
        <v>2569</v>
      </c>
      <c r="E1562" s="4">
        <v>1.0168938E7</v>
      </c>
      <c r="F1562" s="4">
        <v>11.0</v>
      </c>
      <c r="G1562" s="4" t="s">
        <v>2570</v>
      </c>
    </row>
    <row r="1563">
      <c r="A1563" s="1">
        <v>1561.0</v>
      </c>
      <c r="B1563" s="4" t="s">
        <v>2548</v>
      </c>
      <c r="C1563" s="4" t="str">
        <f>IFERROR(__xludf.DUMMYFUNCTION("GOOGLETRANSLATE(D:D,""auto"",""en"")"),"Vulcan Hill Hospital all the electricity")</f>
        <v>Vulcan Hill Hospital all the electricity</v>
      </c>
      <c r="D1563" s="4" t="s">
        <v>2571</v>
      </c>
      <c r="E1563" s="4">
        <v>1.0069447E7</v>
      </c>
      <c r="F1563" s="4">
        <v>12.0</v>
      </c>
      <c r="G1563" s="4" t="s">
        <v>2572</v>
      </c>
    </row>
    <row r="1564">
      <c r="A1564" s="1">
        <v>1562.0</v>
      </c>
      <c r="B1564" s="4" t="s">
        <v>2548</v>
      </c>
      <c r="C1564" s="4" t="str">
        <f>IFERROR(__xludf.DUMMYFUNCTION("GOOGLETRANSLATE(D:D,""auto"",""en"")"),"Vulcan Hill Hospital police office was set up")</f>
        <v>Vulcan Hill Hospital police office was set up</v>
      </c>
      <c r="D1564" s="4" t="s">
        <v>2573</v>
      </c>
      <c r="E1564" s="4">
        <v>9935005.0</v>
      </c>
      <c r="F1564" s="4">
        <v>13.0</v>
      </c>
      <c r="G1564" s="4" t="s">
        <v>2574</v>
      </c>
    </row>
    <row r="1565">
      <c r="A1565" s="1">
        <v>1563.0</v>
      </c>
      <c r="B1565" s="4" t="s">
        <v>2548</v>
      </c>
      <c r="C1565" s="4" t="str">
        <f>IFERROR(__xludf.DUMMYFUNCTION("GOOGLETRANSLATE(D:D,""auto"",""en"")"),"22-year-old nurse's hand infection")</f>
        <v>22-year-old nurse's hand infection</v>
      </c>
      <c r="D1565" s="4" t="s">
        <v>2575</v>
      </c>
      <c r="E1565" s="4">
        <v>9931089.0</v>
      </c>
      <c r="F1565" s="4">
        <v>14.0</v>
      </c>
      <c r="G1565" s="4" t="s">
        <v>2576</v>
      </c>
    </row>
    <row r="1566">
      <c r="A1566" s="1">
        <v>1564.0</v>
      </c>
      <c r="B1566" s="4" t="s">
        <v>2548</v>
      </c>
      <c r="C1566" s="4" t="str">
        <f>IFERROR(__xludf.DUMMYFUNCTION("GOOGLETRANSLATE(D:D,""auto"",""en"")"),"Sansei III pale white pillow books on-line")</f>
        <v>Sansei III pale white pillow books on-line</v>
      </c>
      <c r="D1566" s="4" t="s">
        <v>2577</v>
      </c>
      <c r="E1566" s="4">
        <v>9839751.0</v>
      </c>
      <c r="F1566" s="4">
        <v>15.0</v>
      </c>
      <c r="G1566" s="4" t="s">
        <v>2578</v>
      </c>
    </row>
    <row r="1567">
      <c r="A1567" s="1">
        <v>1565.0</v>
      </c>
      <c r="B1567" s="4" t="s">
        <v>2548</v>
      </c>
      <c r="C1567" s="4" t="str">
        <f>IFERROR(__xludf.DUMMYFUNCTION("GOOGLETRANSLATE(D:D,""auto"",""en"")"),"Wuhan Union Hospital received much-needed supplies")</f>
        <v>Wuhan Union Hospital received much-needed supplies</v>
      </c>
      <c r="D1567" s="4" t="s">
        <v>2579</v>
      </c>
      <c r="E1567" s="4">
        <v>9672318.0</v>
      </c>
      <c r="F1567" s="4">
        <v>16.0</v>
      </c>
      <c r="G1567" s="4" t="s">
        <v>2580</v>
      </c>
    </row>
    <row r="1568">
      <c r="A1568" s="1">
        <v>1566.0</v>
      </c>
      <c r="B1568" s="4" t="s">
        <v>2548</v>
      </c>
      <c r="C1568" s="4" t="str">
        <f>IFERROR(__xludf.DUMMYFUNCTION("GOOGLETRANSLATE(D:D,""auto"",""en"")"),"E-choked flight attendants agreed to aid doctors")</f>
        <v>E-choked flight attendants agreed to aid doctors</v>
      </c>
      <c r="D1568" s="4" t="s">
        <v>2532</v>
      </c>
      <c r="E1568" s="4">
        <v>9547841.0</v>
      </c>
      <c r="F1568" s="4">
        <v>17.0</v>
      </c>
      <c r="G1568" s="4" t="s">
        <v>2533</v>
      </c>
    </row>
    <row r="1569">
      <c r="A1569" s="1">
        <v>1567.0</v>
      </c>
      <c r="B1569" s="4" t="s">
        <v>2548</v>
      </c>
      <c r="C1569" s="4" t="str">
        <f>IFERROR(__xludf.DUMMYFUNCTION("GOOGLETRANSLATE(D:D,""auto"",""en"")"),"James cried")</f>
        <v>James cried</v>
      </c>
      <c r="D1569" s="4" t="s">
        <v>2581</v>
      </c>
      <c r="E1569" s="4">
        <v>9527973.0</v>
      </c>
      <c r="F1569" s="4">
        <v>18.0</v>
      </c>
      <c r="G1569" s="4" t="s">
        <v>2582</v>
      </c>
    </row>
    <row r="1570">
      <c r="A1570" s="1">
        <v>1568.0</v>
      </c>
      <c r="B1570" s="4" t="s">
        <v>2548</v>
      </c>
      <c r="C1570" s="4" t="str">
        <f>IFERROR(__xludf.DUMMYFUNCTION("GOOGLETRANSLATE(D:D,""auto"",""en"")"),"Guangzhou market is still a steal to sell wild animals")</f>
        <v>Guangzhou market is still a steal to sell wild animals</v>
      </c>
      <c r="D1570" s="4" t="s">
        <v>2583</v>
      </c>
      <c r="E1570" s="4">
        <v>9474821.0</v>
      </c>
      <c r="F1570" s="4">
        <v>19.0</v>
      </c>
      <c r="G1570" s="4" t="s">
        <v>2584</v>
      </c>
    </row>
    <row r="1571">
      <c r="A1571" s="1">
        <v>1569.0</v>
      </c>
      <c r="B1571" s="4" t="s">
        <v>2548</v>
      </c>
      <c r="C1571" s="4" t="str">
        <f>IFERROR(__xludf.DUMMYFUNCTION("GOOGLETRANSLATE(D:D,""auto"",""en"")"),"Mother does not wear a mask to prevent hard-core stopping by villagers")</f>
        <v>Mother does not wear a mask to prevent hard-core stopping by villagers</v>
      </c>
      <c r="D1571" s="4" t="s">
        <v>2524</v>
      </c>
      <c r="E1571" s="4">
        <v>9307342.0</v>
      </c>
      <c r="F1571" s="4">
        <v>20.0</v>
      </c>
      <c r="G1571" s="4" t="s">
        <v>2525</v>
      </c>
    </row>
    <row r="1572">
      <c r="A1572" s="1">
        <v>1570.0</v>
      </c>
      <c r="B1572" s="4" t="s">
        <v>2548</v>
      </c>
      <c r="C1572" s="4" t="str">
        <f>IFERROR(__xludf.DUMMYFUNCTION("GOOGLETRANSLATE(D:D,""auto"",""en"")"),"China imported 56.228 million masks over the past week")</f>
        <v>China imported 56.228 million masks over the past week</v>
      </c>
      <c r="D1572" s="4" t="s">
        <v>2585</v>
      </c>
      <c r="E1572" s="4">
        <v>9274606.0</v>
      </c>
      <c r="F1572" s="4">
        <v>21.0</v>
      </c>
      <c r="G1572" s="4" t="s">
        <v>2586</v>
      </c>
    </row>
    <row r="1573">
      <c r="A1573" s="1">
        <v>1571.0</v>
      </c>
      <c r="B1573" s="4" t="s">
        <v>2548</v>
      </c>
      <c r="C1573" s="4" t="str">
        <f>IFERROR(__xludf.DUMMYFUNCTION("GOOGLETRANSLATE(D:D,""auto"",""en"")"),"The national total of 11,791 cases diagnosed pneumonia new")</f>
        <v>The national total of 11,791 cases diagnosed pneumonia new</v>
      </c>
      <c r="D1573" s="4" t="s">
        <v>2587</v>
      </c>
      <c r="E1573" s="4">
        <v>9080175.0</v>
      </c>
      <c r="F1573" s="4">
        <v>22.0</v>
      </c>
      <c r="G1573" s="4" t="s">
        <v>2588</v>
      </c>
    </row>
    <row r="1574">
      <c r="A1574" s="1">
        <v>1572.0</v>
      </c>
      <c r="B1574" s="4" t="s">
        <v>2548</v>
      </c>
      <c r="C1574" s="4" t="str">
        <f>IFERROR(__xludf.DUMMYFUNCTION("GOOGLETRANSLATE(D:D,""auto"",""en"")"),"Shanghai drug response")</f>
        <v>Shanghai drug response</v>
      </c>
      <c r="D1574" s="4" t="s">
        <v>2589</v>
      </c>
      <c r="E1574" s="4">
        <v>9031455.0</v>
      </c>
      <c r="F1574" s="4">
        <v>23.0</v>
      </c>
      <c r="G1574" s="4" t="s">
        <v>2590</v>
      </c>
    </row>
    <row r="1575">
      <c r="A1575" s="1">
        <v>1573.0</v>
      </c>
      <c r="B1575" s="4" t="s">
        <v>2548</v>
      </c>
      <c r="C1575" s="4" t="str">
        <f>IFERROR(__xludf.DUMMYFUNCTION("GOOGLETRANSLATE(D:D,""auto"",""en"")"),"Vulcan Hill Hospital foundation construction completed")</f>
        <v>Vulcan Hill Hospital foundation construction completed</v>
      </c>
      <c r="D1575" s="4" t="s">
        <v>2591</v>
      </c>
      <c r="E1575" s="4">
        <v>8998818.0</v>
      </c>
      <c r="F1575" s="4">
        <v>24.0</v>
      </c>
      <c r="G1575" s="4" t="s">
        <v>2592</v>
      </c>
    </row>
    <row r="1576">
      <c r="A1576" s="1">
        <v>1574.0</v>
      </c>
      <c r="B1576" s="4" t="s">
        <v>2548</v>
      </c>
      <c r="C1576" s="4" t="str">
        <f>IFERROR(__xludf.DUMMYFUNCTION("GOOGLETRANSLATE(D:D,""auto"",""en"")"),"Human photographed so far the clearest picture of the sun")</f>
        <v>Human photographed so far the clearest picture of the sun</v>
      </c>
      <c r="D1576" s="4" t="s">
        <v>2542</v>
      </c>
      <c r="E1576" s="4">
        <v>8945829.0</v>
      </c>
      <c r="F1576" s="4">
        <v>25.0</v>
      </c>
      <c r="G1576" s="4" t="s">
        <v>2543</v>
      </c>
    </row>
    <row r="1577">
      <c r="A1577" s="1">
        <v>1575.0</v>
      </c>
      <c r="B1577" s="4" t="s">
        <v>2548</v>
      </c>
      <c r="C1577" s="4" t="str">
        <f>IFERROR(__xludf.DUMMYFUNCTION("GOOGLETRANSLATE(D:D,""auto"",""en"")"),"Health care workers Yongpengzhouli refuel each other")</f>
        <v>Health care workers Yongpengzhouli refuel each other</v>
      </c>
      <c r="D1577" s="4" t="s">
        <v>2593</v>
      </c>
      <c r="E1577" s="4">
        <v>8828726.0</v>
      </c>
      <c r="F1577" s="4">
        <v>26.0</v>
      </c>
      <c r="G1577" s="4" t="s">
        <v>2594</v>
      </c>
    </row>
    <row r="1578">
      <c r="A1578" s="1">
        <v>1576.0</v>
      </c>
      <c r="B1578" s="4" t="s">
        <v>2548</v>
      </c>
      <c r="C1578" s="4" t="str">
        <f>IFERROR(__xludf.DUMMYFUNCTION("GOOGLETRANSLATE(D:D,""auto"",""en"")"),"Guangdong new cases of pneumonia in 127 cases of the new crown")</f>
        <v>Guangdong new cases of pneumonia in 127 cases of the new crown</v>
      </c>
      <c r="D1578" s="4" t="s">
        <v>2595</v>
      </c>
      <c r="E1578" s="4">
        <v>8712528.0</v>
      </c>
      <c r="F1578" s="4">
        <v>27.0</v>
      </c>
      <c r="G1578" s="4" t="s">
        <v>2596</v>
      </c>
    </row>
    <row r="1579">
      <c r="A1579" s="1">
        <v>1577.0</v>
      </c>
      <c r="B1579" s="4" t="s">
        <v>2548</v>
      </c>
      <c r="C1579" s="4" t="str">
        <f>IFERROR(__xludf.DUMMYFUNCTION("GOOGLETRANSLATE(D:D,""auto"",""en"")"),"Nurses adhere to postpone the wedding line")</f>
        <v>Nurses adhere to postpone the wedding line</v>
      </c>
      <c r="D1579" s="4" t="s">
        <v>2597</v>
      </c>
      <c r="E1579" s="4">
        <v>8688545.0</v>
      </c>
      <c r="F1579" s="4">
        <v>28.0</v>
      </c>
      <c r="G1579" s="4" t="s">
        <v>2598</v>
      </c>
    </row>
    <row r="1580">
      <c r="A1580" s="1">
        <v>1578.0</v>
      </c>
      <c r="B1580" s="4" t="s">
        <v>2548</v>
      </c>
      <c r="C1580" s="4" t="str">
        <f>IFERROR(__xludf.DUMMYFUNCTION("GOOGLETRANSLATE(D:D,""auto"",""en"")"),"CCTV reporter interviewed Wuhan Union Hospital")</f>
        <v>CCTV reporter interviewed Wuhan Union Hospital</v>
      </c>
      <c r="D1580" s="4" t="s">
        <v>2599</v>
      </c>
      <c r="E1580" s="4">
        <v>8644773.0</v>
      </c>
      <c r="F1580" s="4">
        <v>29.0</v>
      </c>
      <c r="G1580" s="4" t="s">
        <v>2600</v>
      </c>
    </row>
    <row r="1581">
      <c r="A1581" s="1">
        <v>1579.0</v>
      </c>
      <c r="B1581" s="4" t="s">
        <v>2548</v>
      </c>
      <c r="C1581" s="4" t="str">
        <f>IFERROR(__xludf.DUMMYFUNCTION("GOOGLETRANSLATE(D:D,""auto"",""en"")"),"Lin Shengbin to donate 5000 Wuhan masks")</f>
        <v>Lin Shengbin to donate 5000 Wuhan masks</v>
      </c>
      <c r="D1581" s="4" t="s">
        <v>2601</v>
      </c>
      <c r="E1581" s="4">
        <v>8540233.0</v>
      </c>
      <c r="F1581" s="4">
        <v>30.0</v>
      </c>
      <c r="G1581" s="4" t="s">
        <v>2602</v>
      </c>
    </row>
    <row r="1582">
      <c r="A1582" s="1">
        <v>1580.0</v>
      </c>
      <c r="B1582" s="4" t="s">
        <v>2548</v>
      </c>
      <c r="C1582" s="4" t="str">
        <f>IFERROR(__xludf.DUMMYFUNCTION("GOOGLETRANSLATE(D:D,""auto"",""en"")"),"Koji Yano donated 130,000 masks")</f>
        <v>Koji Yano donated 130,000 masks</v>
      </c>
      <c r="D1582" s="4" t="s">
        <v>2603</v>
      </c>
      <c r="E1582" s="4">
        <v>8509624.0</v>
      </c>
      <c r="F1582" s="4">
        <v>31.0</v>
      </c>
      <c r="G1582" s="4" t="s">
        <v>2604</v>
      </c>
    </row>
    <row r="1583">
      <c r="A1583" s="1">
        <v>1581.0</v>
      </c>
      <c r="B1583" s="4" t="s">
        <v>2548</v>
      </c>
      <c r="C1583" s="4" t="str">
        <f>IFERROR(__xludf.DUMMYFUNCTION("GOOGLETRANSLATE(D:D,""auto"",""en"")"),"Hubei new crown new cases of pneumonia in 1347 cases")</f>
        <v>Hubei new crown new cases of pneumonia in 1347 cases</v>
      </c>
      <c r="D1583" s="4" t="s">
        <v>2605</v>
      </c>
      <c r="E1583" s="4">
        <v>8503400.0</v>
      </c>
      <c r="F1583" s="4">
        <v>32.0</v>
      </c>
      <c r="G1583" s="4" t="s">
        <v>2606</v>
      </c>
    </row>
    <row r="1584">
      <c r="A1584" s="1">
        <v>1582.0</v>
      </c>
      <c r="B1584" s="4" t="s">
        <v>2548</v>
      </c>
      <c r="C1584" s="4" t="str">
        <f>IFERROR(__xludf.DUMMYFUNCTION("GOOGLETRANSLATE(D:D,""auto"",""en"")"),"A hot pot restaurant hidden 30 pounds of live snakes have been investigated")</f>
        <v>A hot pot restaurant hidden 30 pounds of live snakes have been investigated</v>
      </c>
      <c r="D1584" s="4" t="s">
        <v>2607</v>
      </c>
      <c r="E1584" s="4">
        <v>8342544.0</v>
      </c>
      <c r="F1584" s="4">
        <v>33.0</v>
      </c>
      <c r="G1584" s="4" t="s">
        <v>2608</v>
      </c>
    </row>
    <row r="1585">
      <c r="A1585" s="1">
        <v>1583.0</v>
      </c>
      <c r="B1585" s="4" t="s">
        <v>2548</v>
      </c>
      <c r="C1585" s="4" t="str">
        <f>IFERROR(__xludf.DUMMYFUNCTION("GOOGLETRANSLATE(D:D,""auto"",""en"")"),"Hubei Red Cross response to material supply problem")</f>
        <v>Hubei Red Cross response to material supply problem</v>
      </c>
      <c r="D1585" s="4" t="s">
        <v>2609</v>
      </c>
      <c r="E1585" s="4">
        <v>8302758.0</v>
      </c>
      <c r="F1585" s="4">
        <v>34.0</v>
      </c>
      <c r="G1585" s="4" t="s">
        <v>2610</v>
      </c>
    </row>
    <row r="1586">
      <c r="A1586" s="1">
        <v>1584.0</v>
      </c>
      <c r="B1586" s="4" t="s">
        <v>2548</v>
      </c>
      <c r="C1586" s="4" t="str">
        <f>IFERROR(__xludf.DUMMYFUNCTION("GOOGLETRANSLATE(D:D,""auto"",""en"")"),"Sichuan new cases of pneumonia, 30 cases of the new crown")</f>
        <v>Sichuan new cases of pneumonia, 30 cases of the new crown</v>
      </c>
      <c r="D1586" s="4" t="s">
        <v>2611</v>
      </c>
      <c r="E1586" s="4">
        <v>8296540.0</v>
      </c>
      <c r="F1586" s="4">
        <v>35.0</v>
      </c>
      <c r="G1586" s="4" t="s">
        <v>2612</v>
      </c>
    </row>
    <row r="1587">
      <c r="A1587" s="1">
        <v>1585.0</v>
      </c>
      <c r="B1587" s="4" t="s">
        <v>2548</v>
      </c>
      <c r="C1587" s="4" t="str">
        <f>IFERROR(__xludf.DUMMYFUNCTION("GOOGLETRANSLATE(D:D,""auto"",""en"")"),"Turkey to provide medical material assistance to China")</f>
        <v>Turkey to provide medical material assistance to China</v>
      </c>
      <c r="D1587" s="4" t="s">
        <v>2613</v>
      </c>
      <c r="E1587" s="4">
        <v>8248924.0</v>
      </c>
      <c r="F1587" s="4">
        <v>36.0</v>
      </c>
      <c r="G1587" s="4" t="s">
        <v>2614</v>
      </c>
    </row>
    <row r="1588">
      <c r="A1588" s="1">
        <v>1586.0</v>
      </c>
      <c r="B1588" s="4" t="s">
        <v>2548</v>
      </c>
      <c r="C1588" s="4" t="str">
        <f>IFERROR(__xludf.DUMMYFUNCTION("GOOGLETRANSLATE(D:D,""auto"",""en"")"),"Red is not on the list of Wuhan Union headquarters")</f>
        <v>Red is not on the list of Wuhan Union headquarters</v>
      </c>
      <c r="D1588" s="4" t="s">
        <v>2615</v>
      </c>
      <c r="E1588" s="4">
        <v>8192363.0</v>
      </c>
      <c r="F1588" s="4">
        <v>37.0</v>
      </c>
      <c r="G1588" s="4" t="s">
        <v>2616</v>
      </c>
    </row>
    <row r="1589">
      <c r="A1589" s="1">
        <v>1587.0</v>
      </c>
      <c r="B1589" s="4" t="s">
        <v>2548</v>
      </c>
      <c r="C1589" s="4" t="str">
        <f>IFERROR(__xludf.DUMMYFUNCTION("GOOGLETRANSLATE(D:D,""auto"",""en"")"),"Jeremy Lin Nupi adverse remarks about the epidemic")</f>
        <v>Jeremy Lin Nupi adverse remarks about the epidemic</v>
      </c>
      <c r="D1589" s="4" t="s">
        <v>2617</v>
      </c>
      <c r="E1589" s="4">
        <v>8099814.0</v>
      </c>
      <c r="F1589" s="4">
        <v>38.0</v>
      </c>
      <c r="G1589" s="4" t="s">
        <v>2618</v>
      </c>
    </row>
    <row r="1590">
      <c r="A1590" s="1">
        <v>1588.0</v>
      </c>
      <c r="B1590" s="4" t="s">
        <v>2548</v>
      </c>
      <c r="C1590" s="4" t="str">
        <f>IFERROR(__xludf.DUMMYFUNCTION("GOOGLETRANSLATE(D:D,""auto"",""en"")"),"Cerebral palsy child deaths town clerk mayor was removed from office")</f>
        <v>Cerebral palsy child deaths town clerk mayor was removed from office</v>
      </c>
      <c r="D1590" s="4" t="s">
        <v>2619</v>
      </c>
      <c r="E1590" s="4">
        <v>8093598.0</v>
      </c>
      <c r="F1590" s="4">
        <v>39.0</v>
      </c>
      <c r="G1590" s="4" t="s">
        <v>2620</v>
      </c>
    </row>
    <row r="1591">
      <c r="A1591" s="1">
        <v>1589.0</v>
      </c>
      <c r="B1591" s="4" t="s">
        <v>2548</v>
      </c>
      <c r="C1591" s="4" t="str">
        <f>IFERROR(__xludf.DUMMYFUNCTION("GOOGLETRANSLATE(D:D,""auto"",""en"")"),"Chongqing new cases of pneumonia, 27 cases of the new crown")</f>
        <v>Chongqing new cases of pneumonia, 27 cases of the new crown</v>
      </c>
      <c r="D1591" s="4" t="s">
        <v>2621</v>
      </c>
      <c r="E1591" s="4">
        <v>8082276.0</v>
      </c>
      <c r="F1591" s="4">
        <v>40.0</v>
      </c>
      <c r="G1591" s="4" t="s">
        <v>2622</v>
      </c>
    </row>
    <row r="1592">
      <c r="A1592" s="1">
        <v>1590.0</v>
      </c>
      <c r="B1592" s="4" t="s">
        <v>2548</v>
      </c>
      <c r="C1592" s="4" t="str">
        <f>IFERROR(__xludf.DUMMYFUNCTION("GOOGLETRANSLATE(D:D,""auto"",""en"")"),"Dr. Wu Han was admonished the new crown diagnosed with pneumonia")</f>
        <v>Dr. Wu Han was admonished the new crown diagnosed with pneumonia</v>
      </c>
      <c r="D1592" s="4" t="s">
        <v>2623</v>
      </c>
      <c r="E1592" s="4">
        <v>8017818.0</v>
      </c>
      <c r="F1592" s="4">
        <v>41.0</v>
      </c>
      <c r="G1592" s="4" t="s">
        <v>2624</v>
      </c>
    </row>
    <row r="1593">
      <c r="A1593" s="1">
        <v>1591.0</v>
      </c>
      <c r="B1593" s="4" t="s">
        <v>2548</v>
      </c>
      <c r="C1593" s="4" t="str">
        <f>IFERROR(__xludf.DUMMYFUNCTION("GOOGLETRANSLATE(D:D,""auto"",""en"")"),"President of the Charity Hospital in response to the use of masks")</f>
        <v>President of the Charity Hospital in response to the use of masks</v>
      </c>
      <c r="D1593" s="4" t="s">
        <v>2625</v>
      </c>
      <c r="E1593" s="4">
        <v>7971948.0</v>
      </c>
      <c r="F1593" s="4">
        <v>42.0</v>
      </c>
      <c r="G1593" s="4" t="s">
        <v>2626</v>
      </c>
    </row>
    <row r="1594">
      <c r="A1594" s="1">
        <v>1592.0</v>
      </c>
      <c r="B1594" s="4" t="s">
        <v>2548</v>
      </c>
      <c r="C1594" s="4" t="str">
        <f>IFERROR(__xludf.DUMMYFUNCTION("GOOGLETRANSLATE(D:D,""auto"",""en"")"),"Ren Jialun Tan Song Yun a million years")</f>
        <v>Ren Jialun Tan Song Yun a million years</v>
      </c>
      <c r="D1594" s="4" t="s">
        <v>2627</v>
      </c>
      <c r="E1594" s="4">
        <v>7907272.0</v>
      </c>
      <c r="F1594" s="4">
        <v>43.0</v>
      </c>
      <c r="G1594" s="4" t="s">
        <v>2628</v>
      </c>
    </row>
    <row r="1595">
      <c r="A1595" s="1">
        <v>1593.0</v>
      </c>
      <c r="B1595" s="4" t="s">
        <v>2548</v>
      </c>
      <c r="C1595" s="4" t="str">
        <f>IFERROR(__xludf.DUMMYFUNCTION("GOOGLETRANSLATE(D:D,""auto"",""en"")"),"Red Cross Society sent a work team to go to Wuhan")</f>
        <v>Red Cross Society sent a work team to go to Wuhan</v>
      </c>
      <c r="D1595" s="4" t="s">
        <v>2629</v>
      </c>
      <c r="E1595" s="4">
        <v>7900262.0</v>
      </c>
      <c r="F1595" s="4">
        <v>44.0</v>
      </c>
      <c r="G1595" s="4" t="s">
        <v>2630</v>
      </c>
    </row>
    <row r="1596">
      <c r="A1596" s="1">
        <v>1594.0</v>
      </c>
      <c r="B1596" s="4" t="s">
        <v>2548</v>
      </c>
      <c r="C1596" s="4" t="str">
        <f>IFERROR(__xludf.DUMMYFUNCTION("GOOGLETRANSLATE(D:D,""auto"",""en"")"),"Add a new crown Anhui diagnosed 60 cases of pneumonia")</f>
        <v>Add a new crown Anhui diagnosed 60 cases of pneumonia</v>
      </c>
      <c r="D1596" s="4" t="s">
        <v>2631</v>
      </c>
      <c r="E1596" s="4">
        <v>7896859.0</v>
      </c>
      <c r="F1596" s="4">
        <v>45.0</v>
      </c>
      <c r="G1596" s="4" t="s">
        <v>2632</v>
      </c>
    </row>
    <row r="1597">
      <c r="A1597" s="1">
        <v>1595.0</v>
      </c>
      <c r="B1597" s="4" t="s">
        <v>2548</v>
      </c>
      <c r="C1597" s="4" t="str">
        <f>IFERROR(__xludf.DUMMYFUNCTION("GOOGLETRANSLATE(D:D,""auto"",""en"")"),"Lakers Kobe Bryant jersey covered arena")</f>
        <v>Lakers Kobe Bryant jersey covered arena</v>
      </c>
      <c r="D1597" s="4" t="s">
        <v>2633</v>
      </c>
      <c r="E1597" s="4">
        <v>7771675.0</v>
      </c>
      <c r="F1597" s="4">
        <v>46.0</v>
      </c>
      <c r="G1597" s="4" t="s">
        <v>2634</v>
      </c>
    </row>
    <row r="1598">
      <c r="A1598" s="1">
        <v>1596.0</v>
      </c>
      <c r="B1598" s="4" t="s">
        <v>2548</v>
      </c>
      <c r="C1598" s="4" t="str">
        <f>IFERROR(__xludf.DUMMYFUNCTION("GOOGLETRANSLATE(D:D,""auto"",""en"")"),"Do not buy self-medication with oral Shuanghuanglian")</f>
        <v>Do not buy self-medication with oral Shuanghuanglian</v>
      </c>
      <c r="D1598" s="4" t="s">
        <v>2635</v>
      </c>
      <c r="E1598" s="4">
        <v>7708850.0</v>
      </c>
      <c r="F1598" s="4">
        <v>47.0</v>
      </c>
      <c r="G1598" s="4" t="s">
        <v>2636</v>
      </c>
    </row>
    <row r="1599">
      <c r="A1599" s="1">
        <v>1597.0</v>
      </c>
      <c r="B1599" s="4" t="s">
        <v>2548</v>
      </c>
      <c r="C1599" s="4" t="str">
        <f>IFERROR(__xludf.DUMMYFUNCTION("GOOGLETRANSLATE(D:D,""auto"",""en"")"),"There are insufficient data demonstrate that maternal-fetal spread")</f>
        <v>There are insufficient data demonstrate that maternal-fetal spread</v>
      </c>
      <c r="D1599" s="4" t="s">
        <v>2637</v>
      </c>
      <c r="E1599" s="4">
        <v>7701948.0</v>
      </c>
      <c r="F1599" s="4">
        <v>48.0</v>
      </c>
      <c r="G1599" s="4" t="s">
        <v>2638</v>
      </c>
    </row>
    <row r="1600">
      <c r="A1600" s="1">
        <v>1598.0</v>
      </c>
      <c r="B1600" s="4" t="s">
        <v>2548</v>
      </c>
      <c r="C1600" s="4" t="str">
        <f>IFERROR(__xludf.DUMMYFUNCTION("GOOGLETRANSLATE(D:D,""auto"",""en"")"),"CCTV reporters were blocked Red Cross security")</f>
        <v>CCTV reporters were blocked Red Cross security</v>
      </c>
      <c r="D1600" s="4" t="s">
        <v>2639</v>
      </c>
      <c r="E1600" s="4">
        <v>7693591.0</v>
      </c>
      <c r="F1600" s="4">
        <v>49.0</v>
      </c>
      <c r="G1600" s="4" t="s">
        <v>2640</v>
      </c>
    </row>
    <row r="1601">
      <c r="A1601" s="1">
        <v>1599.0</v>
      </c>
      <c r="B1601" s="4" t="s">
        <v>2548</v>
      </c>
      <c r="C1601" s="4" t="str">
        <f>IFERROR(__xludf.DUMMYFUNCTION("GOOGLETRANSLATE(D:D,""auto"",""en"")"),"Britain officially off Europe")</f>
        <v>Britain officially off Europe</v>
      </c>
      <c r="D1601" s="4" t="s">
        <v>2641</v>
      </c>
      <c r="E1601" s="4">
        <v>7663749.0</v>
      </c>
      <c r="F1601" s="4">
        <v>50.0</v>
      </c>
      <c r="G1601" s="4" t="s">
        <v>2642</v>
      </c>
    </row>
    <row r="1602">
      <c r="A1602" s="1">
        <v>1600.0</v>
      </c>
      <c r="B1602" s="4" t="s">
        <v>2643</v>
      </c>
      <c r="C1602" s="4" t="str">
        <f>IFERROR(__xludf.DUMMYFUNCTION("GOOGLETRANSLATE(D:D,""auto"",""en"")"),"The national total of 14,380 cases of pneumonia diagnosed with the new crown")</f>
        <v>The national total of 14,380 cases of pneumonia diagnosed with the new crown</v>
      </c>
      <c r="D1602" s="4" t="s">
        <v>2644</v>
      </c>
      <c r="E1602" s="4">
        <v>1.1900937E7</v>
      </c>
      <c r="F1602" s="4">
        <v>1.0</v>
      </c>
      <c r="G1602" s="4" t="s">
        <v>2645</v>
      </c>
    </row>
    <row r="1603">
      <c r="A1603" s="1">
        <v>1601.0</v>
      </c>
      <c r="B1603" s="4" t="s">
        <v>2643</v>
      </c>
      <c r="C1603" s="4" t="str">
        <f>IFERROR(__xludf.DUMMYFUNCTION("GOOGLETRANSLATE(D:D,""auto"",""en"")"),"Patients diagnosed with detection of viral RNA-positive stool")</f>
        <v>Patients diagnosed with detection of viral RNA-positive stool</v>
      </c>
      <c r="D1603" s="4" t="s">
        <v>2646</v>
      </c>
      <c r="E1603" s="4">
        <v>1.1645661E7</v>
      </c>
      <c r="F1603" s="4">
        <v>2.0</v>
      </c>
      <c r="G1603" s="4" t="s">
        <v>2647</v>
      </c>
    </row>
    <row r="1604">
      <c r="A1604" s="1">
        <v>1602.0</v>
      </c>
      <c r="B1604" s="4" t="s">
        <v>2643</v>
      </c>
      <c r="C1604" s="4" t="str">
        <f>IFERROR(__xludf.DUMMYFUNCTION("GOOGLETRANSLATE(D:D,""auto"",""en"")"),"Wuhan hospital docking with direct donations")</f>
        <v>Wuhan hospital docking with direct donations</v>
      </c>
      <c r="D1604" s="4" t="s">
        <v>2648</v>
      </c>
      <c r="E1604" s="4">
        <v>1.1315295E7</v>
      </c>
      <c r="F1604" s="4">
        <v>3.0</v>
      </c>
      <c r="G1604" s="4" t="s">
        <v>2649</v>
      </c>
    </row>
    <row r="1605">
      <c r="A1605" s="1">
        <v>1603.0</v>
      </c>
      <c r="B1605" s="4" t="s">
        <v>2643</v>
      </c>
      <c r="C1605" s="4" t="str">
        <f>IFERROR(__xludf.DUMMYFUNCTION("GOOGLETRANSLATE(D:D,""auto"",""en"")"),"The new crown pneumonia patients deliberately concealing the whereabouts filing")</f>
        <v>The new crown pneumonia patients deliberately concealing the whereabouts filing</v>
      </c>
      <c r="D1605" s="4" t="s">
        <v>2567</v>
      </c>
      <c r="E1605" s="4">
        <v>1.1277174E7</v>
      </c>
      <c r="F1605" s="4">
        <v>4.0</v>
      </c>
      <c r="G1605" s="4" t="s">
        <v>2568</v>
      </c>
    </row>
    <row r="1606">
      <c r="A1606" s="1">
        <v>1604.0</v>
      </c>
      <c r="B1606" s="4" t="s">
        <v>2643</v>
      </c>
      <c r="C1606" s="4" t="str">
        <f>IFERROR(__xludf.DUMMYFUNCTION("GOOGLETRANSLATE(D:D,""auto"",""en"")"),"Hubei focused on isolating all suspected cases")</f>
        <v>Hubei focused on isolating all suspected cases</v>
      </c>
      <c r="D1606" s="4" t="s">
        <v>2650</v>
      </c>
      <c r="E1606" s="4">
        <v>1.1090423E7</v>
      </c>
      <c r="F1606" s="4">
        <v>5.0</v>
      </c>
      <c r="G1606" s="4" t="s">
        <v>2651</v>
      </c>
    </row>
    <row r="1607">
      <c r="A1607" s="1">
        <v>1605.0</v>
      </c>
      <c r="B1607" s="4" t="s">
        <v>2643</v>
      </c>
      <c r="C1607" s="4" t="str">
        <f>IFERROR(__xludf.DUMMYFUNCTION("GOOGLETRANSLATE(D:D,""auto"",""en"")"),"James cried")</f>
        <v>James cried</v>
      </c>
      <c r="D1607" s="4" t="s">
        <v>2581</v>
      </c>
      <c r="E1607" s="4">
        <v>1.1026948E7</v>
      </c>
      <c r="F1607" s="4">
        <v>6.0</v>
      </c>
      <c r="G1607" s="4" t="s">
        <v>2582</v>
      </c>
    </row>
    <row r="1608">
      <c r="A1608" s="1">
        <v>1606.0</v>
      </c>
      <c r="B1608" s="4" t="s">
        <v>2643</v>
      </c>
      <c r="C1608" s="4" t="str">
        <f>IFERROR(__xludf.DUMMYFUNCTION("GOOGLETRANSLATE(D:D,""auto"",""en"")"),"Jiangsu appears a patient infected 10 people Case")</f>
        <v>Jiangsu appears a patient infected 10 people Case</v>
      </c>
      <c r="D1608" s="4" t="s">
        <v>2652</v>
      </c>
      <c r="E1608" s="4">
        <v>1.0771131E7</v>
      </c>
      <c r="F1608" s="4">
        <v>7.0</v>
      </c>
      <c r="G1608" s="4" t="s">
        <v>2653</v>
      </c>
    </row>
    <row r="1609">
      <c r="A1609" s="1">
        <v>1607.0</v>
      </c>
      <c r="B1609" s="4" t="s">
        <v>2643</v>
      </c>
      <c r="C1609" s="4" t="str">
        <f>IFERROR(__xludf.DUMMYFUNCTION("GOOGLETRANSLATE(D:D,""auto"",""en"")"),"Jeremy Lin Nupi adverse remarks about the epidemic")</f>
        <v>Jeremy Lin Nupi adverse remarks about the epidemic</v>
      </c>
      <c r="D1609" s="4" t="s">
        <v>2617</v>
      </c>
      <c r="E1609" s="4">
        <v>1.0763668E7</v>
      </c>
      <c r="F1609" s="4">
        <v>8.0</v>
      </c>
      <c r="G1609" s="4" t="s">
        <v>2618</v>
      </c>
    </row>
    <row r="1610">
      <c r="A1610" s="1">
        <v>1608.0</v>
      </c>
      <c r="B1610" s="4" t="s">
        <v>2643</v>
      </c>
      <c r="C1610" s="4" t="str">
        <f>IFERROR(__xludf.DUMMYFUNCTION("GOOGLETRANSLATE(D:D,""auto"",""en"")"),"Army medical team in most of the house a group of people")</f>
        <v>Army medical team in most of the house a group of people</v>
      </c>
      <c r="D1610" s="4" t="s">
        <v>2559</v>
      </c>
      <c r="E1610" s="4">
        <v>1.0503781E7</v>
      </c>
      <c r="F1610" s="4">
        <v>9.0</v>
      </c>
      <c r="G1610" s="4" t="s">
        <v>2560</v>
      </c>
    </row>
    <row r="1611">
      <c r="A1611" s="1">
        <v>1609.0</v>
      </c>
      <c r="B1611" s="4" t="s">
        <v>2643</v>
      </c>
      <c r="C1611" s="4" t="str">
        <f>IFERROR(__xludf.DUMMYFUNCTION("GOOGLETRANSLATE(D:D,""auto"",""en"")"),"Elva boyfriend")</f>
        <v>Elva boyfriend</v>
      </c>
      <c r="D1611" s="4" t="s">
        <v>2654</v>
      </c>
      <c r="E1611" s="4">
        <v>1.0480281E7</v>
      </c>
      <c r="F1611" s="4">
        <v>10.0</v>
      </c>
      <c r="G1611" s="4" t="s">
        <v>2655</v>
      </c>
    </row>
    <row r="1612">
      <c r="A1612" s="1">
        <v>1610.0</v>
      </c>
      <c r="B1612" s="4" t="s">
        <v>2643</v>
      </c>
      <c r="C1612" s="4" t="str">
        <f>IFERROR(__xludf.DUMMYFUNCTION("GOOGLETRANSLATE(D:D,""auto"",""en"")"),"The earliest detection of outbreaks of female doctor")</f>
        <v>The earliest detection of outbreaks of female doctor</v>
      </c>
      <c r="D1612" s="4" t="s">
        <v>2656</v>
      </c>
      <c r="E1612" s="4">
        <v>1.0472631E7</v>
      </c>
      <c r="F1612" s="4">
        <v>11.0</v>
      </c>
      <c r="G1612" s="4" t="s">
        <v>2657</v>
      </c>
    </row>
    <row r="1613">
      <c r="A1613" s="1">
        <v>1611.0</v>
      </c>
      <c r="B1613" s="4" t="s">
        <v>2643</v>
      </c>
      <c r="C1613" s="4" t="str">
        <f>IFERROR(__xludf.DUMMYFUNCTION("GOOGLETRANSLATE(D:D,""auto"",""en"")"),"Vulcan mountain workers are not sore and broken fingers")</f>
        <v>Vulcan mountain workers are not sore and broken fingers</v>
      </c>
      <c r="D1613" s="4" t="s">
        <v>2555</v>
      </c>
      <c r="E1613" s="4">
        <v>1.0308769E7</v>
      </c>
      <c r="F1613" s="4">
        <v>12.0</v>
      </c>
      <c r="G1613" s="4" t="s">
        <v>2556</v>
      </c>
    </row>
    <row r="1614">
      <c r="A1614" s="1">
        <v>1612.0</v>
      </c>
      <c r="B1614" s="4" t="s">
        <v>2643</v>
      </c>
      <c r="C1614" s="4" t="str">
        <f>IFERROR(__xludf.DUMMYFUNCTION("GOOGLETRANSLATE(D:D,""auto"",""en"")"),"A total of 328 cases of patients were cured and discharged")</f>
        <v>A total of 328 cases of patients were cured and discharged</v>
      </c>
      <c r="D1614" s="4" t="s">
        <v>2658</v>
      </c>
      <c r="E1614" s="4">
        <v>1.0246824E7</v>
      </c>
      <c r="F1614" s="4">
        <v>13.0</v>
      </c>
      <c r="G1614" s="4" t="s">
        <v>2659</v>
      </c>
    </row>
    <row r="1615">
      <c r="A1615" s="1">
        <v>1613.0</v>
      </c>
      <c r="B1615" s="4" t="s">
        <v>2643</v>
      </c>
      <c r="C1615" s="4" t="str">
        <f>IFERROR(__xludf.DUMMYFUNCTION("GOOGLETRANSLATE(D:D,""auto"",""en"")"),"One hundred stars Contagion MV")</f>
        <v>One hundred stars Contagion MV</v>
      </c>
      <c r="D1615" s="4" t="s">
        <v>2660</v>
      </c>
      <c r="E1615" s="4">
        <v>1.0202903E7</v>
      </c>
      <c r="F1615" s="4">
        <v>14.0</v>
      </c>
      <c r="G1615" s="4" t="s">
        <v>2661</v>
      </c>
    </row>
    <row r="1616">
      <c r="A1616" s="1">
        <v>1614.0</v>
      </c>
      <c r="B1616" s="4" t="s">
        <v>2643</v>
      </c>
      <c r="C1616" s="4" t="str">
        <f>IFERROR(__xludf.DUMMYFUNCTION("GOOGLETRANSLATE(D:D,""auto"",""en"")"),"Surgical masks can check online information")</f>
        <v>Surgical masks can check online information</v>
      </c>
      <c r="D1616" s="4" t="s">
        <v>2662</v>
      </c>
      <c r="E1616" s="4">
        <v>9960696.0</v>
      </c>
      <c r="F1616" s="4">
        <v>15.0</v>
      </c>
      <c r="G1616" s="4" t="s">
        <v>2663</v>
      </c>
    </row>
    <row r="1617">
      <c r="A1617" s="1">
        <v>1615.0</v>
      </c>
      <c r="B1617" s="4" t="s">
        <v>2643</v>
      </c>
      <c r="C1617" s="4" t="str">
        <f>IFERROR(__xludf.DUMMYFUNCTION("GOOGLETRANSLATE(D:D,""auto"",""en"")"),"Owen injured again")</f>
        <v>Owen injured again</v>
      </c>
      <c r="D1617" s="4" t="s">
        <v>2664</v>
      </c>
      <c r="E1617" s="4">
        <v>9905832.0</v>
      </c>
      <c r="F1617" s="4">
        <v>16.0</v>
      </c>
      <c r="G1617" s="4" t="s">
        <v>2665</v>
      </c>
    </row>
    <row r="1618">
      <c r="A1618" s="1">
        <v>1616.0</v>
      </c>
      <c r="B1618" s="4" t="s">
        <v>2643</v>
      </c>
      <c r="C1618" s="4" t="str">
        <f>IFERROR(__xludf.DUMMYFUNCTION("GOOGLETRANSLATE(D:D,""auto"",""en"")"),"Wuhan Red will respond Concord questioned blacklisting")</f>
        <v>Wuhan Red will respond Concord questioned blacklisting</v>
      </c>
      <c r="D1618" s="4" t="s">
        <v>2666</v>
      </c>
      <c r="E1618" s="4">
        <v>9903942.0</v>
      </c>
      <c r="F1618" s="4">
        <v>17.0</v>
      </c>
      <c r="G1618" s="4" t="s">
        <v>2667</v>
      </c>
    </row>
    <row r="1619">
      <c r="A1619" s="1">
        <v>1617.0</v>
      </c>
      <c r="B1619" s="4" t="s">
        <v>2643</v>
      </c>
      <c r="C1619" s="4" t="str">
        <f>IFERROR(__xludf.DUMMYFUNCTION("GOOGLETRANSLATE(D:D,""auto"",""en"")"),"Vulcan Hill Hospital today listed")</f>
        <v>Vulcan Hill Hospital today listed</v>
      </c>
      <c r="D1619" s="4" t="s">
        <v>2668</v>
      </c>
      <c r="E1619" s="4">
        <v>9770656.0</v>
      </c>
      <c r="F1619" s="4">
        <v>18.0</v>
      </c>
      <c r="G1619" s="4" t="s">
        <v>2669</v>
      </c>
    </row>
    <row r="1620">
      <c r="A1620" s="1">
        <v>1618.0</v>
      </c>
      <c r="B1620" s="4" t="s">
        <v>2643</v>
      </c>
      <c r="C1620" s="4" t="str">
        <f>IFERROR(__xludf.DUMMYFUNCTION("GOOGLETRANSLATE(D:D,""auto"",""en"")"),"Circle of friends hand-Cold Competition")</f>
        <v>Circle of friends hand-Cold Competition</v>
      </c>
      <c r="D1620" s="4" t="s">
        <v>2670</v>
      </c>
      <c r="E1620" s="4">
        <v>9731261.0</v>
      </c>
      <c r="F1620" s="4">
        <v>19.0</v>
      </c>
      <c r="G1620" s="4" t="s">
        <v>2671</v>
      </c>
    </row>
    <row r="1621">
      <c r="A1621" s="1">
        <v>1619.0</v>
      </c>
      <c r="B1621" s="4" t="s">
        <v>2643</v>
      </c>
      <c r="C1621" s="4" t="str">
        <f>IFERROR(__xludf.DUMMYFUNCTION("GOOGLETRANSLATE(D:D,""auto"",""en"")"),"Ren Jialun Tan Song Yun a million years")</f>
        <v>Ren Jialun Tan Song Yun a million years</v>
      </c>
      <c r="D1621" s="4" t="s">
        <v>2627</v>
      </c>
      <c r="E1621" s="4">
        <v>9727139.0</v>
      </c>
      <c r="F1621" s="4">
        <v>20.0</v>
      </c>
      <c r="G1621" s="4" t="s">
        <v>2628</v>
      </c>
    </row>
    <row r="1622">
      <c r="A1622" s="1">
        <v>1620.0</v>
      </c>
      <c r="B1622" s="4" t="s">
        <v>2643</v>
      </c>
      <c r="C1622" s="4" t="str">
        <f>IFERROR(__xludf.DUMMYFUNCTION("GOOGLETRANSLATE(D:D,""auto"",""en"")"),"Online school teacher")</f>
        <v>Online school teacher</v>
      </c>
      <c r="D1622" s="4" t="s">
        <v>2672</v>
      </c>
      <c r="E1622" s="4">
        <v>9645489.0</v>
      </c>
      <c r="F1622" s="4">
        <v>21.0</v>
      </c>
      <c r="G1622" s="4" t="s">
        <v>2673</v>
      </c>
    </row>
    <row r="1623">
      <c r="A1623" s="1">
        <v>1621.0</v>
      </c>
      <c r="B1623" s="4" t="s">
        <v>2643</v>
      </c>
      <c r="C1623" s="4" t="str">
        <f>IFERROR(__xludf.DUMMYFUNCTION("GOOGLETRANSLATE(D:D,""auto"",""en"")"),"Hubei new crown new cases of pneumonia in 1921 cases")</f>
        <v>Hubei new crown new cases of pneumonia in 1921 cases</v>
      </c>
      <c r="D1623" s="4" t="s">
        <v>2674</v>
      </c>
      <c r="E1623" s="4">
        <v>9591978.0</v>
      </c>
      <c r="F1623" s="4">
        <v>22.0</v>
      </c>
      <c r="G1623" s="4" t="s">
        <v>2675</v>
      </c>
    </row>
    <row r="1624">
      <c r="A1624" s="1">
        <v>1622.0</v>
      </c>
      <c r="B1624" s="4" t="s">
        <v>2643</v>
      </c>
      <c r="C1624" s="4" t="str">
        <f>IFERROR(__xludf.DUMMYFUNCTION("GOOGLETRANSLATE(D:D,""auto"",""en"")"),"Huanggang Mayor response to disease control official answer any of them")</f>
        <v>Huanggang Mayor response to disease control official answer any of them</v>
      </c>
      <c r="D1624" s="4" t="s">
        <v>2676</v>
      </c>
      <c r="E1624" s="4">
        <v>9463803.0</v>
      </c>
      <c r="F1624" s="4">
        <v>23.0</v>
      </c>
      <c r="G1624" s="4" t="s">
        <v>2677</v>
      </c>
    </row>
    <row r="1625">
      <c r="A1625" s="1">
        <v>1623.0</v>
      </c>
      <c r="B1625" s="4" t="s">
        <v>2643</v>
      </c>
      <c r="C1625" s="4" t="str">
        <f>IFERROR(__xludf.DUMMYFUNCTION("GOOGLETRANSLATE(D:D,""auto"",""en"")"),"Zhong Nanshan respond to the risk of virus spread fecal-oral")</f>
        <v>Zhong Nanshan respond to the risk of virus spread fecal-oral</v>
      </c>
      <c r="D1625" s="4" t="s">
        <v>2678</v>
      </c>
      <c r="E1625" s="4">
        <v>9437782.0</v>
      </c>
      <c r="F1625" s="4">
        <v>24.0</v>
      </c>
      <c r="G1625" s="4" t="s">
        <v>2679</v>
      </c>
    </row>
    <row r="1626">
      <c r="A1626" s="1">
        <v>1624.0</v>
      </c>
      <c r="B1626" s="4" t="s">
        <v>2643</v>
      </c>
      <c r="C1626" s="4" t="str">
        <f>IFERROR(__xludf.DUMMYFUNCTION("GOOGLETRANSLATE(D:D,""auto"",""en"")"),"Shandong found that clusters of disease from 60")</f>
        <v>Shandong found that clusters of disease from 60</v>
      </c>
      <c r="D1626" s="4" t="s">
        <v>2680</v>
      </c>
      <c r="E1626" s="4">
        <v>9235193.0</v>
      </c>
      <c r="F1626" s="4">
        <v>25.0</v>
      </c>
      <c r="G1626" s="4" t="s">
        <v>2681</v>
      </c>
    </row>
    <row r="1627">
      <c r="A1627" s="1">
        <v>1625.0</v>
      </c>
      <c r="B1627" s="4" t="s">
        <v>2643</v>
      </c>
      <c r="C1627" s="4" t="str">
        <f>IFERROR(__xludf.DUMMYFUNCTION("GOOGLETRANSLATE(D:D,""auto"",""en"")"),"Shanxi new cases of pneumonia nine cases of new")</f>
        <v>Shanxi new cases of pneumonia nine cases of new</v>
      </c>
      <c r="D1627" s="4" t="s">
        <v>2682</v>
      </c>
      <c r="E1627" s="4">
        <v>9210759.0</v>
      </c>
      <c r="F1627" s="4">
        <v>26.0</v>
      </c>
      <c r="G1627" s="4" t="s">
        <v>2683</v>
      </c>
    </row>
    <row r="1628">
      <c r="A1628" s="1">
        <v>1626.0</v>
      </c>
      <c r="B1628" s="4" t="s">
        <v>2643</v>
      </c>
      <c r="C1628" s="4" t="str">
        <f>IFERROR(__xludf.DUMMYFUNCTION("GOOGLETRANSLATE(D:D,""auto"",""en"")"),"Army pumping group of 1,400 people assume Vulcan Mountain Medical Mission")</f>
        <v>Army pumping group of 1,400 people assume Vulcan Mountain Medical Mission</v>
      </c>
      <c r="D1628" s="4" t="s">
        <v>2684</v>
      </c>
      <c r="E1628" s="4">
        <v>9202008.0</v>
      </c>
      <c r="F1628" s="4">
        <v>27.0</v>
      </c>
      <c r="G1628" s="4" t="s">
        <v>2685</v>
      </c>
    </row>
    <row r="1629">
      <c r="A1629" s="1">
        <v>1627.0</v>
      </c>
      <c r="B1629" s="4" t="s">
        <v>2643</v>
      </c>
      <c r="C1629" s="4" t="str">
        <f>IFERROR(__xludf.DUMMYFUNCTION("GOOGLETRANSLATE(D:D,""auto"",""en"")"),"Hand Cold Competition")</f>
        <v>Hand Cold Competition</v>
      </c>
      <c r="D1629" s="4" t="s">
        <v>2686</v>
      </c>
      <c r="E1629" s="4">
        <v>9155831.0</v>
      </c>
      <c r="F1629" s="4">
        <v>28.0</v>
      </c>
      <c r="G1629" s="4" t="s">
        <v>2687</v>
      </c>
    </row>
    <row r="1630">
      <c r="A1630" s="1">
        <v>1628.0</v>
      </c>
      <c r="B1630" s="4" t="s">
        <v>2643</v>
      </c>
      <c r="C1630" s="4" t="str">
        <f>IFERROR(__xludf.DUMMYFUNCTION("GOOGLETRANSLATE(D:D,""auto"",""en"")"),"Deng purple chess angels tribute song")</f>
        <v>Deng purple chess angels tribute song</v>
      </c>
      <c r="D1630" s="4" t="s">
        <v>2688</v>
      </c>
      <c r="E1630" s="4">
        <v>9155734.0</v>
      </c>
      <c r="F1630" s="4">
        <v>29.0</v>
      </c>
      <c r="G1630" s="4" t="s">
        <v>2689</v>
      </c>
    </row>
    <row r="1631">
      <c r="A1631" s="1">
        <v>1629.0</v>
      </c>
      <c r="B1631" s="4" t="s">
        <v>2643</v>
      </c>
      <c r="C1631" s="4" t="str">
        <f>IFERROR(__xludf.DUMMYFUNCTION("GOOGLETRANSLATE(D:D,""auto"",""en"")"),"No power to stop asymptomatic persons into the community to return to Beijing")</f>
        <v>No power to stop asymptomatic persons into the community to return to Beijing</v>
      </c>
      <c r="D1631" s="4" t="s">
        <v>2690</v>
      </c>
      <c r="E1631" s="4">
        <v>9086356.0</v>
      </c>
      <c r="F1631" s="4">
        <v>30.0</v>
      </c>
      <c r="G1631" s="4" t="s">
        <v>2691</v>
      </c>
    </row>
    <row r="1632">
      <c r="A1632" s="1">
        <v>1630.0</v>
      </c>
      <c r="B1632" s="4" t="s">
        <v>2643</v>
      </c>
      <c r="C1632" s="4" t="str">
        <f>IFERROR(__xludf.DUMMYFUNCTION("GOOGLETRANSLATE(D:D,""auto"",""en"")"),"You may use any name calling trapped medical supplies")</f>
        <v>You may use any name calling trapped medical supplies</v>
      </c>
      <c r="D1632" s="4" t="s">
        <v>2692</v>
      </c>
      <c r="E1632" s="4">
        <v>9040616.0</v>
      </c>
      <c r="F1632" s="4">
        <v>31.0</v>
      </c>
      <c r="G1632" s="4" t="s">
        <v>2693</v>
      </c>
    </row>
    <row r="1633">
      <c r="A1633" s="1">
        <v>1631.0</v>
      </c>
      <c r="B1633" s="4" t="s">
        <v>2643</v>
      </c>
      <c r="C1633" s="4" t="str">
        <f>IFERROR(__xludf.DUMMYFUNCTION("GOOGLETRANSLATE(D:D,""auto"",""en"")"),"The new crown after the death of patients with pneumonia should be cremated at a nearby")</f>
        <v>The new crown after the death of patients with pneumonia should be cremated at a nearby</v>
      </c>
      <c r="D1633" s="4" t="s">
        <v>2694</v>
      </c>
      <c r="E1633" s="4">
        <v>8965473.0</v>
      </c>
      <c r="F1633" s="4">
        <v>32.0</v>
      </c>
      <c r="G1633" s="4" t="s">
        <v>2695</v>
      </c>
    </row>
    <row r="1634">
      <c r="A1634" s="1">
        <v>1632.0</v>
      </c>
      <c r="B1634" s="4" t="s">
        <v>2643</v>
      </c>
      <c r="C1634" s="4" t="str">
        <f>IFERROR(__xludf.DUMMYFUNCTION("GOOGLETRANSLATE(D:D,""auto"",""en"")"),"Zhong Nanshan respond rapidly rising number of people diagnosed")</f>
        <v>Zhong Nanshan respond rapidly rising number of people diagnosed</v>
      </c>
      <c r="D1634" s="4" t="s">
        <v>2696</v>
      </c>
      <c r="E1634" s="4">
        <v>8852580.0</v>
      </c>
      <c r="F1634" s="4">
        <v>33.0</v>
      </c>
      <c r="G1634" s="4" t="s">
        <v>2697</v>
      </c>
    </row>
    <row r="1635">
      <c r="A1635" s="1">
        <v>1633.0</v>
      </c>
      <c r="B1635" s="4" t="s">
        <v>2643</v>
      </c>
      <c r="C1635" s="4" t="str">
        <f>IFERROR(__xludf.DUMMYFUNCTION("GOOGLETRANSLATE(D:D,""auto"",""en"")"),"World perfectly symmetrical Day")</f>
        <v>World perfectly symmetrical Day</v>
      </c>
      <c r="D1635" s="4" t="s">
        <v>2698</v>
      </c>
      <c r="E1635" s="4">
        <v>8736204.0</v>
      </c>
      <c r="F1635" s="4">
        <v>34.0</v>
      </c>
      <c r="G1635" s="4" t="s">
        <v>2699</v>
      </c>
    </row>
    <row r="1636">
      <c r="A1636" s="1">
        <v>1634.0</v>
      </c>
      <c r="B1636" s="4" t="s">
        <v>2643</v>
      </c>
      <c r="C1636" s="4" t="str">
        <f>IFERROR(__xludf.DUMMYFUNCTION("GOOGLETRANSLATE(D:D,""auto"",""en"")"),"Hunan new cases of pneumonia, 74 cases of the new crown")</f>
        <v>Hunan new cases of pneumonia, 74 cases of the new crown</v>
      </c>
      <c r="D1636" s="4" t="s">
        <v>2700</v>
      </c>
      <c r="E1636" s="4">
        <v>8716877.0</v>
      </c>
      <c r="F1636" s="4">
        <v>35.0</v>
      </c>
      <c r="G1636" s="4" t="s">
        <v>2701</v>
      </c>
    </row>
    <row r="1637">
      <c r="A1637" s="1">
        <v>1635.0</v>
      </c>
      <c r="B1637" s="4" t="s">
        <v>2643</v>
      </c>
      <c r="C1637" s="4" t="str">
        <f>IFERROR(__xludf.DUMMYFUNCTION("GOOGLETRANSLATE(D:D,""auto"",""en"")"),"Harbin Chinese New Year dinner causing many infections")</f>
        <v>Harbin Chinese New Year dinner causing many infections</v>
      </c>
      <c r="D1637" s="4" t="s">
        <v>2702</v>
      </c>
      <c r="E1637" s="4">
        <v>8652757.0</v>
      </c>
      <c r="F1637" s="4">
        <v>36.0</v>
      </c>
      <c r="G1637" s="4" t="s">
        <v>2703</v>
      </c>
    </row>
    <row r="1638">
      <c r="A1638" s="1">
        <v>1636.0</v>
      </c>
      <c r="B1638" s="4" t="s">
        <v>2643</v>
      </c>
      <c r="C1638" s="4" t="str">
        <f>IFERROR(__xludf.DUMMYFUNCTION("GOOGLETRANSLATE(D:D,""auto"",""en"")"),"James Bryant memorial speech")</f>
        <v>James Bryant memorial speech</v>
      </c>
      <c r="D1638" s="4" t="s">
        <v>2704</v>
      </c>
      <c r="E1638" s="4">
        <v>8607099.0</v>
      </c>
      <c r="F1638" s="4">
        <v>37.0</v>
      </c>
      <c r="G1638" s="4" t="s">
        <v>2705</v>
      </c>
    </row>
    <row r="1639">
      <c r="A1639" s="1">
        <v>1637.0</v>
      </c>
      <c r="B1639" s="4" t="s">
        <v>2643</v>
      </c>
      <c r="C1639" s="4" t="str">
        <f>IFERROR(__xludf.DUMMYFUNCTION("GOOGLETRANSLATE(D:D,""auto"",""en"")"),"The landlord rent reduction initiative 801,200 tenants benefit")</f>
        <v>The landlord rent reduction initiative 801,200 tenants benefit</v>
      </c>
      <c r="D1639" s="4" t="s">
        <v>2706</v>
      </c>
      <c r="E1639" s="4">
        <v>8596197.0</v>
      </c>
      <c r="F1639" s="4">
        <v>38.0</v>
      </c>
      <c r="G1639" s="4" t="s">
        <v>2707</v>
      </c>
    </row>
    <row r="1640">
      <c r="A1640" s="1">
        <v>1638.0</v>
      </c>
      <c r="B1640" s="4" t="s">
        <v>2643</v>
      </c>
      <c r="C1640" s="4" t="str">
        <f>IFERROR(__xludf.DUMMYFUNCTION("GOOGLETRANSLATE(D:D,""auto"",""en"")"),"Dianchi hand feeding seagull")</f>
        <v>Dianchi hand feeding seagull</v>
      </c>
      <c r="D1640" s="4" t="s">
        <v>2708</v>
      </c>
      <c r="E1640" s="4">
        <v>8545050.0</v>
      </c>
      <c r="F1640" s="4">
        <v>39.0</v>
      </c>
      <c r="G1640" s="4" t="s">
        <v>2709</v>
      </c>
    </row>
    <row r="1641">
      <c r="A1641" s="1">
        <v>1639.0</v>
      </c>
      <c r="B1641" s="4" t="s">
        <v>2643</v>
      </c>
      <c r="C1641" s="4" t="str">
        <f>IFERROR(__xludf.DUMMYFUNCTION("GOOGLETRANSLATE(D:D,""auto"",""en"")"),"Henan new cases of pneumonia, 71 cases of the new crown")</f>
        <v>Henan new cases of pneumonia, 71 cases of the new crown</v>
      </c>
      <c r="D1641" s="4" t="s">
        <v>2710</v>
      </c>
      <c r="E1641" s="4">
        <v>8519639.0</v>
      </c>
      <c r="F1641" s="4">
        <v>40.0</v>
      </c>
      <c r="G1641" s="4" t="s">
        <v>2711</v>
      </c>
    </row>
    <row r="1642">
      <c r="A1642" s="1">
        <v>1640.0</v>
      </c>
      <c r="B1642" s="4" t="s">
        <v>2643</v>
      </c>
      <c r="C1642" s="4" t="str">
        <f>IFERROR(__xludf.DUMMYFUNCTION("GOOGLETRANSLATE(D:D,""auto"",""en"")"),"Liu Chuanjian send medical team to Sichuan, Wuhan")</f>
        <v>Liu Chuanjian send medical team to Sichuan, Wuhan</v>
      </c>
      <c r="D1642" s="4" t="s">
        <v>2712</v>
      </c>
      <c r="E1642" s="4">
        <v>8360083.0</v>
      </c>
      <c r="F1642" s="4">
        <v>41.0</v>
      </c>
      <c r="G1642" s="4" t="s">
        <v>2713</v>
      </c>
    </row>
    <row r="1643">
      <c r="A1643" s="1">
        <v>1641.0</v>
      </c>
      <c r="B1643" s="4" t="s">
        <v>2643</v>
      </c>
      <c r="C1643" s="4" t="str">
        <f>IFERROR(__xludf.DUMMYFUNCTION("GOOGLETRANSLATE(D:D,""auto"",""en"")"),"Wuhan Zoo seeking social support")</f>
        <v>Wuhan Zoo seeking social support</v>
      </c>
      <c r="D1643" s="4" t="s">
        <v>2714</v>
      </c>
      <c r="E1643" s="4">
        <v>8306296.0</v>
      </c>
      <c r="F1643" s="4">
        <v>42.0</v>
      </c>
      <c r="G1643" s="4" t="s">
        <v>2715</v>
      </c>
    </row>
    <row r="1644">
      <c r="A1644" s="1">
        <v>1642.0</v>
      </c>
      <c r="B1644" s="4" t="s">
        <v>2643</v>
      </c>
      <c r="C1644" s="4" t="str">
        <f>IFERROR(__xludf.DUMMYFUNCTION("GOOGLETRANSLATE(D:D,""auto"",""en"")"),"Doctors Wuhan cry interview")</f>
        <v>Doctors Wuhan cry interview</v>
      </c>
      <c r="D1644" s="4" t="s">
        <v>2716</v>
      </c>
      <c r="E1644" s="4">
        <v>8170840.0</v>
      </c>
      <c r="F1644" s="4">
        <v>43.0</v>
      </c>
      <c r="G1644" s="4" t="s">
        <v>2717</v>
      </c>
    </row>
    <row r="1645">
      <c r="A1645" s="1">
        <v>1643.0</v>
      </c>
      <c r="B1645" s="4" t="s">
        <v>2643</v>
      </c>
      <c r="C1645" s="4" t="str">
        <f>IFERROR(__xludf.DUMMYFUNCTION("GOOGLETRANSLATE(D:D,""auto"",""en"")"),"PLA is assigned to take over the Vulcan Hill Hospital")</f>
        <v>PLA is assigned to take over the Vulcan Hill Hospital</v>
      </c>
      <c r="D1645" s="4" t="s">
        <v>2718</v>
      </c>
      <c r="E1645" s="4">
        <v>8165676.0</v>
      </c>
      <c r="F1645" s="4">
        <v>44.0</v>
      </c>
      <c r="G1645" s="4" t="s">
        <v>2719</v>
      </c>
    </row>
    <row r="1646">
      <c r="A1646" s="1">
        <v>1644.0</v>
      </c>
      <c r="B1646" s="4" t="s">
        <v>2643</v>
      </c>
      <c r="C1646" s="4" t="str">
        <f>IFERROR(__xludf.DUMMYFUNCTION("GOOGLETRANSLATE(D:D,""auto"",""en"")"),"Concealing induced after contact with patients diagnosed isolated village")</f>
        <v>Concealing induced after contact with patients diagnosed isolated village</v>
      </c>
      <c r="D1646" s="4" t="s">
        <v>2720</v>
      </c>
      <c r="E1646" s="4">
        <v>8109838.0</v>
      </c>
      <c r="F1646" s="4">
        <v>45.0</v>
      </c>
      <c r="G1646" s="4" t="s">
        <v>2721</v>
      </c>
    </row>
    <row r="1647">
      <c r="A1647" s="1">
        <v>1645.0</v>
      </c>
      <c r="B1647" s="4" t="s">
        <v>2643</v>
      </c>
      <c r="C1647" s="4" t="str">
        <f>IFERROR(__xludf.DUMMYFUNCTION("GOOGLETRANSLATE(D:D,""auto"",""en"")"),"Farmers riding 40 kilometers to send medical teams and vegetables")</f>
        <v>Farmers riding 40 kilometers to send medical teams and vegetables</v>
      </c>
      <c r="D1647" s="4" t="s">
        <v>2722</v>
      </c>
      <c r="E1647" s="4">
        <v>8107071.0</v>
      </c>
      <c r="F1647" s="4">
        <v>46.0</v>
      </c>
      <c r="G1647" s="4" t="s">
        <v>2723</v>
      </c>
    </row>
    <row r="1648">
      <c r="A1648" s="1">
        <v>1646.0</v>
      </c>
      <c r="B1648" s="4" t="s">
        <v>2643</v>
      </c>
      <c r="C1648" s="4" t="str">
        <f>IFERROR(__xludf.DUMMYFUNCTION("GOOGLETRANSLATE(D:D,""auto"",""en"")"),"Treatment success rate is higher than a stream and bird flu")</f>
        <v>Treatment success rate is higher than a stream and bird flu</v>
      </c>
      <c r="D1648" s="4" t="s">
        <v>2724</v>
      </c>
      <c r="E1648" s="4">
        <v>7988561.0</v>
      </c>
      <c r="F1648" s="4">
        <v>47.0</v>
      </c>
      <c r="G1648" s="4" t="s">
        <v>2725</v>
      </c>
    </row>
    <row r="1649">
      <c r="A1649" s="1">
        <v>1647.0</v>
      </c>
      <c r="B1649" s="4" t="s">
        <v>2643</v>
      </c>
      <c r="C1649" s="4" t="str">
        <f>IFERROR(__xludf.DUMMYFUNCTION("GOOGLETRANSLATE(D:D,""auto"",""en"")"),"Human flesh returned to the Chinese people back masks")</f>
        <v>Human flesh returned to the Chinese people back masks</v>
      </c>
      <c r="D1649" s="4" t="s">
        <v>2726</v>
      </c>
      <c r="E1649" s="4">
        <v>7946403.0</v>
      </c>
      <c r="F1649" s="4">
        <v>48.0</v>
      </c>
      <c r="G1649" s="4" t="s">
        <v>2727</v>
      </c>
    </row>
    <row r="1650">
      <c r="A1650" s="1">
        <v>1648.0</v>
      </c>
      <c r="B1650" s="4" t="s">
        <v>2643</v>
      </c>
      <c r="C1650" s="4" t="str">
        <f>IFERROR(__xludf.DUMMYFUNCTION("GOOGLETRANSLATE(D:D,""auto"",""en"")"),"The central bank will put in 120 million yuan of liquidity")</f>
        <v>The central bank will put in 120 million yuan of liquidity</v>
      </c>
      <c r="D1650" s="4" t="s">
        <v>2728</v>
      </c>
      <c r="E1650" s="4">
        <v>7944319.0</v>
      </c>
      <c r="F1650" s="4">
        <v>49.0</v>
      </c>
      <c r="G1650" s="4" t="s">
        <v>2729</v>
      </c>
    </row>
    <row r="1651">
      <c r="A1651" s="1">
        <v>1649.0</v>
      </c>
      <c r="B1651" s="4" t="s">
        <v>2643</v>
      </c>
      <c r="C1651" s="4" t="str">
        <f>IFERROR(__xludf.DUMMYFUNCTION("GOOGLETRANSLATE(D:D,""auto"",""en"")"),"Everything about the new crown pneumonia")</f>
        <v>Everything about the new crown pneumonia</v>
      </c>
      <c r="D1651" s="4" t="s">
        <v>2730</v>
      </c>
      <c r="E1651" s="4">
        <v>7929727.0</v>
      </c>
      <c r="F1651" s="4">
        <v>50.0</v>
      </c>
      <c r="G1651" s="4" t="s">
        <v>2731</v>
      </c>
    </row>
    <row r="1652">
      <c r="A1652" s="1">
        <v>1650.0</v>
      </c>
      <c r="B1652" s="4" t="s">
        <v>2732</v>
      </c>
      <c r="C1652" s="4" t="str">
        <f>IFERROR(__xludf.DUMMYFUNCTION("GOOGLETRANSLATE(D:D,""auto"",""en"")"),"Academician Li Lanjuan response to the vaccine progress")</f>
        <v>Academician Li Lanjuan response to the vaccine progress</v>
      </c>
      <c r="D1652" s="4" t="s">
        <v>2733</v>
      </c>
      <c r="E1652" s="4">
        <v>1.3694477E7</v>
      </c>
      <c r="F1652" s="4">
        <v>1.0</v>
      </c>
      <c r="G1652" s="4" t="s">
        <v>2734</v>
      </c>
    </row>
    <row r="1653">
      <c r="A1653" s="1">
        <v>1651.0</v>
      </c>
      <c r="B1653" s="4" t="s">
        <v>2732</v>
      </c>
      <c r="C1653" s="4" t="str">
        <f>IFERROR(__xludf.DUMMYFUNCTION("GOOGLETRANSLATE(D:D,""auto"",""en"")"),"More pause tail number limit line")</f>
        <v>More pause tail number limit line</v>
      </c>
      <c r="D1653" s="4" t="s">
        <v>2735</v>
      </c>
      <c r="E1653" s="4">
        <v>1.3301919E7</v>
      </c>
      <c r="F1653" s="4">
        <v>2.0</v>
      </c>
      <c r="G1653" s="4" t="s">
        <v>2736</v>
      </c>
    </row>
    <row r="1654">
      <c r="A1654" s="1">
        <v>1652.0</v>
      </c>
      <c r="B1654" s="4" t="s">
        <v>2732</v>
      </c>
      <c r="C1654" s="4" t="str">
        <f>IFERROR(__xludf.DUMMYFUNCTION("GOOGLETRANSLATE(D:D,""auto"",""en"")"),"Taking a white wedding nurses and firefighters")</f>
        <v>Taking a white wedding nurses and firefighters</v>
      </c>
      <c r="D1654" s="4" t="s">
        <v>2737</v>
      </c>
      <c r="E1654" s="4">
        <v>1.2991937E7</v>
      </c>
      <c r="F1654" s="4">
        <v>3.0</v>
      </c>
      <c r="G1654" s="4" t="s">
        <v>2738</v>
      </c>
    </row>
    <row r="1655">
      <c r="A1655" s="1">
        <v>1653.0</v>
      </c>
      <c r="B1655" s="4" t="s">
        <v>2732</v>
      </c>
      <c r="C1655" s="4" t="str">
        <f>IFERROR(__xludf.DUMMYFUNCTION("GOOGLETRANSLATE(D:D,""auto"",""en"")"),"Challenge the whole network the most ugly toilet")</f>
        <v>Challenge the whole network the most ugly toilet</v>
      </c>
      <c r="D1655" s="4" t="s">
        <v>2739</v>
      </c>
      <c r="E1655" s="4">
        <v>1.2674181E7</v>
      </c>
      <c r="F1655" s="4">
        <v>4.0</v>
      </c>
      <c r="G1655" s="4" t="s">
        <v>2740</v>
      </c>
    </row>
    <row r="1656">
      <c r="A1656" s="1">
        <v>1654.0</v>
      </c>
      <c r="B1656" s="4" t="s">
        <v>2732</v>
      </c>
      <c r="C1656" s="4" t="str">
        <f>IFERROR(__xludf.DUMMYFUNCTION("GOOGLETRANSLATE(D:D,""auto"",""en"")"),"There is no winner after the Board of State gunshot")</f>
        <v>There is no winner after the Board of State gunshot</v>
      </c>
      <c r="D1656" s="4" t="s">
        <v>2741</v>
      </c>
      <c r="E1656" s="4">
        <v>1.1383915E7</v>
      </c>
      <c r="F1656" s="4">
        <v>5.0</v>
      </c>
      <c r="G1656" s="4" t="s">
        <v>2742</v>
      </c>
    </row>
    <row r="1657">
      <c r="A1657" s="1">
        <v>1655.0</v>
      </c>
      <c r="B1657" s="4" t="s">
        <v>2732</v>
      </c>
      <c r="C1657" s="4" t="str">
        <f>IFERROR(__xludf.DUMMYFUNCTION("GOOGLETRANSLATE(D:D,""auto"",""en"")"),"Human flesh returned to the Chinese people back masks")</f>
        <v>Human flesh returned to the Chinese people back masks</v>
      </c>
      <c r="D1657" s="4" t="s">
        <v>2726</v>
      </c>
      <c r="E1657" s="4">
        <v>1.1151114E7</v>
      </c>
      <c r="F1657" s="4">
        <v>6.0</v>
      </c>
      <c r="G1657" s="4" t="s">
        <v>2727</v>
      </c>
    </row>
    <row r="1658">
      <c r="A1658" s="1">
        <v>1656.0</v>
      </c>
      <c r="B1658" s="4" t="s">
        <v>2732</v>
      </c>
      <c r="C1658" s="4" t="str">
        <f>IFERROR(__xludf.DUMMYFUNCTION("GOOGLETRANSLATE(D:D,""auto"",""en"")"),"Wolf disco accompaniment author")</f>
        <v>Wolf disco accompaniment author</v>
      </c>
      <c r="D1658" s="4" t="s">
        <v>2743</v>
      </c>
      <c r="E1658" s="4">
        <v>1.0938615E7</v>
      </c>
      <c r="F1658" s="4">
        <v>7.0</v>
      </c>
      <c r="G1658" s="4" t="s">
        <v>2744</v>
      </c>
    </row>
    <row r="1659">
      <c r="A1659" s="1">
        <v>1657.0</v>
      </c>
      <c r="B1659" s="4" t="s">
        <v>2732</v>
      </c>
      <c r="C1659" s="4" t="str">
        <f>IFERROR(__xludf.DUMMYFUNCTION("GOOGLETRANSLATE(D:D,""auto"",""en"")"),"One hundred stars Contagion MV")</f>
        <v>One hundred stars Contagion MV</v>
      </c>
      <c r="D1659" s="4" t="s">
        <v>2660</v>
      </c>
      <c r="E1659" s="4">
        <v>1.0837979E7</v>
      </c>
      <c r="F1659" s="4">
        <v>8.0</v>
      </c>
      <c r="G1659" s="4" t="s">
        <v>2661</v>
      </c>
    </row>
    <row r="1660">
      <c r="A1660" s="1">
        <v>1658.0</v>
      </c>
      <c r="B1660" s="4" t="s">
        <v>2732</v>
      </c>
      <c r="C1660" s="4" t="str">
        <f>IFERROR(__xludf.DUMMYFUNCTION("GOOGLETRANSLATE(D:D,""auto"",""en"")"),"Registration 76 remaining survivors alive in the book")</f>
        <v>Registration 76 remaining survivors alive in the book</v>
      </c>
      <c r="D1660" s="4" t="s">
        <v>2745</v>
      </c>
      <c r="E1660" s="4">
        <v>1.080285E7</v>
      </c>
      <c r="F1660" s="4">
        <v>9.0</v>
      </c>
      <c r="G1660" s="4" t="s">
        <v>2746</v>
      </c>
    </row>
    <row r="1661">
      <c r="A1661" s="1">
        <v>1659.0</v>
      </c>
      <c r="B1661" s="4" t="s">
        <v>2732</v>
      </c>
      <c r="C1661" s="4" t="str">
        <f>IFERROR(__xludf.DUMMYFUNCTION("GOOGLETRANSLATE(D:D,""auto"",""en"")"),"Chengdu 5.1 earthquake")</f>
        <v>Chengdu 5.1 earthquake</v>
      </c>
      <c r="D1661" s="4" t="s">
        <v>2747</v>
      </c>
      <c r="E1661" s="4">
        <v>1.0538097E7</v>
      </c>
      <c r="F1661" s="4">
        <v>10.0</v>
      </c>
      <c r="G1661" s="4" t="s">
        <v>2748</v>
      </c>
    </row>
    <row r="1662">
      <c r="A1662" s="1">
        <v>1660.0</v>
      </c>
      <c r="B1662" s="4" t="s">
        <v>2732</v>
      </c>
      <c r="C1662" s="4" t="str">
        <f>IFERROR(__xludf.DUMMYFUNCTION("GOOGLETRANSLATE(D:D,""auto"",""en"")"),"EOD suspicious package was found inside a mask")</f>
        <v>EOD suspicious package was found inside a mask</v>
      </c>
      <c r="D1662" s="4" t="s">
        <v>2749</v>
      </c>
      <c r="E1662" s="4">
        <v>1.0491887E7</v>
      </c>
      <c r="F1662" s="4">
        <v>11.0</v>
      </c>
      <c r="G1662" s="4" t="s">
        <v>2750</v>
      </c>
    </row>
    <row r="1663">
      <c r="A1663" s="1">
        <v>1661.0</v>
      </c>
      <c r="B1663" s="4" t="s">
        <v>2732</v>
      </c>
      <c r="C1663" s="4" t="str">
        <f>IFERROR(__xludf.DUMMYFUNCTION("GOOGLETRANSLATE(D:D,""auto"",""en"")"),"Breath to sing")</f>
        <v>Breath to sing</v>
      </c>
      <c r="D1663" s="4" t="s">
        <v>2751</v>
      </c>
      <c r="E1663" s="4">
        <v>1.0210115E7</v>
      </c>
      <c r="F1663" s="4">
        <v>12.0</v>
      </c>
      <c r="G1663" s="4" t="s">
        <v>2752</v>
      </c>
    </row>
    <row r="1664">
      <c r="A1664" s="1">
        <v>1662.0</v>
      </c>
      <c r="B1664" s="4" t="s">
        <v>2732</v>
      </c>
      <c r="C1664" s="4" t="str">
        <f>IFERROR(__xludf.DUMMYFUNCTION("GOOGLETRANSLATE(D:D,""auto"",""en"")"),"Sa Beining nine verses talk about life in this ancient practice")</f>
        <v>Sa Beining nine verses talk about life in this ancient practice</v>
      </c>
      <c r="D1664" s="4" t="s">
        <v>2753</v>
      </c>
      <c r="E1664" s="4">
        <v>9983068.0</v>
      </c>
      <c r="F1664" s="4">
        <v>13.0</v>
      </c>
      <c r="G1664" s="4" t="s">
        <v>2754</v>
      </c>
    </row>
    <row r="1665">
      <c r="A1665" s="1">
        <v>1663.0</v>
      </c>
      <c r="B1665" s="4" t="s">
        <v>2732</v>
      </c>
      <c r="C1665" s="4" t="str">
        <f>IFERROR(__xludf.DUMMYFUNCTION("GOOGLETRANSLATE(D:D,""auto"",""en"")"),"Zhejiang new total of 63 cases diagnosed 724 cases")</f>
        <v>Zhejiang new total of 63 cases diagnosed 724 cases</v>
      </c>
      <c r="D1665" s="4" t="s">
        <v>2755</v>
      </c>
      <c r="E1665" s="4">
        <v>9780098.0</v>
      </c>
      <c r="F1665" s="4">
        <v>14.0</v>
      </c>
      <c r="G1665" s="4" t="s">
        <v>2756</v>
      </c>
    </row>
    <row r="1666">
      <c r="A1666" s="1">
        <v>1664.0</v>
      </c>
      <c r="B1666" s="4" t="s">
        <v>2732</v>
      </c>
      <c r="C1666" s="4" t="str">
        <f>IFERROR(__xludf.DUMMYFUNCTION("GOOGLETRANSLATE(D:D,""auto"",""en"")"),"Zion champion empty dunks")</f>
        <v>Zion champion empty dunks</v>
      </c>
      <c r="D1666" s="4" t="s">
        <v>2757</v>
      </c>
      <c r="E1666" s="4">
        <v>9761555.0</v>
      </c>
      <c r="F1666" s="4">
        <v>15.0</v>
      </c>
      <c r="G1666" s="4" t="s">
        <v>2758</v>
      </c>
    </row>
    <row r="1667">
      <c r="A1667" s="1">
        <v>1665.0</v>
      </c>
      <c r="B1667" s="4" t="s">
        <v>2732</v>
      </c>
      <c r="C1667" s="4" t="str">
        <f>IFERROR(__xludf.DUMMYFUNCTION("GOOGLETRANSLATE(D:D,""auto"",""en"")"),"Private enterprises in Wuhan to take over the work of the Red Cross supplies")</f>
        <v>Private enterprises in Wuhan to take over the work of the Red Cross supplies</v>
      </c>
      <c r="D1667" s="4" t="s">
        <v>2759</v>
      </c>
      <c r="E1667" s="4">
        <v>9519771.0</v>
      </c>
      <c r="F1667" s="4">
        <v>16.0</v>
      </c>
      <c r="G1667" s="4" t="s">
        <v>2760</v>
      </c>
    </row>
    <row r="1668">
      <c r="A1668" s="1">
        <v>1666.0</v>
      </c>
      <c r="B1668" s="4" t="s">
        <v>2732</v>
      </c>
      <c r="C1668" s="4" t="str">
        <f>IFERROR(__xludf.DUMMYFUNCTION("GOOGLETRANSLATE(D:D,""auto"",""en"")"),"Wuhan home pet rescue stranded")</f>
        <v>Wuhan home pet rescue stranded</v>
      </c>
      <c r="D1668" s="4" t="s">
        <v>2761</v>
      </c>
      <c r="E1668" s="4">
        <v>9513308.0</v>
      </c>
      <c r="F1668" s="4">
        <v>17.0</v>
      </c>
      <c r="G1668" s="4" t="s">
        <v>2762</v>
      </c>
    </row>
    <row r="1669">
      <c r="A1669" s="1">
        <v>1667.0</v>
      </c>
      <c r="B1669" s="4" t="s">
        <v>2732</v>
      </c>
      <c r="C1669" s="4" t="str">
        <f>IFERROR(__xludf.DUMMYFUNCTION("GOOGLETRANSLATE(D:D,""auto"",""en"")"),"After the outbreak masks government purchasing and storage of surplus production capacity")</f>
        <v>After the outbreak masks government purchasing and storage of surplus production capacity</v>
      </c>
      <c r="D1669" s="4" t="s">
        <v>2763</v>
      </c>
      <c r="E1669" s="4">
        <v>9237188.0</v>
      </c>
      <c r="F1669" s="4">
        <v>18.0</v>
      </c>
      <c r="G1669" s="4" t="s">
        <v>2764</v>
      </c>
    </row>
    <row r="1670">
      <c r="A1670" s="1">
        <v>1668.0</v>
      </c>
      <c r="B1670" s="4" t="s">
        <v>2732</v>
      </c>
      <c r="C1670" s="4" t="str">
        <f>IFERROR(__xludf.DUMMYFUNCTION("GOOGLETRANSLATE(D:D,""auto"",""en"")"),"Back back masks send police unnamed Chinese people")</f>
        <v>Back back masks send police unnamed Chinese people</v>
      </c>
      <c r="D1670" s="4" t="s">
        <v>2765</v>
      </c>
      <c r="E1670" s="4">
        <v>9056483.0</v>
      </c>
      <c r="F1670" s="4">
        <v>19.0</v>
      </c>
      <c r="G1670" s="4" t="s">
        <v>2766</v>
      </c>
    </row>
    <row r="1671">
      <c r="A1671" s="1">
        <v>1669.0</v>
      </c>
      <c r="B1671" s="4" t="s">
        <v>2732</v>
      </c>
      <c r="C1671" s="4" t="str">
        <f>IFERROR(__xludf.DUMMYFUNCTION("GOOGLETRANSLATE(D:D,""auto"",""en"")"),"Nucleic acid detection reagents yield was 40-fold in patients with suspected")</f>
        <v>Nucleic acid detection reagents yield was 40-fold in patients with suspected</v>
      </c>
      <c r="D1671" s="4" t="s">
        <v>2767</v>
      </c>
      <c r="E1671" s="4">
        <v>9009247.0</v>
      </c>
      <c r="F1671" s="4">
        <v>20.0</v>
      </c>
      <c r="G1671" s="4" t="s">
        <v>2768</v>
      </c>
    </row>
    <row r="1672">
      <c r="A1672" s="1">
        <v>1670.0</v>
      </c>
      <c r="B1672" s="4" t="s">
        <v>2732</v>
      </c>
      <c r="C1672" s="4" t="str">
        <f>IFERROR(__xludf.DUMMYFUNCTION("GOOGLETRANSLATE(D:D,""auto"",""en"")"),"National masks Nissan more than 2000 million")</f>
        <v>National masks Nissan more than 2000 million</v>
      </c>
      <c r="D1672" s="4" t="s">
        <v>2769</v>
      </c>
      <c r="E1672" s="4">
        <v>8826683.0</v>
      </c>
      <c r="F1672" s="4">
        <v>21.0</v>
      </c>
      <c r="G1672" s="4" t="s">
        <v>2770</v>
      </c>
    </row>
    <row r="1673">
      <c r="A1673" s="1">
        <v>1671.0</v>
      </c>
      <c r="B1673" s="4" t="s">
        <v>2732</v>
      </c>
      <c r="C1673" s="4" t="str">
        <f>IFERROR(__xludf.DUMMYFUNCTION("GOOGLETRANSLATE(D:D,""auto"",""en"")"),"Doorknob confirmed cases detected virus nucleic acid")</f>
        <v>Doorknob confirmed cases detected virus nucleic acid</v>
      </c>
      <c r="D1673" s="4" t="s">
        <v>2771</v>
      </c>
      <c r="E1673" s="4">
        <v>8651082.0</v>
      </c>
      <c r="F1673" s="4">
        <v>22.0</v>
      </c>
      <c r="G1673" s="4" t="s">
        <v>2772</v>
      </c>
    </row>
    <row r="1674">
      <c r="A1674" s="1">
        <v>1672.0</v>
      </c>
      <c r="B1674" s="4" t="s">
        <v>2732</v>
      </c>
      <c r="C1674" s="4" t="str">
        <f>IFERROR(__xludf.DUMMYFUNCTION("GOOGLETRANSLATE(D:D,""auto"",""en"")"),"Shanghai 7-month-olds are infected")</f>
        <v>Shanghai 7-month-olds are infected</v>
      </c>
      <c r="D1674" s="4" t="s">
        <v>2773</v>
      </c>
      <c r="E1674" s="4">
        <v>8648884.0</v>
      </c>
      <c r="F1674" s="4">
        <v>23.0</v>
      </c>
      <c r="G1674" s="4" t="s">
        <v>2774</v>
      </c>
    </row>
    <row r="1675">
      <c r="A1675" s="1">
        <v>1673.0</v>
      </c>
      <c r="B1675" s="4" t="s">
        <v>2732</v>
      </c>
      <c r="C1675" s="4" t="str">
        <f>IFERROR(__xludf.DUMMYFUNCTION("GOOGLETRANSLATE(D:D,""auto"",""en"")"),"During the epidemic prevention and control of alcohol was removed from office on duty")</f>
        <v>During the epidemic prevention and control of alcohol was removed from office on duty</v>
      </c>
      <c r="D1675" s="4" t="s">
        <v>2775</v>
      </c>
      <c r="E1675" s="4">
        <v>8436568.0</v>
      </c>
      <c r="F1675" s="4">
        <v>24.0</v>
      </c>
      <c r="G1675" s="4" t="s">
        <v>2776</v>
      </c>
    </row>
    <row r="1676">
      <c r="A1676" s="1">
        <v>1674.0</v>
      </c>
      <c r="B1676" s="4" t="s">
        <v>2732</v>
      </c>
      <c r="C1676" s="4" t="str">
        <f>IFERROR(__xludf.DUMMYFUNCTION("GOOGLETRANSLATE(D:D,""auto"",""en"")"),"Vulcan Mountain internal hospital")</f>
        <v>Vulcan Mountain internal hospital</v>
      </c>
      <c r="D1676" s="4" t="s">
        <v>2777</v>
      </c>
      <c r="E1676" s="4">
        <v>8425834.0</v>
      </c>
      <c r="F1676" s="4">
        <v>25.0</v>
      </c>
      <c r="G1676" s="4" t="s">
        <v>2778</v>
      </c>
    </row>
    <row r="1677">
      <c r="A1677" s="1">
        <v>1675.0</v>
      </c>
      <c r="B1677" s="4" t="s">
        <v>2732</v>
      </c>
      <c r="C1677" s="4" t="str">
        <f>IFERROR(__xludf.DUMMYFUNCTION("GOOGLETRANSLATE(D:D,""auto"",""en"")"),"Women do not wear masks and shout malls follow")</f>
        <v>Women do not wear masks and shout malls follow</v>
      </c>
      <c r="D1677" s="4" t="s">
        <v>2779</v>
      </c>
      <c r="E1677" s="4">
        <v>8234771.0</v>
      </c>
      <c r="F1677" s="4">
        <v>26.0</v>
      </c>
      <c r="G1677" s="4" t="s">
        <v>2780</v>
      </c>
    </row>
    <row r="1678">
      <c r="A1678" s="1">
        <v>1676.0</v>
      </c>
      <c r="B1678" s="4" t="s">
        <v>2732</v>
      </c>
      <c r="C1678" s="4" t="str">
        <f>IFERROR(__xludf.DUMMYFUNCTION("GOOGLETRANSLATE(D:D,""auto"",""en"")"),"Mulan ultimate trailer")</f>
        <v>Mulan ultimate trailer</v>
      </c>
      <c r="D1678" s="4" t="s">
        <v>2781</v>
      </c>
      <c r="E1678" s="4">
        <v>8199446.0</v>
      </c>
      <c r="F1678" s="4">
        <v>27.0</v>
      </c>
      <c r="G1678" s="4" t="s">
        <v>2782</v>
      </c>
    </row>
    <row r="1679">
      <c r="A1679" s="1">
        <v>1677.0</v>
      </c>
      <c r="B1679" s="4" t="s">
        <v>2732</v>
      </c>
      <c r="C1679" s="4" t="str">
        <f>IFERROR(__xludf.DUMMYFUNCTION("GOOGLETRANSLATE(D:D,""auto"",""en"")"),"The national total of 17,205 cases of pneumonia diagnosed with the new crown")</f>
        <v>The national total of 17,205 cases of pneumonia diagnosed with the new crown</v>
      </c>
      <c r="D1679" s="4" t="s">
        <v>2783</v>
      </c>
      <c r="E1679" s="4">
        <v>8133883.0</v>
      </c>
      <c r="F1679" s="4">
        <v>28.0</v>
      </c>
      <c r="G1679" s="4" t="s">
        <v>2784</v>
      </c>
    </row>
    <row r="1680">
      <c r="A1680" s="1">
        <v>1678.0</v>
      </c>
      <c r="B1680" s="4" t="s">
        <v>2732</v>
      </c>
      <c r="C1680" s="4" t="str">
        <f>IFERROR(__xludf.DUMMYFUNCTION("GOOGLETRANSLATE(D:D,""auto"",""en"")"),"Where disease should immediately stop using central air conditioning")</f>
        <v>Where disease should immediately stop using central air conditioning</v>
      </c>
      <c r="D1680" s="4" t="s">
        <v>2785</v>
      </c>
      <c r="E1680" s="4">
        <v>8073363.0</v>
      </c>
      <c r="F1680" s="4">
        <v>29.0</v>
      </c>
      <c r="G1680" s="4" t="s">
        <v>2786</v>
      </c>
    </row>
    <row r="1681">
      <c r="A1681" s="1">
        <v>1679.0</v>
      </c>
      <c r="B1681" s="4" t="s">
        <v>2732</v>
      </c>
      <c r="C1681" s="4" t="str">
        <f>IFERROR(__xludf.DUMMYFUNCTION("GOOGLETRANSLATE(D:D,""auto"",""en"")"),"New Sichuan confirmed 23 cases of a total of 254 cases")</f>
        <v>New Sichuan confirmed 23 cases of a total of 254 cases</v>
      </c>
      <c r="D1681" s="4" t="s">
        <v>2787</v>
      </c>
      <c r="E1681" s="4">
        <v>7969358.0</v>
      </c>
      <c r="F1681" s="4">
        <v>30.0</v>
      </c>
      <c r="G1681" s="4" t="s">
        <v>2788</v>
      </c>
    </row>
    <row r="1682">
      <c r="A1682" s="1">
        <v>1680.0</v>
      </c>
      <c r="B1682" s="4" t="s">
        <v>2732</v>
      </c>
      <c r="C1682" s="4" t="str">
        <f>IFERROR(__xludf.DUMMYFUNCTION("GOOGLETRANSLATE(D:D,""auto"",""en"")"),"When tenants into the area is blocked for Beijing")</f>
        <v>When tenants into the area is blocked for Beijing</v>
      </c>
      <c r="D1682" s="4" t="s">
        <v>2789</v>
      </c>
      <c r="E1682" s="4">
        <v>7850038.0</v>
      </c>
      <c r="F1682" s="4">
        <v>31.0</v>
      </c>
      <c r="G1682" s="4" t="s">
        <v>2790</v>
      </c>
    </row>
    <row r="1683">
      <c r="A1683" s="1">
        <v>1681.0</v>
      </c>
      <c r="B1683" s="4" t="s">
        <v>2732</v>
      </c>
      <c r="C1683" s="4" t="str">
        <f>IFERROR(__xludf.DUMMYFUNCTION("GOOGLETRANSLATE(D:D,""auto"",""en"")"),"Xu Xin, behind batting")</f>
        <v>Xu Xin, behind batting</v>
      </c>
      <c r="D1683" s="4" t="s">
        <v>2791</v>
      </c>
      <c r="E1683" s="4">
        <v>7846980.0</v>
      </c>
      <c r="F1683" s="4">
        <v>32.0</v>
      </c>
      <c r="G1683" s="4" t="s">
        <v>2792</v>
      </c>
    </row>
    <row r="1684">
      <c r="A1684" s="1">
        <v>1682.0</v>
      </c>
      <c r="B1684" s="4" t="s">
        <v>2732</v>
      </c>
      <c r="C1684" s="4" t="str">
        <f>IFERROR(__xludf.DUMMYFUNCTION("GOOGLETRANSLATE(D:D,""auto"",""en"")"),"Orange fireworks")</f>
        <v>Orange fireworks</v>
      </c>
      <c r="D1684" s="4" t="s">
        <v>2793</v>
      </c>
      <c r="E1684" s="4">
        <v>7793272.0</v>
      </c>
      <c r="F1684" s="4">
        <v>33.0</v>
      </c>
      <c r="G1684" s="4" t="s">
        <v>2794</v>
      </c>
    </row>
    <row r="1685">
      <c r="A1685" s="1">
        <v>1683.0</v>
      </c>
      <c r="B1685" s="4" t="s">
        <v>2732</v>
      </c>
      <c r="C1685" s="4" t="str">
        <f>IFERROR(__xludf.DUMMYFUNCTION("GOOGLETRANSLATE(D:D,""auto"",""en"")"),"Takeout brother in tears recounting of knowledge in Wuhan")</f>
        <v>Takeout brother in tears recounting of knowledge in Wuhan</v>
      </c>
      <c r="D1685" s="4" t="s">
        <v>2795</v>
      </c>
      <c r="E1685" s="4">
        <v>7786605.0</v>
      </c>
      <c r="F1685" s="4">
        <v>34.0</v>
      </c>
      <c r="G1685" s="4" t="s">
        <v>2796</v>
      </c>
    </row>
    <row r="1686">
      <c r="A1686" s="1">
        <v>1684.0</v>
      </c>
      <c r="B1686" s="4" t="s">
        <v>2732</v>
      </c>
      <c r="C1686" s="4" t="str">
        <f>IFERROR(__xludf.DUMMYFUNCTION("GOOGLETRANSLATE(D:D,""auto"",""en"")"),"Vulcan Hill Hospital Outpatient no")</f>
        <v>Vulcan Hill Hospital Outpatient no</v>
      </c>
      <c r="D1686" s="4" t="s">
        <v>2797</v>
      </c>
      <c r="E1686" s="4">
        <v>7736952.0</v>
      </c>
      <c r="F1686" s="4">
        <v>35.0</v>
      </c>
      <c r="G1686" s="4" t="s">
        <v>2798</v>
      </c>
    </row>
    <row r="1687">
      <c r="A1687" s="1">
        <v>1685.0</v>
      </c>
      <c r="B1687" s="4" t="s">
        <v>2732</v>
      </c>
      <c r="C1687" s="4" t="str">
        <f>IFERROR(__xludf.DUMMYFUNCTION("GOOGLETRANSLATE(D:D,""auto"",""en"")"),"Zhang Yixing donations to his hometown in Hunan")</f>
        <v>Zhang Yixing donations to his hometown in Hunan</v>
      </c>
      <c r="D1687" s="4" t="s">
        <v>2799</v>
      </c>
      <c r="E1687" s="4">
        <v>7698307.0</v>
      </c>
      <c r="F1687" s="4">
        <v>36.0</v>
      </c>
      <c r="G1687" s="4" t="s">
        <v>2800</v>
      </c>
    </row>
    <row r="1688">
      <c r="A1688" s="1">
        <v>1686.0</v>
      </c>
      <c r="B1688" s="4" t="s">
        <v>2732</v>
      </c>
      <c r="C1688" s="4" t="str">
        <f>IFERROR(__xludf.DUMMYFUNCTION("GOOGLETRANSLATE(D:D,""auto"",""en"")"),"Zhong Nanshan talk epidemic mortality")</f>
        <v>Zhong Nanshan talk epidemic mortality</v>
      </c>
      <c r="D1688" s="4" t="s">
        <v>2801</v>
      </c>
      <c r="E1688" s="4">
        <v>7668975.0</v>
      </c>
      <c r="F1688" s="4">
        <v>37.0</v>
      </c>
      <c r="G1688" s="4" t="s">
        <v>2802</v>
      </c>
    </row>
    <row r="1689">
      <c r="A1689" s="1">
        <v>1687.0</v>
      </c>
      <c r="B1689" s="4" t="s">
        <v>2732</v>
      </c>
      <c r="C1689" s="4" t="str">
        <f>IFERROR(__xludf.DUMMYFUNCTION("GOOGLETRANSLATE(D:D,""auto"",""en"")"),"Chess and card room boss to report their own")</f>
        <v>Chess and card room boss to report their own</v>
      </c>
      <c r="D1689" s="4" t="s">
        <v>2803</v>
      </c>
      <c r="E1689" s="4">
        <v>7622727.0</v>
      </c>
      <c r="F1689" s="4">
        <v>38.0</v>
      </c>
      <c r="G1689" s="4" t="s">
        <v>2804</v>
      </c>
    </row>
    <row r="1690">
      <c r="A1690" s="1">
        <v>1688.0</v>
      </c>
      <c r="B1690" s="4" t="s">
        <v>2732</v>
      </c>
      <c r="C1690" s="4" t="str">
        <f>IFERROR(__xludf.DUMMYFUNCTION("GOOGLETRANSLATE(D:D,""auto"",""en"")"),"Ministry of Foreign Affairs, said the United States rumor provide great help to the epidemic")</f>
        <v>Ministry of Foreign Affairs, said the United States rumor provide great help to the epidemic</v>
      </c>
      <c r="D1690" s="4" t="s">
        <v>2805</v>
      </c>
      <c r="E1690" s="4">
        <v>7613477.0</v>
      </c>
      <c r="F1690" s="4">
        <v>39.0</v>
      </c>
      <c r="G1690" s="4" t="s">
        <v>2806</v>
      </c>
    </row>
    <row r="1691">
      <c r="A1691" s="1">
        <v>1689.0</v>
      </c>
      <c r="B1691" s="4" t="s">
        <v>2732</v>
      </c>
      <c r="C1691" s="4" t="str">
        <f>IFERROR(__xludf.DUMMYFUNCTION("GOOGLETRANSLATE(D:D,""auto"",""en"")"),"Drunken He stars")</f>
        <v>Drunken He stars</v>
      </c>
      <c r="D1691" s="4" t="s">
        <v>2807</v>
      </c>
      <c r="E1691" s="4">
        <v>7556778.0</v>
      </c>
      <c r="F1691" s="4">
        <v>40.0</v>
      </c>
      <c r="G1691" s="4" t="s">
        <v>2808</v>
      </c>
    </row>
    <row r="1692">
      <c r="A1692" s="1">
        <v>1690.0</v>
      </c>
      <c r="B1692" s="4" t="s">
        <v>2732</v>
      </c>
      <c r="C1692" s="4" t="str">
        <f>IFERROR(__xludf.DUMMYFUNCTION("GOOGLETRANSLATE(D:D,""auto"",""en"")"),"Hubei confirmed cases broken million")</f>
        <v>Hubei confirmed cases broken million</v>
      </c>
      <c r="D1692" s="4" t="s">
        <v>2809</v>
      </c>
      <c r="E1692" s="4">
        <v>7543732.0</v>
      </c>
      <c r="F1692" s="4">
        <v>41.0</v>
      </c>
      <c r="G1692" s="4" t="s">
        <v>2810</v>
      </c>
    </row>
    <row r="1693">
      <c r="A1693" s="1">
        <v>1691.0</v>
      </c>
      <c r="B1693" s="4" t="s">
        <v>2732</v>
      </c>
      <c r="C1693" s="4" t="str">
        <f>IFERROR(__xludf.DUMMYFUNCTION("GOOGLETRANSLATE(D:D,""auto"",""en"")"),"Hand Cold Competition")</f>
        <v>Hand Cold Competition</v>
      </c>
      <c r="D1693" s="4" t="s">
        <v>2686</v>
      </c>
      <c r="E1693" s="4">
        <v>7522583.0</v>
      </c>
      <c r="F1693" s="4">
        <v>42.0</v>
      </c>
      <c r="G1693" s="4" t="s">
        <v>2687</v>
      </c>
    </row>
    <row r="1694">
      <c r="A1694" s="1">
        <v>1692.0</v>
      </c>
      <c r="B1694" s="4" t="s">
        <v>2732</v>
      </c>
      <c r="C1694" s="4" t="str">
        <f>IFERROR(__xludf.DUMMYFUNCTION("GOOGLETRANSLATE(D:D,""auto"",""en"")"),"Small German won the Australian Open memory of Bryant")</f>
        <v>Small German won the Australian Open memory of Bryant</v>
      </c>
      <c r="D1694" s="4" t="s">
        <v>2811</v>
      </c>
      <c r="E1694" s="4">
        <v>7500321.0</v>
      </c>
      <c r="F1694" s="4">
        <v>43.0</v>
      </c>
      <c r="G1694" s="4" t="s">
        <v>2812</v>
      </c>
    </row>
    <row r="1695">
      <c r="A1695" s="1">
        <v>1693.0</v>
      </c>
      <c r="B1695" s="4" t="s">
        <v>2732</v>
      </c>
      <c r="C1695" s="4" t="str">
        <f>IFERROR(__xludf.DUMMYFUNCTION("GOOGLETRANSLATE(D:D,""auto"",""en"")"),"Disinfection must be targeted")</f>
        <v>Disinfection must be targeted</v>
      </c>
      <c r="D1695" s="4" t="s">
        <v>2813</v>
      </c>
      <c r="E1695" s="4">
        <v>7453374.0</v>
      </c>
      <c r="F1695" s="4">
        <v>44.0</v>
      </c>
      <c r="G1695" s="4" t="s">
        <v>2814</v>
      </c>
    </row>
    <row r="1696">
      <c r="A1696" s="1">
        <v>1694.0</v>
      </c>
      <c r="B1696" s="4" t="s">
        <v>2732</v>
      </c>
      <c r="C1696" s="4" t="str">
        <f>IFERROR(__xludf.DUMMYFUNCTION("GOOGLETRANSLATE(D:D,""auto"",""en"")"),"Chen Wei, chief biological and chemical weapons defense expert")</f>
        <v>Chen Wei, chief biological and chemical weapons defense expert</v>
      </c>
      <c r="D1696" s="4" t="s">
        <v>2815</v>
      </c>
      <c r="E1696" s="4">
        <v>7444397.0</v>
      </c>
      <c r="F1696" s="4">
        <v>45.0</v>
      </c>
      <c r="G1696" s="4" t="s">
        <v>2816</v>
      </c>
    </row>
    <row r="1697">
      <c r="A1697" s="1">
        <v>1695.0</v>
      </c>
      <c r="B1697" s="4" t="s">
        <v>2732</v>
      </c>
      <c r="C1697" s="4" t="str">
        <f>IFERROR(__xludf.DUMMYFUNCTION("GOOGLETRANSLATE(D:D,""auto"",""en"")"),"Super Bowl before the moment of silence the memory of Bryant")</f>
        <v>Super Bowl before the moment of silence the memory of Bryant</v>
      </c>
      <c r="D1697" s="4" t="s">
        <v>2817</v>
      </c>
      <c r="E1697" s="4">
        <v>7314587.0</v>
      </c>
      <c r="F1697" s="4">
        <v>46.0</v>
      </c>
      <c r="G1697" s="4" t="s">
        <v>2818</v>
      </c>
    </row>
    <row r="1698">
      <c r="A1698" s="1">
        <v>1696.0</v>
      </c>
      <c r="B1698" s="4" t="s">
        <v>2732</v>
      </c>
      <c r="C1698" s="4" t="str">
        <f>IFERROR(__xludf.DUMMYFUNCTION("GOOGLETRANSLATE(D:D,""auto"",""en"")"),"Bryant autopsy report")</f>
        <v>Bryant autopsy report</v>
      </c>
      <c r="D1698" s="4" t="s">
        <v>2819</v>
      </c>
      <c r="E1698" s="4">
        <v>7264719.0</v>
      </c>
      <c r="F1698" s="4">
        <v>47.0</v>
      </c>
      <c r="G1698" s="4" t="s">
        <v>2820</v>
      </c>
    </row>
    <row r="1699">
      <c r="A1699" s="1">
        <v>1697.0</v>
      </c>
      <c r="B1699" s="4" t="s">
        <v>2732</v>
      </c>
      <c r="C1699" s="4" t="str">
        <f>IFERROR(__xludf.DUMMYFUNCTION("GOOGLETRANSLATE(D:D,""auto"",""en"")"),"Hubei troops stationed in 50 trucks carrying 200 tons of materials")</f>
        <v>Hubei troops stationed in 50 trucks carrying 200 tons of materials</v>
      </c>
      <c r="D1699" s="4" t="s">
        <v>2821</v>
      </c>
      <c r="E1699" s="4">
        <v>7218426.0</v>
      </c>
      <c r="F1699" s="4">
        <v>48.0</v>
      </c>
      <c r="G1699" s="4" t="s">
        <v>2822</v>
      </c>
    </row>
    <row r="1700">
      <c r="A1700" s="1">
        <v>1698.0</v>
      </c>
      <c r="B1700" s="4" t="s">
        <v>2732</v>
      </c>
      <c r="C1700" s="4" t="str">
        <f>IFERROR(__xludf.DUMMYFUNCTION("GOOGLETRANSLATE(D:D,""auto"",""en"")"),"New cases were cured for four consecutive days over deaths")</f>
        <v>New cases were cured for four consecutive days over deaths</v>
      </c>
      <c r="D1700" s="4" t="s">
        <v>2823</v>
      </c>
      <c r="E1700" s="4">
        <v>7160947.0</v>
      </c>
      <c r="F1700" s="4">
        <v>49.0</v>
      </c>
      <c r="G1700" s="4" t="s">
        <v>2824</v>
      </c>
    </row>
    <row r="1701">
      <c r="A1701" s="1">
        <v>1699.0</v>
      </c>
      <c r="B1701" s="4" t="s">
        <v>2732</v>
      </c>
      <c r="C1701" s="4" t="str">
        <f>IFERROR(__xludf.DUMMYFUNCTION("GOOGLETRANSLATE(D:D,""auto"",""en"")"),"Not free markets closed around")</f>
        <v>Not free markets closed around</v>
      </c>
      <c r="D1701" s="4" t="s">
        <v>2825</v>
      </c>
      <c r="E1701" s="4">
        <v>7150849.0</v>
      </c>
      <c r="F1701" s="4">
        <v>50.0</v>
      </c>
      <c r="G1701" s="4" t="s">
        <v>2826</v>
      </c>
    </row>
    <row r="1702">
      <c r="A1702" s="1">
        <v>1700.0</v>
      </c>
      <c r="B1702" s="4" t="s">
        <v>2827</v>
      </c>
      <c r="C1702" s="4" t="str">
        <f>IFERROR(__xludf.DUMMYFUNCTION("GOOGLETRANSLATE(D:D,""auto"",""en"")"),"Father and daughter after 17 years off Relay")</f>
        <v>Father and daughter after 17 years off Relay</v>
      </c>
      <c r="D1702" s="4" t="s">
        <v>2828</v>
      </c>
      <c r="E1702" s="4">
        <v>1.1217696E7</v>
      </c>
      <c r="F1702" s="4">
        <v>1.0</v>
      </c>
      <c r="G1702" s="4" t="s">
        <v>2829</v>
      </c>
    </row>
    <row r="1703">
      <c r="A1703" s="1">
        <v>1701.0</v>
      </c>
      <c r="B1703" s="4" t="s">
        <v>2827</v>
      </c>
      <c r="C1703" s="4" t="str">
        <f>IFERROR(__xludf.DUMMYFUNCTION("GOOGLETRANSLATE(D:D,""auto"",""en"")"),"Convalescence and outpatients is not contagious")</f>
        <v>Convalescence and outpatients is not contagious</v>
      </c>
      <c r="D1703" s="4" t="s">
        <v>2830</v>
      </c>
      <c r="E1703" s="4">
        <v>1.0911676E7</v>
      </c>
      <c r="F1703" s="4">
        <v>2.0</v>
      </c>
      <c r="G1703" s="4" t="s">
        <v>2831</v>
      </c>
    </row>
    <row r="1704">
      <c r="A1704" s="1">
        <v>1702.0</v>
      </c>
      <c r="B1704" s="4" t="s">
        <v>2827</v>
      </c>
      <c r="C1704" s="4" t="str">
        <f>IFERROR(__xludf.DUMMYFUNCTION("GOOGLETRANSLATE(D:D,""auto"",""en"")"),"The national total of 20,438 cases of pneumonia diagnosed with the new crown")</f>
        <v>The national total of 20,438 cases of pneumonia diagnosed with the new crown</v>
      </c>
      <c r="D1704" s="4" t="s">
        <v>2832</v>
      </c>
      <c r="E1704" s="4">
        <v>1.0778973E7</v>
      </c>
      <c r="F1704" s="4">
        <v>3.0</v>
      </c>
      <c r="G1704" s="4" t="s">
        <v>2833</v>
      </c>
    </row>
    <row r="1705">
      <c r="A1705" s="1">
        <v>1703.0</v>
      </c>
      <c r="B1705" s="4" t="s">
        <v>2827</v>
      </c>
      <c r="C1705" s="4" t="str">
        <f>IFERROR(__xludf.DUMMYFUNCTION("GOOGLETRANSLATE(D:D,""auto"",""en"")"),"The first transport arrived at the Vulcan Hill Hospital Patients")</f>
        <v>The first transport arrived at the Vulcan Hill Hospital Patients</v>
      </c>
      <c r="D1705" s="4" t="s">
        <v>2834</v>
      </c>
      <c r="E1705" s="4">
        <v>1.0657576E7</v>
      </c>
      <c r="F1705" s="4">
        <v>4.0</v>
      </c>
      <c r="G1705" s="4" t="s">
        <v>2835</v>
      </c>
    </row>
    <row r="1706">
      <c r="A1706" s="1">
        <v>1704.0</v>
      </c>
      <c r="B1706" s="4" t="s">
        <v>2827</v>
      </c>
      <c r="C1706" s="4" t="str">
        <f>IFERROR(__xludf.DUMMYFUNCTION("GOOGLETRANSLATE(D:D,""auto"",""en"")"),"Liu Hao Ran Zhang Xiao Zhan Yun Chorus If two butterflies")</f>
        <v>Liu Hao Ran Zhang Xiao Zhan Yun Chorus If two butterflies</v>
      </c>
      <c r="D1706" s="4" t="s">
        <v>2836</v>
      </c>
      <c r="E1706" s="4">
        <v>1.050511E7</v>
      </c>
      <c r="F1706" s="4">
        <v>5.0</v>
      </c>
      <c r="G1706" s="4" t="s">
        <v>2837</v>
      </c>
    </row>
    <row r="1707">
      <c r="A1707" s="1">
        <v>1705.0</v>
      </c>
      <c r="B1707" s="4" t="s">
        <v>2827</v>
      </c>
      <c r="C1707" s="4" t="str">
        <f>IFERROR(__xludf.DUMMYFUNCTION("GOOGLETRANSLATE(D:D,""auto"",""en"")"),"Wolf responded disco gem gem-infringing")</f>
        <v>Wolf responded disco gem gem-infringing</v>
      </c>
      <c r="D1707" s="4" t="s">
        <v>2838</v>
      </c>
      <c r="E1707" s="4">
        <v>1.0413837E7</v>
      </c>
      <c r="F1707" s="4">
        <v>6.0</v>
      </c>
      <c r="G1707" s="4" t="s">
        <v>2839</v>
      </c>
    </row>
    <row r="1708">
      <c r="A1708" s="1">
        <v>1706.0</v>
      </c>
      <c r="B1708" s="4" t="s">
        <v>2827</v>
      </c>
      <c r="C1708" s="4" t="str">
        <f>IFERROR(__xludf.DUMMYFUNCTION("GOOGLETRANSLATE(D:D,""auto"",""en"")"),"Wuhan hotel offers accommodation care female boss")</f>
        <v>Wuhan hotel offers accommodation care female boss</v>
      </c>
      <c r="D1708" s="4" t="s">
        <v>2840</v>
      </c>
      <c r="E1708" s="4">
        <v>1.0274705E7</v>
      </c>
      <c r="F1708" s="4">
        <v>7.0</v>
      </c>
      <c r="G1708" s="4" t="s">
        <v>2841</v>
      </c>
    </row>
    <row r="1709">
      <c r="A1709" s="1">
        <v>1707.0</v>
      </c>
      <c r="B1709" s="4" t="s">
        <v>2827</v>
      </c>
      <c r="C1709" s="4" t="str">
        <f>IFERROR(__xludf.DUMMYFUNCTION("GOOGLETRANSLATE(D:D,""auto"",""en"")"),"Hubei new 2345 cases of confirmed cases")</f>
        <v>Hubei new 2345 cases of confirmed cases</v>
      </c>
      <c r="D1709" s="4" t="s">
        <v>2842</v>
      </c>
      <c r="E1709" s="4">
        <v>1.0252104E7</v>
      </c>
      <c r="F1709" s="4">
        <v>8.0</v>
      </c>
      <c r="G1709" s="4" t="s">
        <v>2843</v>
      </c>
    </row>
    <row r="1710">
      <c r="A1710" s="1">
        <v>1708.0</v>
      </c>
      <c r="B1710" s="4" t="s">
        <v>2827</v>
      </c>
      <c r="C1710" s="4" t="str">
        <f>IFERROR(__xludf.DUMMYFUNCTION("GOOGLETRANSLATE(D:D,""auto"",""en"")"),"The new crown virus suitable environment can survive 5 days")</f>
        <v>The new crown virus suitable environment can survive 5 days</v>
      </c>
      <c r="D1710" s="4" t="s">
        <v>2844</v>
      </c>
      <c r="E1710" s="4">
        <v>9955318.0</v>
      </c>
      <c r="F1710" s="4">
        <v>9.0</v>
      </c>
      <c r="G1710" s="4" t="s">
        <v>2845</v>
      </c>
    </row>
    <row r="1711">
      <c r="A1711" s="1">
        <v>1709.0</v>
      </c>
      <c r="B1711" s="4" t="s">
        <v>2827</v>
      </c>
      <c r="C1711" s="4" t="str">
        <f>IFERROR(__xludf.DUMMYFUNCTION("GOOGLETRANSLATE(D:D,""auto"",""en"")"),"After the end of the hardest things to eat")</f>
        <v>After the end of the hardest things to eat</v>
      </c>
      <c r="D1711" s="4" t="s">
        <v>2846</v>
      </c>
      <c r="E1711" s="4">
        <v>9914641.0</v>
      </c>
      <c r="F1711" s="4">
        <v>10.0</v>
      </c>
      <c r="G1711" s="4" t="s">
        <v>2847</v>
      </c>
    </row>
    <row r="1712">
      <c r="A1712" s="1">
        <v>1710.0</v>
      </c>
      <c r="B1712" s="4" t="s">
        <v>2827</v>
      </c>
      <c r="C1712" s="4" t="str">
        <f>IFERROR(__xludf.DUMMYFUNCTION("GOOGLETRANSLATE(D:D,""auto"",""en"")"),"beginning of spring")</f>
        <v>beginning of spring</v>
      </c>
      <c r="D1712" s="4" t="s">
        <v>2848</v>
      </c>
      <c r="E1712" s="4">
        <v>9739617.0</v>
      </c>
      <c r="F1712" s="4">
        <v>11.0</v>
      </c>
      <c r="G1712" s="4" t="s">
        <v>2849</v>
      </c>
    </row>
    <row r="1713">
      <c r="A1713" s="1">
        <v>1711.0</v>
      </c>
      <c r="B1713" s="4" t="s">
        <v>2827</v>
      </c>
      <c r="C1713" s="4" t="str">
        <f>IFERROR(__xludf.DUMMYFUNCTION("GOOGLETRANSLATE(D:D,""auto"",""en"")"),"Hangzhou units of closed-end management of all village district")</f>
        <v>Hangzhou units of closed-end management of all village district</v>
      </c>
      <c r="D1713" s="4" t="s">
        <v>2850</v>
      </c>
      <c r="E1713" s="4">
        <v>9638359.0</v>
      </c>
      <c r="F1713" s="4">
        <v>12.0</v>
      </c>
      <c r="G1713" s="4" t="s">
        <v>2851</v>
      </c>
    </row>
    <row r="1714">
      <c r="A1714" s="1">
        <v>1712.0</v>
      </c>
      <c r="B1714" s="4" t="s">
        <v>2827</v>
      </c>
      <c r="C1714" s="4" t="str">
        <f>IFERROR(__xludf.DUMMYFUNCTION("GOOGLETRANSLATE(D:D,""auto"",""en"")"),"Jiangxi add new crown 85 cases diagnosed with pneumonia")</f>
        <v>Jiangxi add new crown 85 cases diagnosed with pneumonia</v>
      </c>
      <c r="D1714" s="4" t="s">
        <v>2852</v>
      </c>
      <c r="E1714" s="4">
        <v>9440106.0</v>
      </c>
      <c r="F1714" s="4">
        <v>13.0</v>
      </c>
      <c r="G1714" s="4" t="s">
        <v>2853</v>
      </c>
    </row>
    <row r="1715">
      <c r="A1715" s="1">
        <v>1713.0</v>
      </c>
      <c r="B1715" s="4" t="s">
        <v>2827</v>
      </c>
      <c r="C1715" s="4" t="str">
        <f>IFERROR(__xludf.DUMMYFUNCTION("GOOGLETRANSLATE(D:D,""auto"",""en"")"),"Add Heilongjiang Province, 37 cases of confirmed cases")</f>
        <v>Add Heilongjiang Province, 37 cases of confirmed cases</v>
      </c>
      <c r="D1715" s="4" t="s">
        <v>2854</v>
      </c>
      <c r="E1715" s="4">
        <v>9253090.0</v>
      </c>
      <c r="F1715" s="4">
        <v>14.0</v>
      </c>
      <c r="G1715" s="4" t="s">
        <v>2855</v>
      </c>
    </row>
    <row r="1716">
      <c r="A1716" s="1">
        <v>1714.0</v>
      </c>
      <c r="B1716" s="4" t="s">
        <v>2827</v>
      </c>
      <c r="C1716" s="4" t="str">
        <f>IFERROR(__xludf.DUMMYFUNCTION("GOOGLETRANSLATE(D:D,""auto"",""en"")"),"China confirmed case fatality rate of 2.1%")</f>
        <v>China confirmed case fatality rate of 2.1%</v>
      </c>
      <c r="D1716" s="4" t="s">
        <v>2856</v>
      </c>
      <c r="E1716" s="4">
        <v>9214511.0</v>
      </c>
      <c r="F1716" s="4">
        <v>15.0</v>
      </c>
      <c r="G1716" s="4" t="s">
        <v>2857</v>
      </c>
    </row>
    <row r="1717">
      <c r="A1717" s="1">
        <v>1715.0</v>
      </c>
      <c r="B1717" s="4" t="s">
        <v>2827</v>
      </c>
      <c r="C1717" s="4" t="str">
        <f>IFERROR(__xludf.DUMMYFUNCTION("GOOGLETRANSLATE(D:D,""auto"",""en"")"),"Taking a white wedding nurses and firefighters")</f>
        <v>Taking a white wedding nurses and firefighters</v>
      </c>
      <c r="D1717" s="4" t="s">
        <v>2737</v>
      </c>
      <c r="E1717" s="4">
        <v>9207638.0</v>
      </c>
      <c r="F1717" s="4">
        <v>16.0</v>
      </c>
      <c r="G1717" s="4" t="s">
        <v>2738</v>
      </c>
    </row>
    <row r="1718">
      <c r="A1718" s="1">
        <v>1716.0</v>
      </c>
      <c r="B1718" s="4" t="s">
        <v>2827</v>
      </c>
      <c r="C1718" s="4" t="str">
        <f>IFERROR(__xludf.DUMMYFUNCTION("GOOGLETRANSLATE(D:D,""auto"",""en"")"),"The doctor is suspected of being infected goods vehicles run lead the way")</f>
        <v>The doctor is suspected of being infected goods vehicles run lead the way</v>
      </c>
      <c r="D1718" s="4" t="s">
        <v>2858</v>
      </c>
      <c r="E1718" s="4">
        <v>9144703.0</v>
      </c>
      <c r="F1718" s="4">
        <v>17.0</v>
      </c>
      <c r="G1718" s="4" t="s">
        <v>2859</v>
      </c>
    </row>
    <row r="1719">
      <c r="A1719" s="1">
        <v>1717.0</v>
      </c>
      <c r="B1719" s="4" t="s">
        <v>2827</v>
      </c>
      <c r="C1719" s="4" t="str">
        <f>IFERROR(__xludf.DUMMYFUNCTION("GOOGLETRANSLATE(D:D,""auto"",""en"")"),"Wolf disco accompaniment author")</f>
        <v>Wolf disco accompaniment author</v>
      </c>
      <c r="D1719" s="4" t="s">
        <v>2743</v>
      </c>
      <c r="E1719" s="4">
        <v>9060123.0</v>
      </c>
      <c r="F1719" s="4">
        <v>18.0</v>
      </c>
      <c r="G1719" s="4" t="s">
        <v>2744</v>
      </c>
    </row>
    <row r="1720">
      <c r="A1720" s="1">
        <v>1718.0</v>
      </c>
      <c r="B1720" s="4" t="s">
        <v>2827</v>
      </c>
      <c r="C1720" s="4" t="str">
        <f>IFERROR(__xludf.DUMMYFUNCTION("GOOGLETRANSLATE(D:D,""auto"",""en"")"),"Hainan minimum infected three months")</f>
        <v>Hainan minimum infected three months</v>
      </c>
      <c r="D1720" s="4" t="s">
        <v>2860</v>
      </c>
      <c r="E1720" s="4">
        <v>9050046.0</v>
      </c>
      <c r="F1720" s="4">
        <v>19.0</v>
      </c>
      <c r="G1720" s="4" t="s">
        <v>2861</v>
      </c>
    </row>
    <row r="1721">
      <c r="A1721" s="1">
        <v>1719.0</v>
      </c>
      <c r="B1721" s="4" t="s">
        <v>2827</v>
      </c>
      <c r="C1721" s="4" t="str">
        <f>IFERROR(__xludf.DUMMYFUNCTION("GOOGLETRANSLATE(D:D,""auto"",""en"")"),"Ginger son Gary")</f>
        <v>Ginger son Gary</v>
      </c>
      <c r="D1721" s="4" t="s">
        <v>2862</v>
      </c>
      <c r="E1721" s="4">
        <v>9043942.0</v>
      </c>
      <c r="F1721" s="4">
        <v>20.0</v>
      </c>
      <c r="G1721" s="4" t="s">
        <v>2863</v>
      </c>
    </row>
    <row r="1722">
      <c r="A1722" s="1">
        <v>1720.0</v>
      </c>
      <c r="B1722" s="4" t="s">
        <v>2827</v>
      </c>
      <c r="C1722" s="4" t="str">
        <f>IFERROR(__xludf.DUMMYFUNCTION("GOOGLETRANSLATE(D:D,""auto"",""en"")"),"Henan new cases of pneumonia in 109 cases of the new crown")</f>
        <v>Henan new cases of pneumonia in 109 cases of the new crown</v>
      </c>
      <c r="D1722" s="4" t="s">
        <v>2864</v>
      </c>
      <c r="E1722" s="4">
        <v>9020222.0</v>
      </c>
      <c r="F1722" s="4">
        <v>21.0</v>
      </c>
      <c r="G1722" s="4" t="s">
        <v>2865</v>
      </c>
    </row>
    <row r="1723">
      <c r="A1723" s="1">
        <v>1721.0</v>
      </c>
      <c r="B1723" s="4" t="s">
        <v>2827</v>
      </c>
      <c r="C1723" s="4" t="str">
        <f>IFERROR(__xludf.DUMMYFUNCTION("GOOGLETRANSLATE(D:D,""auto"",""en"")"),"Bryant and her body had been handed over family")</f>
        <v>Bryant and her body had been handed over family</v>
      </c>
      <c r="D1723" s="4" t="s">
        <v>2866</v>
      </c>
      <c r="E1723" s="4">
        <v>9001222.0</v>
      </c>
      <c r="F1723" s="4">
        <v>22.0</v>
      </c>
      <c r="G1723" s="4" t="s">
        <v>2867</v>
      </c>
    </row>
    <row r="1724">
      <c r="A1724" s="1">
        <v>1722.0</v>
      </c>
      <c r="B1724" s="4" t="s">
        <v>2827</v>
      </c>
      <c r="C1724" s="4" t="str">
        <f>IFERROR(__xludf.DUMMYFUNCTION("GOOGLETRANSLATE(D:D,""auto"",""en"")"),"Venice detonated a bomb left over from World War II")</f>
        <v>Venice detonated a bomb left over from World War II</v>
      </c>
      <c r="D1724" s="4" t="s">
        <v>2868</v>
      </c>
      <c r="E1724" s="4">
        <v>8928649.0</v>
      </c>
      <c r="F1724" s="4">
        <v>23.0</v>
      </c>
      <c r="G1724" s="4" t="s">
        <v>2869</v>
      </c>
    </row>
    <row r="1725">
      <c r="A1725" s="1">
        <v>1723.0</v>
      </c>
      <c r="B1725" s="4" t="s">
        <v>2827</v>
      </c>
      <c r="C1725" s="4" t="str">
        <f>IFERROR(__xludf.DUMMYFUNCTION("GOOGLETRANSLATE(D:D,""auto"",""en"")"),"Shaanxi first confirmed patient cured")</f>
        <v>Shaanxi first confirmed patient cured</v>
      </c>
      <c r="D1725" s="4" t="s">
        <v>2870</v>
      </c>
      <c r="E1725" s="4">
        <v>8835901.0</v>
      </c>
      <c r="F1725" s="4">
        <v>24.0</v>
      </c>
      <c r="G1725" s="4" t="s">
        <v>2871</v>
      </c>
    </row>
    <row r="1726">
      <c r="A1726" s="1">
        <v>1724.0</v>
      </c>
      <c r="B1726" s="4" t="s">
        <v>2827</v>
      </c>
      <c r="C1726" s="4" t="str">
        <f>IFERROR(__xludf.DUMMYFUNCTION("GOOGLETRANSLATE(D:D,""auto"",""en"")"),"My dad said that his classmates papi sauce")</f>
        <v>My dad said that his classmates papi sauce</v>
      </c>
      <c r="D1726" s="4" t="s">
        <v>2872</v>
      </c>
      <c r="E1726" s="4">
        <v>8747382.0</v>
      </c>
      <c r="F1726" s="4">
        <v>25.0</v>
      </c>
      <c r="G1726" s="4" t="s">
        <v>2873</v>
      </c>
    </row>
    <row r="1727">
      <c r="A1727" s="1">
        <v>1725.0</v>
      </c>
      <c r="B1727" s="4" t="s">
        <v>2827</v>
      </c>
      <c r="C1727" s="4" t="str">
        <f>IFERROR(__xludf.DUMMYFUNCTION("GOOGLETRANSLATE(D:D,""auto"",""en"")"),"Illegal party was removed from office deputy mayor diagnosed with pneumonia new crown")</f>
        <v>Illegal party was removed from office deputy mayor diagnosed with pneumonia new crown</v>
      </c>
      <c r="D1727" s="4" t="s">
        <v>2874</v>
      </c>
      <c r="E1727" s="4">
        <v>8683140.0</v>
      </c>
      <c r="F1727" s="4">
        <v>26.0</v>
      </c>
      <c r="G1727" s="4" t="s">
        <v>2875</v>
      </c>
    </row>
    <row r="1728">
      <c r="A1728" s="1">
        <v>1726.0</v>
      </c>
      <c r="B1728" s="4" t="s">
        <v>2827</v>
      </c>
      <c r="C1728" s="4" t="str">
        <f>IFERROR(__xludf.DUMMYFUNCTION("GOOGLETRANSLATE(D:D,""auto"",""en"")"),"Wuhan first hospital patient transport Vulcan Mountain")</f>
        <v>Wuhan first hospital patient transport Vulcan Mountain</v>
      </c>
      <c r="D1728" s="4" t="s">
        <v>2876</v>
      </c>
      <c r="E1728" s="4">
        <v>8639428.0</v>
      </c>
      <c r="F1728" s="4">
        <v>27.0</v>
      </c>
      <c r="G1728" s="4" t="s">
        <v>2877</v>
      </c>
    </row>
    <row r="1729">
      <c r="A1729" s="1">
        <v>1727.0</v>
      </c>
      <c r="B1729" s="4" t="s">
        <v>2827</v>
      </c>
      <c r="C1729" s="4" t="str">
        <f>IFERROR(__xludf.DUMMYFUNCTION("GOOGLETRANSLATE(D:D,""auto"",""en"")"),"Li Lanjuan say do not have to take the elevator to wear gloves")</f>
        <v>Li Lanjuan say do not have to take the elevator to wear gloves</v>
      </c>
      <c r="D1729" s="4" t="s">
        <v>2878</v>
      </c>
      <c r="E1729" s="4">
        <v>8583138.0</v>
      </c>
      <c r="F1729" s="4">
        <v>28.0</v>
      </c>
      <c r="G1729" s="4" t="s">
        <v>2879</v>
      </c>
    </row>
    <row r="1730">
      <c r="A1730" s="1">
        <v>1728.0</v>
      </c>
      <c r="B1730" s="4" t="s">
        <v>2827</v>
      </c>
      <c r="C1730" s="4" t="str">
        <f>IFERROR(__xludf.DUMMYFUNCTION("GOOGLETRANSLATE(D:D,""auto"",""en"")"),"Old man diagnosed conceal caused hundreds of people in close contact")</f>
        <v>Old man diagnosed conceal caused hundreds of people in close contact</v>
      </c>
      <c r="D1730" s="4" t="s">
        <v>2880</v>
      </c>
      <c r="E1730" s="4">
        <v>8539844.0</v>
      </c>
      <c r="F1730" s="4">
        <v>29.0</v>
      </c>
      <c r="G1730" s="4" t="s">
        <v>2881</v>
      </c>
    </row>
    <row r="1731">
      <c r="A1731" s="1">
        <v>1729.0</v>
      </c>
      <c r="B1731" s="4" t="s">
        <v>2827</v>
      </c>
      <c r="C1731" s="4" t="str">
        <f>IFERROR(__xludf.DUMMYFUNCTION("GOOGLETRANSLATE(D:D,""auto"",""en"")"),"Hubei Red Cross three leaders to be accountable")</f>
        <v>Hubei Red Cross three leaders to be accountable</v>
      </c>
      <c r="D1731" s="4" t="s">
        <v>2882</v>
      </c>
      <c r="E1731" s="4">
        <v>8518146.0</v>
      </c>
      <c r="F1731" s="4">
        <v>30.0</v>
      </c>
      <c r="G1731" s="4" t="s">
        <v>2883</v>
      </c>
    </row>
    <row r="1732">
      <c r="A1732" s="1">
        <v>1730.0</v>
      </c>
      <c r="B1732" s="4" t="s">
        <v>2827</v>
      </c>
      <c r="C1732" s="4" t="str">
        <f>IFERROR(__xludf.DUMMYFUNCTION("GOOGLETRANSLATE(D:D,""auto"",""en"")"),"Morant fake to fool the camera")</f>
        <v>Morant fake to fool the camera</v>
      </c>
      <c r="D1732" s="4" t="s">
        <v>2884</v>
      </c>
      <c r="E1732" s="4">
        <v>8502052.0</v>
      </c>
      <c r="F1732" s="4">
        <v>31.0</v>
      </c>
      <c r="G1732" s="4" t="s">
        <v>2885</v>
      </c>
    </row>
    <row r="1733">
      <c r="A1733" s="1">
        <v>1731.0</v>
      </c>
      <c r="B1733" s="4" t="s">
        <v>2827</v>
      </c>
      <c r="C1733" s="4" t="str">
        <f>IFERROR(__xludf.DUMMYFUNCTION("GOOGLETRANSLATE(D:D,""auto"",""en"")"),"Yoon JiangMengJie")</f>
        <v>Yoon JiangMengJie</v>
      </c>
      <c r="D1733" s="4" t="s">
        <v>2886</v>
      </c>
      <c r="E1733" s="4">
        <v>8407233.0</v>
      </c>
      <c r="F1733" s="4">
        <v>32.0</v>
      </c>
      <c r="G1733" s="4" t="s">
        <v>2887</v>
      </c>
    </row>
    <row r="1734">
      <c r="A1734" s="1">
        <v>1732.0</v>
      </c>
      <c r="B1734" s="4" t="s">
        <v>2827</v>
      </c>
      <c r="C1734" s="4" t="str">
        <f>IFERROR(__xludf.DUMMYFUNCTION("GOOGLETRANSLATE(D:D,""auto"",""en"")"),"Quarantine nurse fainted after drank half a bottle of water")</f>
        <v>Quarantine nurse fainted after drank half a bottle of water</v>
      </c>
      <c r="D1734" s="4" t="s">
        <v>2888</v>
      </c>
      <c r="E1734" s="4">
        <v>8401441.0</v>
      </c>
      <c r="F1734" s="4">
        <v>33.0</v>
      </c>
      <c r="G1734" s="4" t="s">
        <v>2889</v>
      </c>
    </row>
    <row r="1735">
      <c r="A1735" s="1">
        <v>1733.0</v>
      </c>
      <c r="B1735" s="4" t="s">
        <v>2827</v>
      </c>
      <c r="C1735" s="4" t="str">
        <f>IFERROR(__xludf.DUMMYFUNCTION("GOOGLETRANSLATE(D:D,""auto"",""en"")"),"Wuhan City the latest videos")</f>
        <v>Wuhan City the latest videos</v>
      </c>
      <c r="D1735" s="4" t="s">
        <v>2890</v>
      </c>
      <c r="E1735" s="4">
        <v>8358249.0</v>
      </c>
      <c r="F1735" s="4">
        <v>34.0</v>
      </c>
      <c r="G1735" s="4" t="s">
        <v>2891</v>
      </c>
    </row>
    <row r="1736">
      <c r="A1736" s="1">
        <v>1734.0</v>
      </c>
      <c r="B1736" s="4" t="s">
        <v>2827</v>
      </c>
      <c r="C1736" s="4" t="str">
        <f>IFERROR(__xludf.DUMMYFUNCTION("GOOGLETRANSLATE(D:D,""auto"",""en"")"),"Trey Young-third consecutive logo")</f>
        <v>Trey Young-third consecutive logo</v>
      </c>
      <c r="D1736" s="4" t="s">
        <v>2892</v>
      </c>
      <c r="E1736" s="4">
        <v>8322092.0</v>
      </c>
      <c r="F1736" s="4">
        <v>35.0</v>
      </c>
      <c r="G1736" s="4" t="s">
        <v>2893</v>
      </c>
    </row>
    <row r="1737">
      <c r="A1737" s="1">
        <v>1735.0</v>
      </c>
      <c r="B1737" s="4" t="s">
        <v>2827</v>
      </c>
      <c r="C1737" s="4" t="str">
        <f>IFERROR(__xludf.DUMMYFUNCTION("GOOGLETRANSLATE(D:D,""auto"",""en"")"),"Academician Li Lanjuan team released significant results")</f>
        <v>Academician Li Lanjuan team released significant results</v>
      </c>
      <c r="D1737" s="4" t="s">
        <v>2894</v>
      </c>
      <c r="E1737" s="4">
        <v>8317230.0</v>
      </c>
      <c r="F1737" s="4">
        <v>36.0</v>
      </c>
      <c r="G1737" s="4" t="s">
        <v>2895</v>
      </c>
    </row>
    <row r="1738">
      <c r="A1738" s="1">
        <v>1736.0</v>
      </c>
      <c r="B1738" s="4" t="s">
        <v>2827</v>
      </c>
      <c r="C1738" s="4" t="str">
        <f>IFERROR(__xludf.DUMMYFUNCTION("GOOGLETRANSLATE(D:D,""auto"",""en"")"),"Chongqing a cell made 5 m disinfection channel")</f>
        <v>Chongqing a cell made 5 m disinfection channel</v>
      </c>
      <c r="D1738" s="4" t="s">
        <v>2896</v>
      </c>
      <c r="E1738" s="4">
        <v>8301017.0</v>
      </c>
      <c r="F1738" s="4">
        <v>37.0</v>
      </c>
      <c r="G1738" s="4" t="s">
        <v>2897</v>
      </c>
    </row>
    <row r="1739">
      <c r="A1739" s="1">
        <v>1737.0</v>
      </c>
      <c r="B1739" s="4" t="s">
        <v>2827</v>
      </c>
      <c r="C1739" s="4" t="str">
        <f>IFERROR(__xludf.DUMMYFUNCTION("GOOGLETRANSLATE(D:D,""auto"",""en"")"),"Foreign Ministry hopes that the US is not overreact")</f>
        <v>Foreign Ministry hopes that the US is not overreact</v>
      </c>
      <c r="D1739" s="4" t="s">
        <v>2898</v>
      </c>
      <c r="E1739" s="4">
        <v>8250516.0</v>
      </c>
      <c r="F1739" s="4">
        <v>38.0</v>
      </c>
      <c r="G1739" s="4" t="s">
        <v>2899</v>
      </c>
    </row>
    <row r="1740">
      <c r="A1740" s="1">
        <v>1738.0</v>
      </c>
      <c r="B1740" s="4" t="s">
        <v>2827</v>
      </c>
      <c r="C1740" s="4" t="str">
        <f>IFERROR(__xludf.DUMMYFUNCTION("GOOGLETRANSLATE(D:D,""auto"",""en"")"),"Anhui new confirmed cases in 72 cases")</f>
        <v>Anhui new confirmed cases in 72 cases</v>
      </c>
      <c r="D1740" s="4" t="s">
        <v>2900</v>
      </c>
      <c r="E1740" s="4">
        <v>8238086.0</v>
      </c>
      <c r="F1740" s="4">
        <v>39.0</v>
      </c>
      <c r="G1740" s="4" t="s">
        <v>2901</v>
      </c>
    </row>
    <row r="1741">
      <c r="A1741" s="1">
        <v>1739.0</v>
      </c>
      <c r="B1741" s="4" t="s">
        <v>2827</v>
      </c>
      <c r="C1741" s="4" t="str">
        <f>IFERROR(__xludf.DUMMYFUNCTION("GOOGLETRANSLATE(D:D,""auto"",""en"")"),"8 Chengdu within ten days old couple holding hands ICU farewell")</f>
        <v>8 Chengdu within ten days old couple holding hands ICU farewell</v>
      </c>
      <c r="D1741" s="4" t="s">
        <v>2902</v>
      </c>
      <c r="E1741" s="4">
        <v>8183582.0</v>
      </c>
      <c r="F1741" s="4">
        <v>40.0</v>
      </c>
      <c r="G1741" s="4" t="s">
        <v>2903</v>
      </c>
    </row>
    <row r="1742">
      <c r="A1742" s="1">
        <v>1740.0</v>
      </c>
      <c r="B1742" s="4" t="s">
        <v>2827</v>
      </c>
      <c r="C1742" s="4" t="str">
        <f>IFERROR(__xludf.DUMMYFUNCTION("GOOGLETRANSLATE(D:D,""auto"",""en"")"),"Dufu Guo sister stick to fighting the epidemic frontline")</f>
        <v>Dufu Guo sister stick to fighting the epidemic frontline</v>
      </c>
      <c r="D1742" s="4" t="s">
        <v>2904</v>
      </c>
      <c r="E1742" s="4">
        <v>8180141.0</v>
      </c>
      <c r="F1742" s="4">
        <v>41.0</v>
      </c>
      <c r="G1742" s="4" t="s">
        <v>2905</v>
      </c>
    </row>
    <row r="1743">
      <c r="A1743" s="1">
        <v>1741.0</v>
      </c>
      <c r="B1743" s="4" t="s">
        <v>2827</v>
      </c>
      <c r="C1743" s="4" t="str">
        <f>IFERROR(__xludf.DUMMYFUNCTION("GOOGLETRANSLATE(D:D,""auto"",""en"")"),"Wuhan pet pig on a pot of rice to get through 12 days")</f>
        <v>Wuhan pet pig on a pot of rice to get through 12 days</v>
      </c>
      <c r="D1743" s="4" t="s">
        <v>2906</v>
      </c>
      <c r="E1743" s="4">
        <v>8128150.0</v>
      </c>
      <c r="F1743" s="4">
        <v>42.0</v>
      </c>
      <c r="G1743" s="4" t="s">
        <v>2907</v>
      </c>
    </row>
    <row r="1744">
      <c r="A1744" s="1">
        <v>1742.0</v>
      </c>
      <c r="B1744" s="4" t="s">
        <v>2827</v>
      </c>
      <c r="C1744" s="4" t="str">
        <f>IFERROR(__xludf.DUMMYFUNCTION("GOOGLETRANSLATE(D:D,""auto"",""en"")"),"Zhang vigorously sweet")</f>
        <v>Zhang vigorously sweet</v>
      </c>
      <c r="D1744" s="4" t="s">
        <v>2908</v>
      </c>
      <c r="E1744" s="4">
        <v>8118237.0</v>
      </c>
      <c r="F1744" s="4">
        <v>43.0</v>
      </c>
      <c r="G1744" s="4" t="s">
        <v>2909</v>
      </c>
    </row>
    <row r="1745">
      <c r="A1745" s="1">
        <v>1743.0</v>
      </c>
      <c r="B1745" s="4" t="s">
        <v>2827</v>
      </c>
      <c r="C1745" s="4" t="str">
        <f>IFERROR(__xludf.DUMMYFUNCTION("GOOGLETRANSLATE(D:D,""auto"",""en"")"),"Kangta Jeong Yu-mi love")</f>
        <v>Kangta Jeong Yu-mi love</v>
      </c>
      <c r="D1745" s="4" t="s">
        <v>2910</v>
      </c>
      <c r="E1745" s="4">
        <v>7954287.0</v>
      </c>
      <c r="F1745" s="4">
        <v>44.0</v>
      </c>
      <c r="G1745" s="4" t="s">
        <v>2911</v>
      </c>
    </row>
    <row r="1746">
      <c r="A1746" s="1">
        <v>1744.0</v>
      </c>
      <c r="B1746" s="4" t="s">
        <v>2827</v>
      </c>
      <c r="C1746" s="4" t="str">
        <f>IFERROR(__xludf.DUMMYFUNCTION("GOOGLETRANSLATE(D:D,""auto"",""en"")"),"After 90 township and village doctors sudden death from overwork")</f>
        <v>After 90 township and village doctors sudden death from overwork</v>
      </c>
      <c r="D1746" s="4" t="s">
        <v>2912</v>
      </c>
      <c r="E1746" s="4">
        <v>7920305.0</v>
      </c>
      <c r="F1746" s="4">
        <v>45.0</v>
      </c>
      <c r="G1746" s="4" t="s">
        <v>2913</v>
      </c>
    </row>
    <row r="1747">
      <c r="A1747" s="1">
        <v>1745.0</v>
      </c>
      <c r="B1747" s="4" t="s">
        <v>2827</v>
      </c>
      <c r="C1747" s="4" t="str">
        <f>IFERROR(__xludf.DUMMYFUNCTION("GOOGLETRANSLATE(D:D,""auto"",""en"")"),"Do not go out all right")</f>
        <v>Do not go out all right</v>
      </c>
      <c r="D1747" s="4" t="s">
        <v>2914</v>
      </c>
      <c r="E1747" s="4">
        <v>7885720.0</v>
      </c>
      <c r="F1747" s="4">
        <v>46.0</v>
      </c>
      <c r="G1747" s="4" t="s">
        <v>2915</v>
      </c>
    </row>
    <row r="1748">
      <c r="A1748" s="1">
        <v>1746.0</v>
      </c>
      <c r="B1748" s="4" t="s">
        <v>2827</v>
      </c>
      <c r="C1748" s="4" t="str">
        <f>IFERROR(__xludf.DUMMYFUNCTION("GOOGLETRANSLATE(D:D,""auto"",""en"")"),"Guizhou, a month-old baby diagnosed")</f>
        <v>Guizhou, a month-old baby diagnosed</v>
      </c>
      <c r="D1748" s="4" t="s">
        <v>2916</v>
      </c>
      <c r="E1748" s="4">
        <v>7874937.0</v>
      </c>
      <c r="F1748" s="4">
        <v>47.0</v>
      </c>
      <c r="G1748" s="4" t="s">
        <v>2917</v>
      </c>
    </row>
    <row r="1749">
      <c r="A1749" s="1">
        <v>1747.0</v>
      </c>
      <c r="B1749" s="4" t="s">
        <v>2827</v>
      </c>
      <c r="C1749" s="4" t="str">
        <f>IFERROR(__xludf.DUMMYFUNCTION("GOOGLETRANSLATE(D:D,""auto"",""en"")"),"Add Sichuan 28 cases total 282 cases diagnosed")</f>
        <v>Add Sichuan 28 cases total 282 cases diagnosed</v>
      </c>
      <c r="D1749" s="4" t="s">
        <v>2918</v>
      </c>
      <c r="E1749" s="4">
        <v>7838270.0</v>
      </c>
      <c r="F1749" s="4">
        <v>48.0</v>
      </c>
      <c r="G1749" s="4" t="s">
        <v>2919</v>
      </c>
    </row>
    <row r="1750">
      <c r="A1750" s="1">
        <v>1748.0</v>
      </c>
      <c r="B1750" s="4" t="s">
        <v>2827</v>
      </c>
      <c r="C1750" s="4" t="str">
        <f>IFERROR(__xludf.DUMMYFUNCTION("GOOGLETRANSLATE(D:D,""auto"",""en"")"),"Good sound out of pills")</f>
        <v>Good sound out of pills</v>
      </c>
      <c r="D1750" s="4" t="s">
        <v>2920</v>
      </c>
      <c r="E1750" s="4">
        <v>7798922.0</v>
      </c>
      <c r="F1750" s="4">
        <v>49.0</v>
      </c>
      <c r="G1750" s="4" t="s">
        <v>2921</v>
      </c>
    </row>
    <row r="1751">
      <c r="A1751" s="1">
        <v>1749.0</v>
      </c>
      <c r="B1751" s="4" t="s">
        <v>2827</v>
      </c>
      <c r="C1751" s="4" t="str">
        <f>IFERROR(__xludf.DUMMYFUNCTION("GOOGLETRANSLATE(D:D,""auto"",""en"")"),"Zhejiang new confirmed cases 105 cases")</f>
        <v>Zhejiang new confirmed cases 105 cases</v>
      </c>
      <c r="D1751" s="4" t="s">
        <v>2922</v>
      </c>
      <c r="E1751" s="4">
        <v>7773348.0</v>
      </c>
      <c r="F1751" s="4">
        <v>50.0</v>
      </c>
      <c r="G1751" s="4" t="s">
        <v>2923</v>
      </c>
    </row>
    <row r="1752">
      <c r="A1752" s="1">
        <v>1750.0</v>
      </c>
      <c r="B1752" s="4" t="s">
        <v>2924</v>
      </c>
      <c r="C1752" s="4" t="str">
        <f>IFERROR(__xludf.DUMMYFUNCTION("GOOGLETRANSLATE(D:D,""auto"",""en"")"),"The national total of 24,324 cases of pneumonia diagnosed with the new crown")</f>
        <v>The national total of 24,324 cases of pneumonia diagnosed with the new crown</v>
      </c>
      <c r="D1752" s="4" t="s">
        <v>2925</v>
      </c>
      <c r="E1752" s="4">
        <v>1.0578433E7</v>
      </c>
      <c r="F1752" s="4">
        <v>1.0</v>
      </c>
      <c r="G1752" s="4" t="s">
        <v>2926</v>
      </c>
    </row>
    <row r="1753">
      <c r="A1753" s="1">
        <v>1751.0</v>
      </c>
      <c r="B1753" s="4" t="s">
        <v>2924</v>
      </c>
      <c r="C1753" s="4" t="str">
        <f>IFERROR(__xludf.DUMMYFUNCTION("GOOGLETRANSLATE(D:D,""auto"",""en"")"),"Yi Xi smelt one thousand suspected to take care of the household wrong script")</f>
        <v>Yi Xi smelt one thousand suspected to take care of the household wrong script</v>
      </c>
      <c r="D1753" s="4" t="s">
        <v>2927</v>
      </c>
      <c r="E1753" s="4">
        <v>1.0359353E7</v>
      </c>
      <c r="F1753" s="4">
        <v>2.0</v>
      </c>
      <c r="G1753" s="4" t="s">
        <v>2928</v>
      </c>
    </row>
    <row r="1754">
      <c r="A1754" s="1">
        <v>1752.0</v>
      </c>
      <c r="B1754" s="4" t="s">
        <v>2924</v>
      </c>
      <c r="C1754" s="4" t="str">
        <f>IFERROR(__xludf.DUMMYFUNCTION("GOOGLETRANSLATE(D:D,""auto"",""en"")"),"My dad said that his classmates papi sauce")</f>
        <v>My dad said that his classmates papi sauce</v>
      </c>
      <c r="D1754" s="4" t="s">
        <v>2872</v>
      </c>
      <c r="E1754" s="4">
        <v>1.0303913E7</v>
      </c>
      <c r="F1754" s="4">
        <v>3.0</v>
      </c>
      <c r="G1754" s="4" t="s">
        <v>2873</v>
      </c>
    </row>
    <row r="1755">
      <c r="A1755" s="1">
        <v>1753.0</v>
      </c>
      <c r="B1755" s="4" t="s">
        <v>2924</v>
      </c>
      <c r="C1755" s="4" t="str">
        <f>IFERROR(__xludf.DUMMYFUNCTION("GOOGLETRANSLATE(D:D,""auto"",""en"")"),"Guo Pro forced drying donation certificate")</f>
        <v>Guo Pro forced drying donation certificate</v>
      </c>
      <c r="D1755" s="4" t="s">
        <v>2929</v>
      </c>
      <c r="E1755" s="4">
        <v>1.0272909E7</v>
      </c>
      <c r="F1755" s="4">
        <v>4.0</v>
      </c>
      <c r="G1755" s="4" t="s">
        <v>2930</v>
      </c>
    </row>
    <row r="1756">
      <c r="A1756" s="1">
        <v>1754.0</v>
      </c>
      <c r="B1756" s="4" t="s">
        <v>2924</v>
      </c>
      <c r="C1756" s="4" t="str">
        <f>IFERROR(__xludf.DUMMYFUNCTION("GOOGLETRANSLATE(D:D,""auto"",""en"")"),"Ronghao same root")</f>
        <v>Ronghao same root</v>
      </c>
      <c r="D1756" s="4" t="s">
        <v>2931</v>
      </c>
      <c r="E1756" s="4">
        <v>1.0009701E7</v>
      </c>
      <c r="F1756" s="4">
        <v>5.0</v>
      </c>
      <c r="G1756" s="4" t="s">
        <v>2932</v>
      </c>
    </row>
    <row r="1757">
      <c r="A1757" s="1">
        <v>1755.0</v>
      </c>
      <c r="B1757" s="4" t="s">
        <v>2924</v>
      </c>
      <c r="C1757" s="4" t="str">
        <f>IFERROR(__xludf.DUMMYFUNCTION("GOOGLETRANSLATE(D:D,""auto"",""en"")"),"Public who buy 50,000 masks a tear on the break")</f>
        <v>Public who buy 50,000 masks a tear on the break</v>
      </c>
      <c r="D1757" s="4" t="s">
        <v>2933</v>
      </c>
      <c r="E1757" s="4">
        <v>9830057.0</v>
      </c>
      <c r="F1757" s="4">
        <v>6.0</v>
      </c>
      <c r="G1757" s="4" t="s">
        <v>2934</v>
      </c>
    </row>
    <row r="1758">
      <c r="A1758" s="1">
        <v>1756.0</v>
      </c>
      <c r="B1758" s="4" t="s">
        <v>2924</v>
      </c>
      <c r="C1758" s="4" t="str">
        <f>IFERROR(__xludf.DUMMYFUNCTION("GOOGLETRANSLATE(D:D,""auto"",""en"")"),"Russian military aircraft carrying relief supplies arrived in Wuhan")</f>
        <v>Russian military aircraft carrying relief supplies arrived in Wuhan</v>
      </c>
      <c r="D1758" s="4" t="s">
        <v>2935</v>
      </c>
      <c r="E1758" s="4">
        <v>9754669.0</v>
      </c>
      <c r="F1758" s="4">
        <v>7.0</v>
      </c>
      <c r="G1758" s="4" t="s">
        <v>2936</v>
      </c>
    </row>
    <row r="1759">
      <c r="A1759" s="1">
        <v>1757.0</v>
      </c>
      <c r="B1759" s="4" t="s">
        <v>2924</v>
      </c>
      <c r="C1759" s="4" t="str">
        <f>IFERROR(__xludf.DUMMYFUNCTION("GOOGLETRANSLATE(D:D,""auto"",""en"")"),"Japan take a cruise now 3,700 people gathered infection")</f>
        <v>Japan take a cruise now 3,700 people gathered infection</v>
      </c>
      <c r="D1759" s="4" t="s">
        <v>2937</v>
      </c>
      <c r="E1759" s="4">
        <v>9694516.0</v>
      </c>
      <c r="F1759" s="4">
        <v>8.0</v>
      </c>
      <c r="G1759" s="4" t="s">
        <v>2938</v>
      </c>
    </row>
    <row r="1760">
      <c r="A1760" s="1">
        <v>1758.0</v>
      </c>
      <c r="B1760" s="4" t="s">
        <v>2924</v>
      </c>
      <c r="C1760" s="4" t="str">
        <f>IFERROR(__xludf.DUMMYFUNCTION("GOOGLETRANSLATE(D:D,""auto"",""en"")"),"Song Yuan broke")</f>
        <v>Song Yuan broke</v>
      </c>
      <c r="D1760" s="4" t="s">
        <v>2939</v>
      </c>
      <c r="E1760" s="4">
        <v>9588526.0</v>
      </c>
      <c r="F1760" s="4">
        <v>9.0</v>
      </c>
      <c r="G1760" s="4" t="s">
        <v>2940</v>
      </c>
    </row>
    <row r="1761">
      <c r="A1761" s="1">
        <v>1759.0</v>
      </c>
      <c r="B1761" s="4" t="s">
        <v>2924</v>
      </c>
      <c r="C1761" s="4" t="str">
        <f>IFERROR(__xludf.DUMMYFUNCTION("GOOGLETRANSLATE(D:D,""auto"",""en"")"),"Indeed Zhou Xun")</f>
        <v>Indeed Zhou Xun</v>
      </c>
      <c r="D1761" s="4" t="s">
        <v>2941</v>
      </c>
      <c r="E1761" s="4">
        <v>9578595.0</v>
      </c>
      <c r="F1761" s="4">
        <v>10.0</v>
      </c>
      <c r="G1761" s="4" t="s">
        <v>2942</v>
      </c>
    </row>
    <row r="1762">
      <c r="A1762" s="1">
        <v>1760.0</v>
      </c>
      <c r="B1762" s="4" t="s">
        <v>2924</v>
      </c>
      <c r="C1762" s="4" t="str">
        <f>IFERROR(__xludf.DUMMYFUNCTION("GOOGLETRANSLATE(D:D,""auto"",""en"")"),"700,000 bats invade Australia")</f>
        <v>700,000 bats invade Australia</v>
      </c>
      <c r="D1762" s="4" t="s">
        <v>2943</v>
      </c>
      <c r="E1762" s="4">
        <v>9544979.0</v>
      </c>
      <c r="F1762" s="4">
        <v>11.0</v>
      </c>
      <c r="G1762" s="4" t="s">
        <v>2944</v>
      </c>
    </row>
    <row r="1763">
      <c r="A1763" s="1">
        <v>1761.0</v>
      </c>
      <c r="B1763" s="4" t="s">
        <v>2924</v>
      </c>
      <c r="C1763" s="4" t="str">
        <f>IFERROR(__xludf.DUMMYFUNCTION("GOOGLETRANSLATE(D:D,""auto"",""en"")"),"New suspected cases, a continuous decline in the next day")</f>
        <v>New suspected cases, a continuous decline in the next day</v>
      </c>
      <c r="D1763" s="4" t="s">
        <v>2945</v>
      </c>
      <c r="E1763" s="4">
        <v>9488933.0</v>
      </c>
      <c r="F1763" s="4">
        <v>12.0</v>
      </c>
      <c r="G1763" s="4" t="s">
        <v>2946</v>
      </c>
    </row>
    <row r="1764">
      <c r="A1764" s="1">
        <v>1762.0</v>
      </c>
      <c r="B1764" s="4" t="s">
        <v>2924</v>
      </c>
      <c r="C1764" s="4" t="str">
        <f>IFERROR(__xludf.DUMMYFUNCTION("GOOGLETRANSLATE(D:D,""auto"",""en"")"),"Bryant and her body had been handed over family")</f>
        <v>Bryant and her body had been handed over family</v>
      </c>
      <c r="D1764" s="4" t="s">
        <v>2866</v>
      </c>
      <c r="E1764" s="4">
        <v>9471059.0</v>
      </c>
      <c r="F1764" s="4">
        <v>13.0</v>
      </c>
      <c r="G1764" s="4" t="s">
        <v>2867</v>
      </c>
    </row>
    <row r="1765">
      <c r="A1765" s="1">
        <v>1763.0</v>
      </c>
      <c r="B1765" s="4" t="s">
        <v>2924</v>
      </c>
      <c r="C1765" s="4" t="str">
        <f>IFERROR(__xludf.DUMMYFUNCTION("GOOGLETRANSLATE(D:D,""auto"",""en"")"),"Shanghai schools at all levels are not opening before the end of February")</f>
        <v>Shanghai schools at all levels are not opening before the end of February</v>
      </c>
      <c r="D1765" s="4" t="s">
        <v>2947</v>
      </c>
      <c r="E1765" s="4">
        <v>9382002.0</v>
      </c>
      <c r="F1765" s="4">
        <v>14.0</v>
      </c>
      <c r="G1765" s="4" t="s">
        <v>2948</v>
      </c>
    </row>
    <row r="1766">
      <c r="A1766" s="1">
        <v>1764.0</v>
      </c>
      <c r="B1766" s="4" t="s">
        <v>2924</v>
      </c>
      <c r="C1766" s="4" t="str">
        <f>IFERROR(__xludf.DUMMYFUNCTION("GOOGLETRANSLATE(D:D,""auto"",""en"")"),"Most have a sense of ritual pick")</f>
        <v>Most have a sense of ritual pick</v>
      </c>
      <c r="D1766" s="4" t="s">
        <v>2949</v>
      </c>
      <c r="E1766" s="4">
        <v>9344992.0</v>
      </c>
      <c r="F1766" s="4">
        <v>15.0</v>
      </c>
      <c r="G1766" s="4" t="s">
        <v>2950</v>
      </c>
    </row>
    <row r="1767">
      <c r="A1767" s="1">
        <v>1765.0</v>
      </c>
      <c r="B1767" s="4" t="s">
        <v>2924</v>
      </c>
      <c r="C1767" s="4" t="str">
        <f>IFERROR(__xludf.DUMMYFUNCTION("GOOGLETRANSLATE(D:D,""auto"",""en"")"),"Hubei new 3156 cases of confirmed cases")</f>
        <v>Hubei new 3156 cases of confirmed cases</v>
      </c>
      <c r="D1767" s="4" t="s">
        <v>2951</v>
      </c>
      <c r="E1767" s="4">
        <v>9229167.0</v>
      </c>
      <c r="F1767" s="4">
        <v>16.0</v>
      </c>
      <c r="G1767" s="4" t="s">
        <v>2952</v>
      </c>
    </row>
    <row r="1768">
      <c r="A1768" s="1">
        <v>1766.0</v>
      </c>
      <c r="B1768" s="4" t="s">
        <v>2924</v>
      </c>
      <c r="C1768" s="4" t="str">
        <f>IFERROR(__xludf.DUMMYFUNCTION("GOOGLETRANSLATE(D:D,""auto"",""en"")"),"He stars with Ye Luming reunion")</f>
        <v>He stars with Ye Luming reunion</v>
      </c>
      <c r="D1768" s="4" t="s">
        <v>2953</v>
      </c>
      <c r="E1768" s="4">
        <v>9226473.0</v>
      </c>
      <c r="F1768" s="4">
        <v>17.0</v>
      </c>
      <c r="G1768" s="4" t="s">
        <v>2954</v>
      </c>
    </row>
    <row r="1769">
      <c r="A1769" s="1">
        <v>1767.0</v>
      </c>
      <c r="B1769" s="4" t="s">
        <v>2924</v>
      </c>
      <c r="C1769" s="4" t="str">
        <f>IFERROR(__xludf.DUMMYFUNCTION("GOOGLETRANSLATE(D:D,""auto"",""en"")"),"Deyunshe end of the year award")</f>
        <v>Deyunshe end of the year award</v>
      </c>
      <c r="D1769" s="4" t="s">
        <v>2955</v>
      </c>
      <c r="E1769" s="4">
        <v>9113599.0</v>
      </c>
      <c r="F1769" s="4">
        <v>18.0</v>
      </c>
      <c r="G1769" s="4" t="s">
        <v>2956</v>
      </c>
    </row>
    <row r="1770">
      <c r="A1770" s="1">
        <v>1768.0</v>
      </c>
      <c r="B1770" s="4" t="s">
        <v>2924</v>
      </c>
      <c r="C1770" s="4" t="str">
        <f>IFERROR(__xludf.DUMMYFUNCTION("GOOGLETRANSLATE(D:D,""auto"",""en"")"),"The doctor is suspected of being infected goods vehicles run lead the way")</f>
        <v>The doctor is suspected of being infected goods vehicles run lead the way</v>
      </c>
      <c r="D1770" s="4" t="s">
        <v>2858</v>
      </c>
      <c r="E1770" s="4">
        <v>9110133.0</v>
      </c>
      <c r="F1770" s="4">
        <v>19.0</v>
      </c>
      <c r="G1770" s="4" t="s">
        <v>2859</v>
      </c>
    </row>
    <row r="1771">
      <c r="A1771" s="1">
        <v>1769.0</v>
      </c>
      <c r="B1771" s="4" t="s">
        <v>2924</v>
      </c>
      <c r="C1771" s="4" t="str">
        <f>IFERROR(__xludf.DUMMYFUNCTION("GOOGLETRANSLATE(D:D,""auto"",""en"")"),"Zhejiang new cases of pneumonia, 66 cases of the new crown")</f>
        <v>Zhejiang new cases of pneumonia, 66 cases of the new crown</v>
      </c>
      <c r="D1771" s="4" t="s">
        <v>2957</v>
      </c>
      <c r="E1771" s="4">
        <v>9024989.0</v>
      </c>
      <c r="F1771" s="4">
        <v>20.0</v>
      </c>
      <c r="G1771" s="4" t="s">
        <v>2958</v>
      </c>
    </row>
    <row r="1772">
      <c r="A1772" s="1">
        <v>1770.0</v>
      </c>
      <c r="B1772" s="4" t="s">
        <v>2924</v>
      </c>
      <c r="C1772" s="4" t="str">
        <f>IFERROR(__xludf.DUMMYFUNCTION("GOOGLETRANSLATE(D:D,""auto"",""en"")"),"Throw a nurse because masks burst into tears")</f>
        <v>Throw a nurse because masks burst into tears</v>
      </c>
      <c r="D1772" s="4" t="s">
        <v>2959</v>
      </c>
      <c r="E1772" s="4">
        <v>8929910.0</v>
      </c>
      <c r="F1772" s="4">
        <v>21.0</v>
      </c>
      <c r="G1772" s="4" t="s">
        <v>2960</v>
      </c>
    </row>
    <row r="1773">
      <c r="A1773" s="1">
        <v>1771.0</v>
      </c>
      <c r="B1773" s="4" t="s">
        <v>2924</v>
      </c>
      <c r="C1773" s="4" t="str">
        <f>IFERROR(__xludf.DUMMYFUNCTION("GOOGLETRANSLATE(D:D,""auto"",""en"")"),"Too sober Zhang Yu Jian")</f>
        <v>Too sober Zhang Yu Jian</v>
      </c>
      <c r="D1773" s="4" t="s">
        <v>2961</v>
      </c>
      <c r="E1773" s="4">
        <v>8894525.0</v>
      </c>
      <c r="F1773" s="4">
        <v>22.0</v>
      </c>
      <c r="G1773" s="4" t="s">
        <v>2962</v>
      </c>
    </row>
    <row r="1774">
      <c r="A1774" s="1">
        <v>1772.0</v>
      </c>
      <c r="B1774" s="4" t="s">
        <v>2924</v>
      </c>
      <c r="C1774" s="4" t="str">
        <f>IFERROR(__xludf.DUMMYFUNCTION("GOOGLETRANSLATE(D:D,""auto"",""en"")"),"Lu Yi Yuan summer break")</f>
        <v>Lu Yi Yuan summer break</v>
      </c>
      <c r="D1774" s="4" t="s">
        <v>2963</v>
      </c>
      <c r="E1774" s="4">
        <v>8842204.0</v>
      </c>
      <c r="F1774" s="4">
        <v>23.0</v>
      </c>
      <c r="G1774" s="4" t="s">
        <v>2964</v>
      </c>
    </row>
    <row r="1775">
      <c r="A1775" s="1">
        <v>1773.0</v>
      </c>
      <c r="B1775" s="4" t="s">
        <v>2924</v>
      </c>
      <c r="C1775" s="4" t="str">
        <f>IFERROR(__xludf.DUMMYFUNCTION("GOOGLETRANSLATE(D:D,""auto"",""en"")"),"Handwriting refueling Relay")</f>
        <v>Handwriting refueling Relay</v>
      </c>
      <c r="D1775" s="4" t="s">
        <v>2965</v>
      </c>
      <c r="E1775" s="4">
        <v>8842004.0</v>
      </c>
      <c r="F1775" s="4">
        <v>24.0</v>
      </c>
      <c r="G1775" s="4" t="s">
        <v>2966</v>
      </c>
    </row>
    <row r="1776">
      <c r="A1776" s="1">
        <v>1774.0</v>
      </c>
      <c r="B1776" s="4" t="s">
        <v>2924</v>
      </c>
      <c r="C1776" s="4" t="str">
        <f>IFERROR(__xludf.DUMMYFUNCTION("GOOGLETRANSLATE(D:D,""auto"",""en"")"),"NBA four transactions")</f>
        <v>NBA four transactions</v>
      </c>
      <c r="D1776" s="4" t="s">
        <v>2967</v>
      </c>
      <c r="E1776" s="4">
        <v>8689827.0</v>
      </c>
      <c r="F1776" s="4">
        <v>25.0</v>
      </c>
      <c r="G1776" s="4" t="s">
        <v>2968</v>
      </c>
    </row>
    <row r="1777">
      <c r="A1777" s="1">
        <v>1775.0</v>
      </c>
      <c r="B1777" s="4" t="s">
        <v>2924</v>
      </c>
      <c r="C1777" s="4" t="str">
        <f>IFERROR(__xludf.DUMMYFUNCTION("GOOGLETRANSLATE(D:D,""auto"",""en"")"),"Wuhan lied to men but to return home back to the Philippines")</f>
        <v>Wuhan lied to men but to return home back to the Philippines</v>
      </c>
      <c r="D1777" s="4" t="s">
        <v>2969</v>
      </c>
      <c r="E1777" s="4">
        <v>8591211.0</v>
      </c>
      <c r="F1777" s="4">
        <v>26.0</v>
      </c>
      <c r="G1777" s="4" t="s">
        <v>2970</v>
      </c>
    </row>
    <row r="1778">
      <c r="A1778" s="1">
        <v>1776.0</v>
      </c>
      <c r="B1778" s="4" t="s">
        <v>2924</v>
      </c>
      <c r="C1778" s="4" t="str">
        <f>IFERROR(__xludf.DUMMYFUNCTION("GOOGLETRANSLATE(D:D,""auto"",""en"")"),"Acting school sadomasochistic Wife")</f>
        <v>Acting school sadomasochistic Wife</v>
      </c>
      <c r="D1778" s="4" t="s">
        <v>2971</v>
      </c>
      <c r="E1778" s="4">
        <v>8550285.0</v>
      </c>
      <c r="F1778" s="4">
        <v>27.0</v>
      </c>
      <c r="G1778" s="4" t="s">
        <v>2972</v>
      </c>
    </row>
    <row r="1779">
      <c r="A1779" s="1">
        <v>1777.0</v>
      </c>
      <c r="B1779" s="4" t="s">
        <v>2924</v>
      </c>
      <c r="C1779" s="4" t="str">
        <f>IFERROR(__xludf.DUMMYFUNCTION("GOOGLETRANSLATE(D:D,""auto"",""en"")"),"Write on Uncle Hubei Medical Protective Clothing")</f>
        <v>Write on Uncle Hubei Medical Protective Clothing</v>
      </c>
      <c r="D1779" s="4" t="s">
        <v>2973</v>
      </c>
      <c r="E1779" s="4">
        <v>8549379.0</v>
      </c>
      <c r="F1779" s="4">
        <v>28.0</v>
      </c>
      <c r="G1779" s="4" t="s">
        <v>2974</v>
      </c>
    </row>
    <row r="1780">
      <c r="A1780" s="1">
        <v>1778.0</v>
      </c>
      <c r="B1780" s="4" t="s">
        <v>2924</v>
      </c>
      <c r="C1780" s="4" t="str">
        <f>IFERROR(__xludf.DUMMYFUNCTION("GOOGLETRANSLATE(D:D,""auto"",""en"")"),"Hubei prohibited piling up breaking road traffic interruption")</f>
        <v>Hubei prohibited piling up breaking road traffic interruption</v>
      </c>
      <c r="D1780" s="4" t="s">
        <v>2975</v>
      </c>
      <c r="E1780" s="4">
        <v>8346994.0</v>
      </c>
      <c r="F1780" s="4">
        <v>29.0</v>
      </c>
      <c r="G1780" s="4" t="s">
        <v>2976</v>
      </c>
    </row>
    <row r="1781">
      <c r="A1781" s="1">
        <v>1779.0</v>
      </c>
      <c r="B1781" s="4" t="s">
        <v>2924</v>
      </c>
      <c r="C1781" s="4" t="str">
        <f>IFERROR(__xludf.DUMMYFUNCTION("GOOGLETRANSLATE(D:D,""auto"",""en"")"),"Expectant wife without telling her husband to join front-line aid Hubei")</f>
        <v>Expectant wife without telling her husband to join front-line aid Hubei</v>
      </c>
      <c r="D1781" s="4" t="s">
        <v>2977</v>
      </c>
      <c r="E1781" s="4">
        <v>8334614.0</v>
      </c>
      <c r="F1781" s="4">
        <v>30.0</v>
      </c>
      <c r="G1781" s="4" t="s">
        <v>2978</v>
      </c>
    </row>
    <row r="1782">
      <c r="A1782" s="1">
        <v>1780.0</v>
      </c>
      <c r="B1782" s="4" t="s">
        <v>2924</v>
      </c>
      <c r="C1782" s="4" t="str">
        <f>IFERROR(__xludf.DUMMYFUNCTION("GOOGLETRANSLATE(D:D,""auto"",""en"")"),"Why enabled experts to respond to the shelter hospital")</f>
        <v>Why enabled experts to respond to the shelter hospital</v>
      </c>
      <c r="D1782" s="4" t="s">
        <v>2979</v>
      </c>
      <c r="E1782" s="4">
        <v>8312079.0</v>
      </c>
      <c r="F1782" s="4">
        <v>31.0</v>
      </c>
      <c r="G1782" s="4" t="s">
        <v>2980</v>
      </c>
    </row>
    <row r="1783">
      <c r="A1783" s="1">
        <v>1781.0</v>
      </c>
      <c r="B1783" s="4" t="s">
        <v>2924</v>
      </c>
      <c r="C1783" s="4" t="str">
        <f>IFERROR(__xludf.DUMMYFUNCTION("GOOGLETRANSLATE(D:D,""auto"",""en"")"),"Wuhan Union 14 infected health care full discharge")</f>
        <v>Wuhan Union 14 infected health care full discharge</v>
      </c>
      <c r="D1783" s="4" t="s">
        <v>2981</v>
      </c>
      <c r="E1783" s="4">
        <v>8256904.0</v>
      </c>
      <c r="F1783" s="4">
        <v>32.0</v>
      </c>
      <c r="G1783" s="4" t="s">
        <v>2982</v>
      </c>
    </row>
    <row r="1784">
      <c r="A1784" s="1">
        <v>1782.0</v>
      </c>
      <c r="B1784" s="4" t="s">
        <v>2924</v>
      </c>
      <c r="C1784" s="4" t="str">
        <f>IFERROR(__xludf.DUMMYFUNCTION("GOOGLETRANSLATE(D:D,""auto"",""en"")"),"Closed cell managed embodiment Nanjing")</f>
        <v>Closed cell managed embodiment Nanjing</v>
      </c>
      <c r="D1784" s="4" t="s">
        <v>2983</v>
      </c>
      <c r="E1784" s="4">
        <v>8177417.0</v>
      </c>
      <c r="F1784" s="4">
        <v>33.0</v>
      </c>
      <c r="G1784" s="4" t="s">
        <v>2984</v>
      </c>
    </row>
    <row r="1785">
      <c r="A1785" s="1">
        <v>1783.0</v>
      </c>
      <c r="B1785" s="4" t="s">
        <v>2924</v>
      </c>
      <c r="C1785" s="4" t="str">
        <f>IFERROR(__xludf.DUMMYFUNCTION("GOOGLETRANSLATE(D:D,""auto"",""en"")"),"Li Lanjuan response to the epidemic when it will significantly decrease")</f>
        <v>Li Lanjuan response to the epidemic when it will significantly decrease</v>
      </c>
      <c r="D1785" s="4" t="s">
        <v>2985</v>
      </c>
      <c r="E1785" s="4">
        <v>8031422.0</v>
      </c>
      <c r="F1785" s="4">
        <v>34.0</v>
      </c>
      <c r="G1785" s="4" t="s">
        <v>2986</v>
      </c>
    </row>
    <row r="1786">
      <c r="A1786" s="1">
        <v>1784.0</v>
      </c>
      <c r="B1786" s="4" t="s">
        <v>2924</v>
      </c>
      <c r="C1786" s="4" t="str">
        <f>IFERROR(__xludf.DUMMYFUNCTION("GOOGLETRANSLATE(D:D,""auto"",""en"")"),"Xu was beaten day New World")</f>
        <v>Xu was beaten day New World</v>
      </c>
      <c r="D1786" s="4" t="s">
        <v>2987</v>
      </c>
      <c r="E1786" s="4">
        <v>7998930.0</v>
      </c>
      <c r="F1786" s="4">
        <v>35.0</v>
      </c>
      <c r="G1786" s="4" t="s">
        <v>2988</v>
      </c>
    </row>
    <row r="1787">
      <c r="A1787" s="1">
        <v>1785.0</v>
      </c>
      <c r="B1787" s="4" t="s">
        <v>2924</v>
      </c>
      <c r="C1787" s="4" t="str">
        <f>IFERROR(__xludf.DUMMYFUNCTION("GOOGLETRANSLATE(D:D,""auto"",""en"")"),"IMF president has confidence in the Chinese economy")</f>
        <v>IMF president has confidence in the Chinese economy</v>
      </c>
      <c r="D1787" s="4" t="s">
        <v>2989</v>
      </c>
      <c r="E1787" s="4">
        <v>7993808.0</v>
      </c>
      <c r="F1787" s="4">
        <v>36.0</v>
      </c>
      <c r="G1787" s="4" t="s">
        <v>2990</v>
      </c>
    </row>
    <row r="1788">
      <c r="A1788" s="1">
        <v>1786.0</v>
      </c>
      <c r="B1788" s="4" t="s">
        <v>2924</v>
      </c>
      <c r="C1788" s="4" t="str">
        <f>IFERROR(__xludf.DUMMYFUNCTION("GOOGLETRANSLATE(D:D,""auto"",""en"")"),"Kit shortened 1 day")</f>
        <v>Kit shortened 1 day</v>
      </c>
      <c r="D1788" s="4" t="s">
        <v>2991</v>
      </c>
      <c r="E1788" s="4">
        <v>7978547.0</v>
      </c>
      <c r="F1788" s="4">
        <v>37.0</v>
      </c>
      <c r="G1788" s="4" t="s">
        <v>2992</v>
      </c>
    </row>
    <row r="1789">
      <c r="A1789" s="1">
        <v>1787.0</v>
      </c>
      <c r="B1789" s="4" t="s">
        <v>2924</v>
      </c>
      <c r="C1789" s="4" t="str">
        <f>IFERROR(__xludf.DUMMYFUNCTION("GOOGLETRANSLATE(D:D,""auto"",""en"")"),"Hunan new cases of pneumonia, 68 cases of the new crown")</f>
        <v>Hunan new cases of pneumonia, 68 cases of the new crown</v>
      </c>
      <c r="D1789" s="4" t="s">
        <v>2993</v>
      </c>
      <c r="E1789" s="4">
        <v>7974797.0</v>
      </c>
      <c r="F1789" s="4">
        <v>38.0</v>
      </c>
      <c r="G1789" s="4" t="s">
        <v>2994</v>
      </c>
    </row>
    <row r="1790">
      <c r="A1790" s="1">
        <v>1788.0</v>
      </c>
      <c r="B1790" s="4" t="s">
        <v>2924</v>
      </c>
      <c r="C1790" s="4" t="str">
        <f>IFERROR(__xludf.DUMMYFUNCTION("GOOGLETRANSLATE(D:D,""auto"",""en"")"),"Wang Junkai reply Wuhan fans support")</f>
        <v>Wang Junkai reply Wuhan fans support</v>
      </c>
      <c r="D1790" s="4" t="s">
        <v>2995</v>
      </c>
      <c r="E1790" s="4">
        <v>7894990.0</v>
      </c>
      <c r="F1790" s="4">
        <v>39.0</v>
      </c>
      <c r="G1790" s="4" t="s">
        <v>2996</v>
      </c>
    </row>
    <row r="1791">
      <c r="A1791" s="1">
        <v>1789.0</v>
      </c>
      <c r="B1791" s="4" t="s">
        <v>2924</v>
      </c>
      <c r="C1791" s="4" t="str">
        <f>IFERROR(__xludf.DUMMYFUNCTION("GOOGLETRANSLATE(D:D,""auto"",""en"")"),"There is no cure for the virus can kill")</f>
        <v>There is no cure for the virus can kill</v>
      </c>
      <c r="D1791" s="4" t="s">
        <v>2997</v>
      </c>
      <c r="E1791" s="4">
        <v>7834270.0</v>
      </c>
      <c r="F1791" s="4">
        <v>40.0</v>
      </c>
      <c r="G1791" s="4" t="s">
        <v>2998</v>
      </c>
    </row>
    <row r="1792">
      <c r="A1792" s="1">
        <v>1790.0</v>
      </c>
      <c r="B1792" s="4" t="s">
        <v>2924</v>
      </c>
      <c r="C1792" s="4" t="str">
        <f>IFERROR(__xludf.DUMMYFUNCTION("GOOGLETRANSLATE(D:D,""auto"",""en"")"),"Xianyang city's investigation six people")</f>
        <v>Xianyang city's investigation six people</v>
      </c>
      <c r="D1792" s="4" t="s">
        <v>2999</v>
      </c>
      <c r="E1792" s="4">
        <v>7743353.0</v>
      </c>
      <c r="F1792" s="4">
        <v>41.0</v>
      </c>
      <c r="G1792" s="4" t="s">
        <v>3000</v>
      </c>
    </row>
    <row r="1793">
      <c r="A1793" s="1">
        <v>1791.0</v>
      </c>
      <c r="B1793" s="4" t="s">
        <v>2924</v>
      </c>
      <c r="C1793" s="4" t="str">
        <f>IFERROR(__xludf.DUMMYFUNCTION("GOOGLETRANSLATE(D:D,""auto"",""en"")"),"Anhui new cases of pneumonia, 50 cases of the new crown")</f>
        <v>Anhui new cases of pneumonia, 50 cases of the new crown</v>
      </c>
      <c r="D1793" s="4" t="s">
        <v>3001</v>
      </c>
      <c r="E1793" s="4">
        <v>7710239.0</v>
      </c>
      <c r="F1793" s="4">
        <v>42.0</v>
      </c>
      <c r="G1793" s="4" t="s">
        <v>3002</v>
      </c>
    </row>
    <row r="1794">
      <c r="A1794" s="1">
        <v>1792.0</v>
      </c>
      <c r="B1794" s="4" t="s">
        <v>2924</v>
      </c>
      <c r="C1794" s="4" t="str">
        <f>IFERROR(__xludf.DUMMYFUNCTION("GOOGLETRANSLATE(D:D,""auto"",""en"")"),"Bryant agreed with Howard dunk")</f>
        <v>Bryant agreed with Howard dunk</v>
      </c>
      <c r="D1794" s="4" t="s">
        <v>3003</v>
      </c>
      <c r="E1794" s="4">
        <v>7708702.0</v>
      </c>
      <c r="F1794" s="4">
        <v>43.0</v>
      </c>
      <c r="G1794" s="4" t="s">
        <v>3004</v>
      </c>
    </row>
    <row r="1795">
      <c r="A1795" s="1">
        <v>1793.0</v>
      </c>
      <c r="B1795" s="4" t="s">
        <v>2924</v>
      </c>
      <c r="C1795" s="4" t="str">
        <f>IFERROR(__xludf.DUMMYFUNCTION("GOOGLETRANSLATE(D:D,""auto"",""en"")"),"Sun Yang to the police on duty point takeaway")</f>
        <v>Sun Yang to the police on duty point takeaway</v>
      </c>
      <c r="D1795" s="4" t="s">
        <v>3005</v>
      </c>
      <c r="E1795" s="4">
        <v>7676819.0</v>
      </c>
      <c r="F1795" s="4">
        <v>44.0</v>
      </c>
      <c r="G1795" s="4" t="s">
        <v>3006</v>
      </c>
    </row>
    <row r="1796">
      <c r="A1796" s="1">
        <v>1794.0</v>
      </c>
      <c r="B1796" s="4" t="s">
        <v>2924</v>
      </c>
      <c r="C1796" s="4" t="str">
        <f>IFERROR(__xludf.DUMMYFUNCTION("GOOGLETRANSLATE(D:D,""auto"",""en"")"),"People's self-protection awareness")</f>
        <v>People's self-protection awareness</v>
      </c>
      <c r="D1796" s="4" t="s">
        <v>3007</v>
      </c>
      <c r="E1796" s="4">
        <v>7583792.0</v>
      </c>
      <c r="F1796" s="4">
        <v>45.0</v>
      </c>
      <c r="G1796" s="4" t="s">
        <v>3008</v>
      </c>
    </row>
    <row r="1797">
      <c r="A1797" s="1">
        <v>1795.0</v>
      </c>
      <c r="B1797" s="4" t="s">
        <v>2924</v>
      </c>
      <c r="C1797" s="4" t="str">
        <f>IFERROR(__xludf.DUMMYFUNCTION("GOOGLETRANSLATE(D:D,""auto"",""en"")"),"Wuhan, the new crown a volunteer died of pneumonia infection")</f>
        <v>Wuhan, the new crown a volunteer died of pneumonia infection</v>
      </c>
      <c r="D1797" s="4" t="s">
        <v>3009</v>
      </c>
      <c r="E1797" s="4">
        <v>7582919.0</v>
      </c>
      <c r="F1797" s="4">
        <v>46.0</v>
      </c>
      <c r="G1797" s="4" t="s">
        <v>3010</v>
      </c>
    </row>
    <row r="1798">
      <c r="A1798" s="1">
        <v>1796.0</v>
      </c>
      <c r="B1798" s="4" t="s">
        <v>2924</v>
      </c>
      <c r="C1798" s="4" t="str">
        <f>IFERROR(__xludf.DUMMYFUNCTION("GOOGLETRANSLATE(D:D,""auto"",""en"")"),"Henan new cases of pneumonia, 89 cases of the new crown")</f>
        <v>Henan new cases of pneumonia, 89 cases of the new crown</v>
      </c>
      <c r="D1798" s="4" t="s">
        <v>3011</v>
      </c>
      <c r="E1798" s="4">
        <v>7578195.0</v>
      </c>
      <c r="F1798" s="4">
        <v>47.0</v>
      </c>
      <c r="G1798" s="4" t="s">
        <v>3012</v>
      </c>
    </row>
    <row r="1799">
      <c r="A1799" s="1">
        <v>1797.0</v>
      </c>
      <c r="B1799" s="4" t="s">
        <v>2924</v>
      </c>
      <c r="C1799" s="4" t="str">
        <f>IFERROR(__xludf.DUMMYFUNCTION("GOOGLETRANSLATE(D:D,""auto"",""en"")"),"Wuhan Baibuting community made popular several buildings, Building")</f>
        <v>Wuhan Baibuting community made popular several buildings, Building</v>
      </c>
      <c r="D1799" s="4" t="s">
        <v>3013</v>
      </c>
      <c r="E1799" s="4">
        <v>7572739.0</v>
      </c>
      <c r="F1799" s="4">
        <v>48.0</v>
      </c>
      <c r="G1799" s="4" t="s">
        <v>3014</v>
      </c>
    </row>
    <row r="1800">
      <c r="A1800" s="1">
        <v>1798.0</v>
      </c>
      <c r="B1800" s="4" t="s">
        <v>2924</v>
      </c>
      <c r="C1800" s="4" t="str">
        <f>IFERROR(__xludf.DUMMYFUNCTION("GOOGLETRANSLATE(D:D,""auto"",""en"")"),"Recommend appropriate delay non-emergency surgery")</f>
        <v>Recommend appropriate delay non-emergency surgery</v>
      </c>
      <c r="D1800" s="4" t="s">
        <v>3015</v>
      </c>
      <c r="E1800" s="4">
        <v>7566484.0</v>
      </c>
      <c r="F1800" s="4">
        <v>49.0</v>
      </c>
      <c r="G1800" s="4" t="s">
        <v>3016</v>
      </c>
    </row>
    <row r="1801">
      <c r="A1801" s="1">
        <v>1799.0</v>
      </c>
      <c r="B1801" s="4" t="s">
        <v>2924</v>
      </c>
      <c r="C1801" s="4" t="str">
        <f>IFERROR(__xludf.DUMMYFUNCTION("GOOGLETRANSLATE(D:D,""auto"",""en"")"),"Nucleic acid detection by the doctor hands cover erythema")</f>
        <v>Nucleic acid detection by the doctor hands cover erythema</v>
      </c>
      <c r="D1801" s="4" t="s">
        <v>3017</v>
      </c>
      <c r="E1801" s="4">
        <v>7556895.0</v>
      </c>
      <c r="F1801" s="4">
        <v>50.0</v>
      </c>
      <c r="G1801" s="4" t="s">
        <v>3018</v>
      </c>
    </row>
    <row r="1802">
      <c r="A1802" s="1">
        <v>1800.0</v>
      </c>
      <c r="B1802" s="4" t="s">
        <v>3019</v>
      </c>
      <c r="C1802" s="4" t="str">
        <f>IFERROR(__xludf.DUMMYFUNCTION("GOOGLETRANSLATE(D:D,""auto"",""en"")"),"Sad astonishment Ruanzai Mu")</f>
        <v>Sad astonishment Ruanzai Mu</v>
      </c>
      <c r="D1802" s="4" t="s">
        <v>3020</v>
      </c>
      <c r="E1802" s="4">
        <v>1.4120974E7</v>
      </c>
      <c r="F1802" s="4">
        <v>1.0</v>
      </c>
      <c r="G1802" s="4" t="s">
        <v>3021</v>
      </c>
    </row>
    <row r="1803">
      <c r="A1803" s="1">
        <v>1801.0</v>
      </c>
      <c r="B1803" s="4" t="s">
        <v>3019</v>
      </c>
      <c r="C1803" s="4" t="str">
        <f>IFERROR(__xludf.DUMMYFUNCTION("GOOGLETRANSLATE(D:D,""auto"",""en"")"),"Spray Alcohol may mask the virus will remain on the mask")</f>
        <v>Spray Alcohol may mask the virus will remain on the mask</v>
      </c>
      <c r="D1803" s="4" t="s">
        <v>3022</v>
      </c>
      <c r="E1803" s="4">
        <v>1.3872653E7</v>
      </c>
      <c r="F1803" s="4">
        <v>2.0</v>
      </c>
      <c r="G1803" s="4" t="s">
        <v>3023</v>
      </c>
    </row>
    <row r="1804">
      <c r="A1804" s="1">
        <v>1802.0</v>
      </c>
      <c r="B1804" s="4" t="s">
        <v>3019</v>
      </c>
      <c r="C1804" s="4" t="str">
        <f>IFERROR(__xludf.DUMMYFUNCTION("GOOGLETRANSLATE(D:D,""auto"",""en"")"),"Wang Feng eldest daughter small apple sun dance video")</f>
        <v>Wang Feng eldest daughter small apple sun dance video</v>
      </c>
      <c r="D1804" s="4" t="s">
        <v>3024</v>
      </c>
      <c r="E1804" s="4">
        <v>1.3488868E7</v>
      </c>
      <c r="F1804" s="4">
        <v>3.0</v>
      </c>
      <c r="G1804" s="4" t="s">
        <v>3025</v>
      </c>
    </row>
    <row r="1805">
      <c r="A1805" s="1">
        <v>1803.0</v>
      </c>
      <c r="B1805" s="4" t="s">
        <v>3019</v>
      </c>
      <c r="C1805" s="4" t="str">
        <f>IFERROR(__xludf.DUMMYFUNCTION("GOOGLETRANSLATE(D:D,""auto"",""en"")"),"Fitness action star in the challenge")</f>
        <v>Fitness action star in the challenge</v>
      </c>
      <c r="D1805" s="4" t="s">
        <v>3026</v>
      </c>
      <c r="E1805" s="4">
        <v>1.3088071E7</v>
      </c>
      <c r="F1805" s="4">
        <v>4.0</v>
      </c>
      <c r="G1805" s="4" t="s">
        <v>3027</v>
      </c>
    </row>
    <row r="1806">
      <c r="A1806" s="1">
        <v>1804.0</v>
      </c>
      <c r="B1806" s="4" t="s">
        <v>3019</v>
      </c>
      <c r="C1806" s="4" t="str">
        <f>IFERROR(__xludf.DUMMYFUNCTION("GOOGLETRANSLATE(D:D,""auto"",""en"")"),"To confirm or exclude suspected cases faster")</f>
        <v>To confirm or exclude suspected cases faster</v>
      </c>
      <c r="D1806" s="4" t="s">
        <v>3028</v>
      </c>
      <c r="E1806" s="4">
        <v>1.1400915E7</v>
      </c>
      <c r="F1806" s="4">
        <v>5.0</v>
      </c>
      <c r="G1806" s="4" t="s">
        <v>3029</v>
      </c>
    </row>
    <row r="1807">
      <c r="A1807" s="1">
        <v>1805.0</v>
      </c>
      <c r="B1807" s="4" t="s">
        <v>3019</v>
      </c>
      <c r="C1807" s="4" t="str">
        <f>IFERROR(__xludf.DUMMYFUNCTION("GOOGLETRANSLATE(D:D,""auto"",""en"")"),"Back to Hubei Ji has more than 1,500 passengers")</f>
        <v>Back to Hubei Ji has more than 1,500 passengers</v>
      </c>
      <c r="D1807" s="4" t="s">
        <v>3030</v>
      </c>
      <c r="E1807" s="4">
        <v>1.1088045E7</v>
      </c>
      <c r="F1807" s="4">
        <v>6.0</v>
      </c>
      <c r="G1807" s="4" t="s">
        <v>3031</v>
      </c>
    </row>
    <row r="1808">
      <c r="A1808" s="1">
        <v>1806.0</v>
      </c>
      <c r="B1808" s="4" t="s">
        <v>3019</v>
      </c>
      <c r="C1808" s="4" t="str">
        <f>IFERROR(__xludf.DUMMYFUNCTION("GOOGLETRANSLATE(D:D,""auto"",""en"")"),"Zhang Division play at home with his father")</f>
        <v>Zhang Division play at home with his father</v>
      </c>
      <c r="D1808" s="4" t="s">
        <v>3032</v>
      </c>
      <c r="E1808" s="4">
        <v>1.0839911E7</v>
      </c>
      <c r="F1808" s="4">
        <v>7.0</v>
      </c>
      <c r="G1808" s="4" t="s">
        <v>3033</v>
      </c>
    </row>
    <row r="1809">
      <c r="A1809" s="1">
        <v>1807.0</v>
      </c>
      <c r="B1809" s="4" t="s">
        <v>3019</v>
      </c>
      <c r="C1809" s="4" t="str">
        <f>IFERROR(__xludf.DUMMYFUNCTION("GOOGLETRANSLATE(D:D,""auto"",""en"")"),"The first person to report the epidemic great merit")</f>
        <v>The first person to report the epidemic great merit</v>
      </c>
      <c r="D1809" s="4" t="s">
        <v>3034</v>
      </c>
      <c r="E1809" s="4">
        <v>1.0005341E7</v>
      </c>
      <c r="F1809" s="4">
        <v>8.0</v>
      </c>
      <c r="G1809" s="4" t="s">
        <v>3035</v>
      </c>
    </row>
    <row r="1810">
      <c r="A1810" s="1">
        <v>1808.0</v>
      </c>
      <c r="B1810" s="4" t="s">
        <v>3019</v>
      </c>
      <c r="C1810" s="4" t="str">
        <f>IFERROR(__xludf.DUMMYFUNCTION("GOOGLETRANSLATE(D:D,""auto"",""en"")"),"The national total of 28,018 cases of pneumonia diagnosed with the new crown")</f>
        <v>The national total of 28,018 cases of pneumonia diagnosed with the new crown</v>
      </c>
      <c r="D1810" s="4" t="s">
        <v>3036</v>
      </c>
      <c r="E1810" s="4">
        <v>9821419.0</v>
      </c>
      <c r="F1810" s="4">
        <v>9.0</v>
      </c>
      <c r="G1810" s="4" t="s">
        <v>3037</v>
      </c>
    </row>
    <row r="1811">
      <c r="A1811" s="1">
        <v>1809.0</v>
      </c>
      <c r="B1811" s="4" t="s">
        <v>3019</v>
      </c>
      <c r="C1811" s="4" t="str">
        <f>IFERROR(__xludf.DUMMYFUNCTION("GOOGLETRANSLATE(D:D,""auto"",""en"")"),"Go out shopping wearing a mask is not infected")</f>
        <v>Go out shopping wearing a mask is not infected</v>
      </c>
      <c r="D1811" s="4" t="s">
        <v>3038</v>
      </c>
      <c r="E1811" s="4">
        <v>9559153.0</v>
      </c>
      <c r="F1811" s="4">
        <v>10.0</v>
      </c>
      <c r="G1811" s="4" t="s">
        <v>3039</v>
      </c>
    </row>
    <row r="1812">
      <c r="A1812" s="1">
        <v>1810.0</v>
      </c>
      <c r="B1812" s="4" t="s">
        <v>3019</v>
      </c>
      <c r="C1812" s="4" t="str">
        <f>IFERROR(__xludf.DUMMYFUNCTION("GOOGLETRANSLATE(D:D,""auto"",""en"")"),"Hubei new crown the new 2987 cases of pneumonia")</f>
        <v>Hubei new crown the new 2987 cases of pneumonia</v>
      </c>
      <c r="D1812" s="4" t="s">
        <v>3040</v>
      </c>
      <c r="E1812" s="4">
        <v>9286367.0</v>
      </c>
      <c r="F1812" s="4">
        <v>11.0</v>
      </c>
      <c r="G1812" s="4" t="s">
        <v>3041</v>
      </c>
    </row>
    <row r="1813">
      <c r="A1813" s="1">
        <v>1811.0</v>
      </c>
      <c r="B1813" s="4" t="s">
        <v>3019</v>
      </c>
      <c r="C1813" s="4" t="str">
        <f>IFERROR(__xludf.DUMMYFUNCTION("GOOGLETRANSLATE(D:D,""auto"",""en"")"),"Hunan new confirmed cases 50 cases")</f>
        <v>Hunan new confirmed cases 50 cases</v>
      </c>
      <c r="D1813" s="4" t="s">
        <v>3042</v>
      </c>
      <c r="E1813" s="4">
        <v>8523166.0</v>
      </c>
      <c r="F1813" s="4">
        <v>12.0</v>
      </c>
      <c r="G1813" s="4" t="s">
        <v>3043</v>
      </c>
    </row>
    <row r="1814">
      <c r="A1814" s="1">
        <v>1812.0</v>
      </c>
      <c r="B1814" s="4" t="s">
        <v>3019</v>
      </c>
      <c r="C1814" s="4" t="str">
        <f>IFERROR(__xludf.DUMMYFUNCTION("GOOGLETRANSLATE(D:D,""auto"",""en"")"),"Li Jiaqi Zhang Ziyi to respond to comments")</f>
        <v>Li Jiaqi Zhang Ziyi to respond to comments</v>
      </c>
      <c r="D1814" s="4" t="s">
        <v>3044</v>
      </c>
      <c r="E1814" s="4">
        <v>8521653.0</v>
      </c>
      <c r="F1814" s="4">
        <v>13.0</v>
      </c>
      <c r="G1814" s="4" t="s">
        <v>3045</v>
      </c>
    </row>
    <row r="1815">
      <c r="A1815" s="1">
        <v>1813.0</v>
      </c>
      <c r="B1815" s="4" t="s">
        <v>3019</v>
      </c>
      <c r="C1815" s="4" t="str">
        <f>IFERROR(__xludf.DUMMYFUNCTION("GOOGLETRANSLATE(D:D,""auto"",""en"")"),"Hubei first batch of five pediatric patients discharged from hospital")</f>
        <v>Hubei first batch of five pediatric patients discharged from hospital</v>
      </c>
      <c r="D1815" s="4" t="s">
        <v>3046</v>
      </c>
      <c r="E1815" s="4">
        <v>8470955.0</v>
      </c>
      <c r="F1815" s="4">
        <v>14.0</v>
      </c>
      <c r="G1815" s="4" t="s">
        <v>3047</v>
      </c>
    </row>
    <row r="1816">
      <c r="A1816" s="1">
        <v>1814.0</v>
      </c>
      <c r="B1816" s="4" t="s">
        <v>3019</v>
      </c>
      <c r="C1816" s="4" t="str">
        <f>IFERROR(__xludf.DUMMYFUNCTION("GOOGLETRANSLATE(D:D,""auto"",""en"")"),"British Chinese pupils chorus fuel to China")</f>
        <v>British Chinese pupils chorus fuel to China</v>
      </c>
      <c r="D1816" s="4" t="s">
        <v>3048</v>
      </c>
      <c r="E1816" s="4">
        <v>8349254.0</v>
      </c>
      <c r="F1816" s="4">
        <v>15.0</v>
      </c>
      <c r="G1816" s="4" t="s">
        <v>3049</v>
      </c>
    </row>
    <row r="1817">
      <c r="A1817" s="1">
        <v>1815.0</v>
      </c>
      <c r="B1817" s="4" t="s">
        <v>3019</v>
      </c>
      <c r="C1817" s="4" t="str">
        <f>IFERROR(__xludf.DUMMYFUNCTION("GOOGLETRANSLATE(D:D,""auto"",""en"")"),"Zhong Nanshan drug clinical trials to be careful")</f>
        <v>Zhong Nanshan drug clinical trials to be careful</v>
      </c>
      <c r="D1817" s="4" t="s">
        <v>3050</v>
      </c>
      <c r="E1817" s="4">
        <v>8292912.0</v>
      </c>
      <c r="F1817" s="4">
        <v>16.0</v>
      </c>
      <c r="G1817" s="4" t="s">
        <v>3051</v>
      </c>
    </row>
    <row r="1818">
      <c r="A1818" s="1">
        <v>1816.0</v>
      </c>
      <c r="B1818" s="4" t="s">
        <v>3019</v>
      </c>
      <c r="C1818" s="4" t="str">
        <f>IFERROR(__xludf.DUMMYFUNCTION("GOOGLETRANSLATE(D:D,""auto"",""en"")"),"In addition to the epidemic does not leave hair")</f>
        <v>In addition to the epidemic does not leave hair</v>
      </c>
      <c r="D1818" s="4" t="s">
        <v>3052</v>
      </c>
      <c r="E1818" s="4">
        <v>8128938.0</v>
      </c>
      <c r="F1818" s="4">
        <v>17.0</v>
      </c>
      <c r="G1818" s="4" t="s">
        <v>3053</v>
      </c>
    </row>
    <row r="1819">
      <c r="A1819" s="1">
        <v>1817.0</v>
      </c>
      <c r="B1819" s="4" t="s">
        <v>3019</v>
      </c>
      <c r="C1819" s="4" t="str">
        <f>IFERROR(__xludf.DUMMYFUNCTION("GOOGLETRANSLATE(D:D,""auto"",""en"")"),"Yang Yang Yang cute little upgrade when parents")</f>
        <v>Yang Yang Yang cute little upgrade when parents</v>
      </c>
      <c r="D1819" s="4" t="s">
        <v>3054</v>
      </c>
      <c r="E1819" s="4">
        <v>8067199.0</v>
      </c>
      <c r="F1819" s="4">
        <v>18.0</v>
      </c>
      <c r="G1819" s="4" t="s">
        <v>3055</v>
      </c>
    </row>
    <row r="1820">
      <c r="A1820" s="1">
        <v>1818.0</v>
      </c>
      <c r="B1820" s="4" t="s">
        <v>3019</v>
      </c>
      <c r="C1820" s="4" t="str">
        <f>IFERROR(__xludf.DUMMYFUNCTION("GOOGLETRANSLATE(D:D,""auto"",""en"")"),"Zheng Kai trumpet")</f>
        <v>Zheng Kai trumpet</v>
      </c>
      <c r="D1820" s="4" t="s">
        <v>3056</v>
      </c>
      <c r="E1820" s="4">
        <v>8034374.0</v>
      </c>
      <c r="F1820" s="4">
        <v>19.0</v>
      </c>
      <c r="G1820" s="4" t="s">
        <v>3057</v>
      </c>
    </row>
    <row r="1821">
      <c r="A1821" s="1">
        <v>1819.0</v>
      </c>
      <c r="B1821" s="4" t="s">
        <v>3019</v>
      </c>
      <c r="C1821" s="4" t="str">
        <f>IFERROR(__xludf.DUMMYFUNCTION("GOOGLETRANSLATE(D:D,""auto"",""en"")"),"He Canyang house collapsed")</f>
        <v>He Canyang house collapsed</v>
      </c>
      <c r="D1821" s="4" t="s">
        <v>3058</v>
      </c>
      <c r="E1821" s="4">
        <v>7935327.0</v>
      </c>
      <c r="F1821" s="4">
        <v>20.0</v>
      </c>
      <c r="G1821" s="4" t="s">
        <v>3059</v>
      </c>
    </row>
    <row r="1822">
      <c r="A1822" s="1">
        <v>1820.0</v>
      </c>
      <c r="B1822" s="4" t="s">
        <v>3019</v>
      </c>
      <c r="C1822" s="4" t="str">
        <f>IFERROR(__xludf.DUMMYFUNCTION("GOOGLETRANSLATE(D:D,""auto"",""en"")"),"Hongshan gymnasium shelter first patient to receive hospital")</f>
        <v>Hongshan gymnasium shelter first patient to receive hospital</v>
      </c>
      <c r="D1822" s="4" t="s">
        <v>3060</v>
      </c>
      <c r="E1822" s="4">
        <v>7757383.0</v>
      </c>
      <c r="F1822" s="4">
        <v>21.0</v>
      </c>
      <c r="G1822" s="4" t="s">
        <v>3061</v>
      </c>
    </row>
    <row r="1823">
      <c r="A1823" s="1">
        <v>1821.0</v>
      </c>
      <c r="B1823" s="4" t="s">
        <v>3019</v>
      </c>
      <c r="C1823" s="4" t="str">
        <f>IFERROR(__xludf.DUMMYFUNCTION("GOOGLETRANSLATE(D:D,""auto"",""en"")"),"Taiwan Affairs Office to seek the epidemic alone will never succeed")</f>
        <v>Taiwan Affairs Office to seek the epidemic alone will never succeed</v>
      </c>
      <c r="D1823" s="4" t="s">
        <v>3062</v>
      </c>
      <c r="E1823" s="4">
        <v>7731076.0</v>
      </c>
      <c r="F1823" s="4">
        <v>22.0</v>
      </c>
      <c r="G1823" s="4" t="s">
        <v>3063</v>
      </c>
    </row>
    <row r="1824">
      <c r="A1824" s="1">
        <v>1822.0</v>
      </c>
      <c r="B1824" s="4" t="s">
        <v>3019</v>
      </c>
      <c r="C1824" s="4" t="str">
        <f>IFERROR(__xludf.DUMMYFUNCTION("GOOGLETRANSLATE(D:D,""auto"",""en"")"),"Dali mayor apologized to detain masks")</f>
        <v>Dali mayor apologized to detain masks</v>
      </c>
      <c r="D1824" s="4" t="s">
        <v>3064</v>
      </c>
      <c r="E1824" s="4">
        <v>7696207.0</v>
      </c>
      <c r="F1824" s="4">
        <v>23.0</v>
      </c>
      <c r="G1824" s="4" t="s">
        <v>3065</v>
      </c>
    </row>
    <row r="1825">
      <c r="A1825" s="1">
        <v>1823.0</v>
      </c>
      <c r="B1825" s="4" t="s">
        <v>3019</v>
      </c>
      <c r="C1825" s="4" t="str">
        <f>IFERROR(__xludf.DUMMYFUNCTION("GOOGLETRANSLATE(D:D,""auto"",""en"")"),"90-year-old mother to accompany his son diagnosed 4 days and 4 nights")</f>
        <v>90-year-old mother to accompany his son diagnosed 4 days and 4 nights</v>
      </c>
      <c r="D1825" s="4" t="s">
        <v>3066</v>
      </c>
      <c r="E1825" s="4">
        <v>7593217.0</v>
      </c>
      <c r="F1825" s="4">
        <v>24.0</v>
      </c>
      <c r="G1825" s="4" t="s">
        <v>3067</v>
      </c>
    </row>
    <row r="1826">
      <c r="A1826" s="1">
        <v>1824.0</v>
      </c>
      <c r="B1826" s="4" t="s">
        <v>3019</v>
      </c>
      <c r="C1826" s="4" t="str">
        <f>IFERROR(__xludf.DUMMYFUNCTION("GOOGLETRANSLATE(D:D,""auto"",""en"")"),"Vibrato parent sacrifices for township and village doctors Contributions")</f>
        <v>Vibrato parent sacrifices for township and village doctors Contributions</v>
      </c>
      <c r="D1826" s="4" t="s">
        <v>3068</v>
      </c>
      <c r="E1826" s="4">
        <v>7530507.0</v>
      </c>
      <c r="F1826" s="4">
        <v>25.0</v>
      </c>
      <c r="G1826" s="4" t="s">
        <v>3069</v>
      </c>
    </row>
    <row r="1827">
      <c r="A1827" s="1">
        <v>1825.0</v>
      </c>
      <c r="B1827" s="4" t="s">
        <v>3019</v>
      </c>
      <c r="C1827" s="4" t="str">
        <f>IFERROR(__xludf.DUMMYFUNCTION("GOOGLETRANSLATE(D:D,""auto"",""en"")"),"Indian hacker group attacked our medical institutions")</f>
        <v>Indian hacker group attacked our medical institutions</v>
      </c>
      <c r="D1827" s="4" t="s">
        <v>3070</v>
      </c>
      <c r="E1827" s="4">
        <v>7513124.0</v>
      </c>
      <c r="F1827" s="4">
        <v>26.0</v>
      </c>
      <c r="G1827" s="4" t="s">
        <v>3071</v>
      </c>
    </row>
    <row r="1828">
      <c r="A1828" s="1">
        <v>1826.0</v>
      </c>
      <c r="B1828" s="4" t="s">
        <v>3019</v>
      </c>
      <c r="C1828" s="4" t="str">
        <f>IFERROR(__xludf.DUMMYFUNCTION("GOOGLETRANSLATE(D:D,""auto"",""en"")"),"Doctor Li Wenliang's death")</f>
        <v>Doctor Li Wenliang's death</v>
      </c>
      <c r="D1828" s="4" t="s">
        <v>3072</v>
      </c>
      <c r="E1828" s="4">
        <v>7382043.0</v>
      </c>
      <c r="F1828" s="4">
        <v>27.0</v>
      </c>
      <c r="G1828" s="4" t="s">
        <v>3073</v>
      </c>
    </row>
    <row r="1829">
      <c r="A1829" s="1">
        <v>1827.0</v>
      </c>
      <c r="B1829" s="4" t="s">
        <v>3019</v>
      </c>
      <c r="C1829" s="4" t="str">
        <f>IFERROR(__xludf.DUMMYFUNCTION("GOOGLETRANSLATE(D:D,""auto"",""en"")"),"The boy wipes help replace public elevator")</f>
        <v>The boy wipes help replace public elevator</v>
      </c>
      <c r="D1829" s="4" t="s">
        <v>3074</v>
      </c>
      <c r="E1829" s="4">
        <v>7377492.0</v>
      </c>
      <c r="F1829" s="4">
        <v>28.0</v>
      </c>
      <c r="G1829" s="4" t="s">
        <v>3075</v>
      </c>
    </row>
    <row r="1830">
      <c r="A1830" s="1">
        <v>1828.0</v>
      </c>
      <c r="B1830" s="4" t="s">
        <v>3019</v>
      </c>
      <c r="C1830" s="4" t="str">
        <f>IFERROR(__xludf.DUMMYFUNCTION("GOOGLETRANSLATE(D:D,""auto"",""en"")"),"After 95 female doctors riding 300 kilometers back to Wuhan")</f>
        <v>After 95 female doctors riding 300 kilometers back to Wuhan</v>
      </c>
      <c r="D1830" s="4" t="s">
        <v>3076</v>
      </c>
      <c r="E1830" s="4">
        <v>7373942.0</v>
      </c>
      <c r="F1830" s="4">
        <v>29.0</v>
      </c>
      <c r="G1830" s="4" t="s">
        <v>3077</v>
      </c>
    </row>
    <row r="1831">
      <c r="A1831" s="1">
        <v>1829.0</v>
      </c>
      <c r="B1831" s="4" t="s">
        <v>3019</v>
      </c>
      <c r="C1831" s="4" t="str">
        <f>IFERROR(__xludf.DUMMYFUNCTION("GOOGLETRANSLATE(D:D,""auto"",""en"")"),"Washing machine pictures")</f>
        <v>Washing machine pictures</v>
      </c>
      <c r="D1831" s="4" t="s">
        <v>3078</v>
      </c>
      <c r="E1831" s="4">
        <v>7346367.0</v>
      </c>
      <c r="F1831" s="4">
        <v>30.0</v>
      </c>
      <c r="G1831" s="4" t="s">
        <v>3079</v>
      </c>
    </row>
    <row r="1832">
      <c r="A1832" s="1">
        <v>1830.0</v>
      </c>
      <c r="B1832" s="4" t="s">
        <v>3019</v>
      </c>
      <c r="C1832" s="4" t="str">
        <f>IFERROR(__xludf.DUMMYFUNCTION("GOOGLETRANSLATE(D:D,""auto"",""en"")"),"Shouguang support Wuhan driver on mind")</f>
        <v>Shouguang support Wuhan driver on mind</v>
      </c>
      <c r="D1832" s="4" t="s">
        <v>3080</v>
      </c>
      <c r="E1832" s="4">
        <v>7206036.0</v>
      </c>
      <c r="F1832" s="4">
        <v>31.0</v>
      </c>
      <c r="G1832" s="4" t="s">
        <v>3081</v>
      </c>
    </row>
    <row r="1833">
      <c r="A1833" s="1">
        <v>1831.0</v>
      </c>
      <c r="B1833" s="4" t="s">
        <v>3019</v>
      </c>
      <c r="C1833" s="4" t="str">
        <f>IFERROR(__xludf.DUMMYFUNCTION("GOOGLETRANSLATE(D:D,""auto"",""en"")"),"Shanxi new confirmed cases in 9 cases")</f>
        <v>Shanxi new confirmed cases in 9 cases</v>
      </c>
      <c r="D1833" s="4" t="s">
        <v>3082</v>
      </c>
      <c r="E1833" s="4">
        <v>7175102.0</v>
      </c>
      <c r="F1833" s="4">
        <v>32.0</v>
      </c>
      <c r="G1833" s="4" t="s">
        <v>3083</v>
      </c>
    </row>
    <row r="1834">
      <c r="A1834" s="1">
        <v>1832.0</v>
      </c>
      <c r="B1834" s="4" t="s">
        <v>3019</v>
      </c>
      <c r="C1834" s="4" t="str">
        <f>IFERROR(__xludf.DUMMYFUNCTION("GOOGLETRANSLATE(D:D,""auto"",""en"")"),"NBA version of love apartment")</f>
        <v>NBA version of love apartment</v>
      </c>
      <c r="D1834" s="4" t="s">
        <v>3084</v>
      </c>
      <c r="E1834" s="4">
        <v>7038807.0</v>
      </c>
      <c r="F1834" s="4">
        <v>33.0</v>
      </c>
      <c r="G1834" s="4" t="s">
        <v>3085</v>
      </c>
    </row>
    <row r="1835">
      <c r="A1835" s="1">
        <v>1833.0</v>
      </c>
      <c r="B1835" s="4" t="s">
        <v>3019</v>
      </c>
      <c r="C1835" s="4" t="str">
        <f>IFERROR(__xludf.DUMMYFUNCTION("GOOGLETRANSLATE(D:D,""auto"",""en"")"),"Turkish airport airliner broken into two parts")</f>
        <v>Turkish airport airliner broken into two parts</v>
      </c>
      <c r="D1835" s="4" t="s">
        <v>3086</v>
      </c>
      <c r="E1835" s="4">
        <v>6945623.0</v>
      </c>
      <c r="F1835" s="4">
        <v>34.0</v>
      </c>
      <c r="G1835" s="4" t="s">
        <v>3087</v>
      </c>
    </row>
    <row r="1836">
      <c r="A1836" s="1">
        <v>1834.0</v>
      </c>
      <c r="B1836" s="4" t="s">
        <v>3019</v>
      </c>
      <c r="C1836" s="4" t="str">
        <f>IFERROR(__xludf.DUMMYFUNCTION("GOOGLETRANSLATE(D:D,""auto"",""en"")"),"Zhong Nanshan Contagion Full Record")</f>
        <v>Zhong Nanshan Contagion Full Record</v>
      </c>
      <c r="D1836" s="4" t="s">
        <v>3088</v>
      </c>
      <c r="E1836" s="4">
        <v>6809700.0</v>
      </c>
      <c r="F1836" s="4">
        <v>35.0</v>
      </c>
      <c r="G1836" s="4" t="s">
        <v>3089</v>
      </c>
    </row>
    <row r="1837">
      <c r="A1837" s="1">
        <v>1835.0</v>
      </c>
      <c r="B1837" s="4" t="s">
        <v>3019</v>
      </c>
      <c r="C1837" s="4" t="str">
        <f>IFERROR(__xludf.DUMMYFUNCTION("GOOGLETRANSLATE(D:D,""auto"",""en"")"),"86-year-old patient recovered thanks to the PLA treatment")</f>
        <v>86-year-old patient recovered thanks to the PLA treatment</v>
      </c>
      <c r="D1837" s="4" t="s">
        <v>3090</v>
      </c>
      <c r="E1837" s="4">
        <v>6801835.0</v>
      </c>
      <c r="F1837" s="4">
        <v>36.0</v>
      </c>
      <c r="G1837" s="4" t="s">
        <v>3091</v>
      </c>
    </row>
    <row r="1838">
      <c r="A1838" s="1">
        <v>1836.0</v>
      </c>
      <c r="B1838" s="4" t="s">
        <v>3019</v>
      </c>
      <c r="C1838" s="4" t="str">
        <f>IFERROR(__xludf.DUMMYFUNCTION("GOOGLETRANSLATE(D:D,""auto"",""en"")"),"Trump against impeachment")</f>
        <v>Trump against impeachment</v>
      </c>
      <c r="D1838" s="4" t="s">
        <v>3092</v>
      </c>
      <c r="E1838" s="4">
        <v>6767065.0</v>
      </c>
      <c r="F1838" s="4">
        <v>37.0</v>
      </c>
      <c r="G1838" s="4" t="s">
        <v>3093</v>
      </c>
    </row>
    <row r="1839">
      <c r="A1839" s="1">
        <v>1837.0</v>
      </c>
      <c r="B1839" s="4" t="s">
        <v>3019</v>
      </c>
      <c r="C1839" s="4" t="str">
        <f>IFERROR(__xludf.DUMMYFUNCTION("GOOGLETRANSLATE(D:D,""auto"",""en"")"),"Song Weilong Song Qian teach dance")</f>
        <v>Song Weilong Song Qian teach dance</v>
      </c>
      <c r="D1839" s="4" t="s">
        <v>3094</v>
      </c>
      <c r="E1839" s="4">
        <v>6759089.0</v>
      </c>
      <c r="F1839" s="4">
        <v>38.0</v>
      </c>
      <c r="G1839" s="4" t="s">
        <v>3095</v>
      </c>
    </row>
    <row r="1840">
      <c r="A1840" s="1">
        <v>1838.0</v>
      </c>
      <c r="B1840" s="4" t="s">
        <v>3019</v>
      </c>
      <c r="C1840" s="4" t="str">
        <f>IFERROR(__xludf.DUMMYFUNCTION("GOOGLETRANSLATE(D:D,""auto"",""en"")"),"Football version of love apartment")</f>
        <v>Football version of love apartment</v>
      </c>
      <c r="D1840" s="4" t="s">
        <v>3096</v>
      </c>
      <c r="E1840" s="4">
        <v>6719304.0</v>
      </c>
      <c r="F1840" s="4">
        <v>39.0</v>
      </c>
      <c r="G1840" s="4" t="s">
        <v>3097</v>
      </c>
    </row>
    <row r="1841">
      <c r="A1841" s="1">
        <v>1839.0</v>
      </c>
      <c r="B1841" s="4" t="s">
        <v>3019</v>
      </c>
      <c r="C1841" s="4" t="str">
        <f>IFERROR(__xludf.DUMMYFUNCTION("GOOGLETRANSLATE(D:D,""auto"",""en"")"),"Guo Pro forced drying donation certificate")</f>
        <v>Guo Pro forced drying donation certificate</v>
      </c>
      <c r="D1841" s="4" t="s">
        <v>2929</v>
      </c>
      <c r="E1841" s="4">
        <v>6655039.0</v>
      </c>
      <c r="F1841" s="4">
        <v>40.0</v>
      </c>
      <c r="G1841" s="4" t="s">
        <v>2930</v>
      </c>
    </row>
    <row r="1842">
      <c r="A1842" s="1">
        <v>1840.0</v>
      </c>
      <c r="B1842" s="4" t="s">
        <v>3019</v>
      </c>
      <c r="C1842" s="4" t="str">
        <f>IFERROR(__xludf.DUMMYFUNCTION("GOOGLETRANSLATE(D:D,""auto"",""en"")"),"Heze 275 tons of agricultural products Wuhan rush to the rescue")</f>
        <v>Heze 275 tons of agricultural products Wuhan rush to the rescue</v>
      </c>
      <c r="D1842" s="4" t="s">
        <v>3098</v>
      </c>
      <c r="E1842" s="4">
        <v>6646170.0</v>
      </c>
      <c r="F1842" s="4">
        <v>41.0</v>
      </c>
      <c r="G1842" s="4" t="s">
        <v>3099</v>
      </c>
    </row>
    <row r="1843">
      <c r="A1843" s="1">
        <v>1841.0</v>
      </c>
      <c r="B1843" s="4" t="s">
        <v>3019</v>
      </c>
      <c r="C1843" s="4" t="str">
        <f>IFERROR(__xludf.DUMMYFUNCTION("GOOGLETRANSLATE(D:D,""auto"",""en"")"),"Non-confirmed cases nationwide in Hubei Province, a fall of two days")</f>
        <v>Non-confirmed cases nationwide in Hubei Province, a fall of two days</v>
      </c>
      <c r="D1843" s="4" t="s">
        <v>3100</v>
      </c>
      <c r="E1843" s="4">
        <v>6634062.0</v>
      </c>
      <c r="F1843" s="4">
        <v>42.0</v>
      </c>
      <c r="G1843" s="4" t="s">
        <v>3101</v>
      </c>
    </row>
    <row r="1844">
      <c r="A1844" s="1">
        <v>1842.0</v>
      </c>
      <c r="B1844" s="4" t="s">
        <v>3019</v>
      </c>
      <c r="C1844" s="4" t="str">
        <f>IFERROR(__xludf.DUMMYFUNCTION("GOOGLETRANSLATE(D:D,""auto"",""en"")"),"One of pneumonia")</f>
        <v>One of pneumonia</v>
      </c>
      <c r="D1844" s="4" t="s">
        <v>3102</v>
      </c>
      <c r="E1844" s="4">
        <v>6630584.0</v>
      </c>
      <c r="F1844" s="4">
        <v>43.0</v>
      </c>
      <c r="G1844" s="4" t="s">
        <v>3103</v>
      </c>
    </row>
    <row r="1845">
      <c r="A1845" s="1">
        <v>1843.0</v>
      </c>
      <c r="B1845" s="4" t="s">
        <v>3019</v>
      </c>
      <c r="C1845" s="4" t="str">
        <f>IFERROR(__xludf.DUMMYFUNCTION("GOOGLETRANSLATE(D:D,""auto"",""en"")"),"Medicine man did not wear a mask 50 seconds to be infected")</f>
        <v>Medicine man did not wear a mask 50 seconds to be infected</v>
      </c>
      <c r="D1845" s="4" t="s">
        <v>3104</v>
      </c>
      <c r="E1845" s="4">
        <v>6629954.0</v>
      </c>
      <c r="F1845" s="4">
        <v>44.0</v>
      </c>
      <c r="G1845" s="4" t="s">
        <v>3105</v>
      </c>
    </row>
    <row r="1846">
      <c r="A1846" s="1">
        <v>1844.0</v>
      </c>
      <c r="B1846" s="4" t="s">
        <v>3019</v>
      </c>
      <c r="C1846" s="4" t="str">
        <f>IFERROR(__xludf.DUMMYFUNCTION("GOOGLETRANSLATE(D:D,""auto"",""en"")"),"Vanessa Bryant missed Gigi dynamic bursts")</f>
        <v>Vanessa Bryant missed Gigi dynamic bursts</v>
      </c>
      <c r="D1846" s="4" t="s">
        <v>3106</v>
      </c>
      <c r="E1846" s="4">
        <v>6608901.0</v>
      </c>
      <c r="F1846" s="4">
        <v>45.0</v>
      </c>
      <c r="G1846" s="4" t="s">
        <v>3107</v>
      </c>
    </row>
    <row r="1847">
      <c r="A1847" s="1">
        <v>1845.0</v>
      </c>
      <c r="B1847" s="4" t="s">
        <v>3019</v>
      </c>
      <c r="C1847" s="4" t="str">
        <f>IFERROR(__xludf.DUMMYFUNCTION("GOOGLETRANSLATE(D:D,""auto"",""en"")"),"You want to Wuhan resurgence Wenchuan Thanksgiving")</f>
        <v>You want to Wuhan resurgence Wenchuan Thanksgiving</v>
      </c>
      <c r="D1847" s="4" t="s">
        <v>3108</v>
      </c>
      <c r="E1847" s="4">
        <v>6600102.0</v>
      </c>
      <c r="F1847" s="4">
        <v>46.0</v>
      </c>
      <c r="G1847" s="4" t="s">
        <v>3109</v>
      </c>
    </row>
    <row r="1848">
      <c r="A1848" s="1">
        <v>1846.0</v>
      </c>
      <c r="B1848" s="4" t="s">
        <v>3019</v>
      </c>
      <c r="C1848" s="4" t="str">
        <f>IFERROR(__xludf.DUMMYFUNCTION("GOOGLETRANSLATE(D:D,""auto"",""en"")"),"Zhejiang new confirmed cases 59 cases")</f>
        <v>Zhejiang new confirmed cases 59 cases</v>
      </c>
      <c r="D1848" s="4" t="s">
        <v>3110</v>
      </c>
      <c r="E1848" s="4">
        <v>6536396.0</v>
      </c>
      <c r="F1848" s="4">
        <v>47.0</v>
      </c>
      <c r="G1848" s="4" t="s">
        <v>3111</v>
      </c>
    </row>
    <row r="1849">
      <c r="A1849" s="1">
        <v>1847.0</v>
      </c>
      <c r="B1849" s="4" t="s">
        <v>3019</v>
      </c>
      <c r="C1849" s="4" t="str">
        <f>IFERROR(__xludf.DUMMYFUNCTION("GOOGLETRANSLATE(D:D,""auto"",""en"")"),"700,000 bats invade Australia")</f>
        <v>700,000 bats invade Australia</v>
      </c>
      <c r="D1849" s="4" t="s">
        <v>2943</v>
      </c>
      <c r="E1849" s="4">
        <v>6343113.0</v>
      </c>
      <c r="F1849" s="4">
        <v>48.0</v>
      </c>
      <c r="G1849" s="4" t="s">
        <v>2944</v>
      </c>
    </row>
    <row r="1850">
      <c r="A1850" s="1">
        <v>1848.0</v>
      </c>
      <c r="B1850" s="4" t="s">
        <v>3019</v>
      </c>
      <c r="C1850" s="4" t="str">
        <f>IFERROR(__xludf.DUMMYFUNCTION("GOOGLETRANSLATE(D:D,""auto"",""en"")"),"First of the new crown will receive medication in patients with severe pneumonia")</f>
        <v>First of the new crown will receive medication in patients with severe pneumonia</v>
      </c>
      <c r="D1850" s="4" t="s">
        <v>3112</v>
      </c>
      <c r="E1850" s="4">
        <v>6326654.0</v>
      </c>
      <c r="F1850" s="4">
        <v>49.0</v>
      </c>
      <c r="G1850" s="4" t="s">
        <v>3113</v>
      </c>
    </row>
    <row r="1851">
      <c r="A1851" s="1">
        <v>1849.0</v>
      </c>
      <c r="B1851" s="4" t="s">
        <v>3019</v>
      </c>
      <c r="C1851" s="4" t="str">
        <f>IFERROR(__xludf.DUMMYFUNCTION("GOOGLETRANSLATE(D:D,""auto"",""en"")"),"Illegitimate phone harassment Zhouzhen Nan")</f>
        <v>Illegitimate phone harassment Zhouzhen Nan</v>
      </c>
      <c r="D1851" s="4" t="s">
        <v>3114</v>
      </c>
      <c r="E1851" s="4">
        <v>6213344.0</v>
      </c>
      <c r="F1851" s="4">
        <v>50.0</v>
      </c>
      <c r="G1851" s="4" t="s">
        <v>3115</v>
      </c>
    </row>
    <row r="1852">
      <c r="A1852" s="1">
        <v>1850.0</v>
      </c>
      <c r="B1852" s="4" t="s">
        <v>3116</v>
      </c>
      <c r="C1852" s="4" t="str">
        <f>IFERROR(__xludf.DUMMYFUNCTION("GOOGLETRANSLATE(D:D,""auto"",""en"")"),"Panda broke into the homes of villagers sleeping sty")</f>
        <v>Panda broke into the homes of villagers sleeping sty</v>
      </c>
      <c r="D1852" s="4" t="s">
        <v>3117</v>
      </c>
      <c r="E1852" s="4">
        <v>1.2570178E7</v>
      </c>
      <c r="F1852" s="4">
        <v>1.0</v>
      </c>
      <c r="G1852" s="4" t="s">
        <v>3118</v>
      </c>
    </row>
    <row r="1853">
      <c r="A1853" s="1">
        <v>1851.0</v>
      </c>
      <c r="B1853" s="4" t="s">
        <v>3116</v>
      </c>
      <c r="C1853" s="4" t="str">
        <f>IFERROR(__xludf.DUMMYFUNCTION("GOOGLETRANSLATE(D:D,""auto"",""en"")"),"The national total of 31,161 cases of pneumonia diagnosed with the new crown")</f>
        <v>The national total of 31,161 cases of pneumonia diagnosed with the new crown</v>
      </c>
      <c r="D1853" s="4" t="s">
        <v>3119</v>
      </c>
      <c r="E1853" s="4">
        <v>1.2315839E7</v>
      </c>
      <c r="F1853" s="4">
        <v>2.0</v>
      </c>
      <c r="G1853" s="4" t="s">
        <v>3120</v>
      </c>
    </row>
    <row r="1854">
      <c r="A1854" s="1">
        <v>1852.0</v>
      </c>
      <c r="B1854" s="4" t="s">
        <v>3116</v>
      </c>
      <c r="C1854" s="4" t="str">
        <f>IFERROR(__xludf.DUMMYFUNCTION("GOOGLETRANSLATE(D:D,""auto"",""en"")"),"British Chinese pupils chorus fuel to China")</f>
        <v>British Chinese pupils chorus fuel to China</v>
      </c>
      <c r="D1854" s="4" t="s">
        <v>3048</v>
      </c>
      <c r="E1854" s="4">
        <v>1.2208296E7</v>
      </c>
      <c r="F1854" s="4">
        <v>3.0</v>
      </c>
      <c r="G1854" s="4" t="s">
        <v>3049</v>
      </c>
    </row>
    <row r="1855">
      <c r="A1855" s="1">
        <v>1853.0</v>
      </c>
      <c r="B1855" s="4" t="s">
        <v>3116</v>
      </c>
      <c r="C1855" s="4" t="str">
        <f>IFERROR(__xludf.DUMMYFUNCTION("GOOGLETRANSLATE(D:D,""auto"",""en"")"),"Pangolin new crown viral potential intermediate host")</f>
        <v>Pangolin new crown viral potential intermediate host</v>
      </c>
      <c r="D1855" s="4" t="s">
        <v>3121</v>
      </c>
      <c r="E1855" s="4">
        <v>1.2113558E7</v>
      </c>
      <c r="F1855" s="4">
        <v>4.0</v>
      </c>
      <c r="G1855" s="4" t="s">
        <v>3122</v>
      </c>
    </row>
    <row r="1856">
      <c r="A1856" s="1">
        <v>1854.0</v>
      </c>
      <c r="B1856" s="4" t="s">
        <v>3116</v>
      </c>
      <c r="C1856" s="4" t="str">
        <f>IFERROR(__xludf.DUMMYFUNCTION("GOOGLETRANSLATE(D:D,""auto"",""en"")"),"Yang Yang Yang cute little upgrade when parents")</f>
        <v>Yang Yang Yang cute little upgrade when parents</v>
      </c>
      <c r="D1856" s="4" t="s">
        <v>3054</v>
      </c>
      <c r="E1856" s="4">
        <v>1.1964846E7</v>
      </c>
      <c r="F1856" s="4">
        <v>5.0</v>
      </c>
      <c r="G1856" s="4" t="s">
        <v>3055</v>
      </c>
    </row>
    <row r="1857">
      <c r="A1857" s="1">
        <v>1855.0</v>
      </c>
      <c r="B1857" s="4" t="s">
        <v>3116</v>
      </c>
      <c r="C1857" s="4" t="str">
        <f>IFERROR(__xludf.DUMMYFUNCTION("GOOGLETRANSLATE(D:D,""auto"",""en"")"),"Clay Thompson Wuhan refueling")</f>
        <v>Clay Thompson Wuhan refueling</v>
      </c>
      <c r="D1857" s="4" t="s">
        <v>3123</v>
      </c>
      <c r="E1857" s="4">
        <v>1.1925353E7</v>
      </c>
      <c r="F1857" s="4">
        <v>6.0</v>
      </c>
      <c r="G1857" s="4" t="s">
        <v>3124</v>
      </c>
    </row>
    <row r="1858">
      <c r="A1858" s="1">
        <v>1856.0</v>
      </c>
      <c r="B1858" s="4" t="s">
        <v>3116</v>
      </c>
      <c r="C1858" s="4" t="str">
        <f>IFERROR(__xludf.DUMMYFUNCTION("GOOGLETRANSLATE(D:D,""auto"",""en"")"),"State Control Committee investigating problems involving Li Wenliang")</f>
        <v>State Control Committee investigating problems involving Li Wenliang</v>
      </c>
      <c r="D1858" s="4" t="s">
        <v>3125</v>
      </c>
      <c r="E1858" s="4">
        <v>1.192387E7</v>
      </c>
      <c r="F1858" s="4">
        <v>7.0</v>
      </c>
      <c r="G1858" s="4" t="s">
        <v>3126</v>
      </c>
    </row>
    <row r="1859">
      <c r="A1859" s="1">
        <v>1857.0</v>
      </c>
      <c r="B1859" s="4" t="s">
        <v>3116</v>
      </c>
      <c r="C1859" s="4" t="str">
        <f>IFERROR(__xludf.DUMMYFUNCTION("GOOGLETRANSLATE(D:D,""auto"",""en"")"),"Zhang Division play at home with his father")</f>
        <v>Zhang Division play at home with his father</v>
      </c>
      <c r="D1859" s="4" t="s">
        <v>3032</v>
      </c>
      <c r="E1859" s="4">
        <v>1.1623543E7</v>
      </c>
      <c r="F1859" s="4">
        <v>8.0</v>
      </c>
      <c r="G1859" s="4" t="s">
        <v>3033</v>
      </c>
    </row>
    <row r="1860">
      <c r="A1860" s="1">
        <v>1858.0</v>
      </c>
      <c r="B1860" s="4" t="s">
        <v>3116</v>
      </c>
      <c r="C1860" s="4" t="str">
        <f>IFERROR(__xludf.DUMMYFUNCTION("GOOGLETRANSLATE(D:D,""auto"",""en"")"),"Wuhan four healthcare workers recovered after the return post")</f>
        <v>Wuhan four healthcare workers recovered after the return post</v>
      </c>
      <c r="D1860" s="4" t="s">
        <v>3127</v>
      </c>
      <c r="E1860" s="4">
        <v>1.1543549E7</v>
      </c>
      <c r="F1860" s="4">
        <v>9.0</v>
      </c>
      <c r="G1860" s="4" t="s">
        <v>3128</v>
      </c>
    </row>
    <row r="1861">
      <c r="A1861" s="1">
        <v>1859.0</v>
      </c>
      <c r="B1861" s="4" t="s">
        <v>3116</v>
      </c>
      <c r="C1861" s="4" t="str">
        <f>IFERROR(__xludf.DUMMYFUNCTION("GOOGLETRANSLATE(D:D,""auto"",""en"")"),"Li Wenliang")</f>
        <v>Li Wenliang</v>
      </c>
      <c r="D1861" s="4" t="s">
        <v>3129</v>
      </c>
      <c r="E1861" s="4">
        <v>1.1365331E7</v>
      </c>
      <c r="F1861" s="4">
        <v>10.0</v>
      </c>
      <c r="G1861" s="4" t="s">
        <v>3130</v>
      </c>
    </row>
    <row r="1862">
      <c r="A1862" s="1">
        <v>1860.0</v>
      </c>
      <c r="B1862" s="4" t="s">
        <v>3116</v>
      </c>
      <c r="C1862" s="4" t="str">
        <f>IFERROR(__xludf.DUMMYFUNCTION("GOOGLETRANSLATE(D:D,""auto"",""en"")"),"Heilongjiang New confirmed cases 50 cases")</f>
        <v>Heilongjiang New confirmed cases 50 cases</v>
      </c>
      <c r="D1862" s="4" t="s">
        <v>3131</v>
      </c>
      <c r="E1862" s="4">
        <v>1.1307631E7</v>
      </c>
      <c r="F1862" s="4">
        <v>11.0</v>
      </c>
      <c r="G1862" s="4" t="s">
        <v>3132</v>
      </c>
    </row>
    <row r="1863">
      <c r="A1863" s="1">
        <v>1861.0</v>
      </c>
      <c r="B1863" s="4" t="s">
        <v>3116</v>
      </c>
      <c r="C1863" s="4" t="str">
        <f>IFERROR(__xludf.DUMMYFUNCTION("GOOGLETRANSLATE(D:D,""auto"",""en"")"),"NBA All-Star captain selection results came")</f>
        <v>NBA All-Star captain selection results came</v>
      </c>
      <c r="D1863" s="4" t="s">
        <v>3133</v>
      </c>
      <c r="E1863" s="4">
        <v>1.0955182E7</v>
      </c>
      <c r="F1863" s="4">
        <v>12.0</v>
      </c>
      <c r="G1863" s="4" t="s">
        <v>3134</v>
      </c>
    </row>
    <row r="1864">
      <c r="A1864" s="1">
        <v>1862.0</v>
      </c>
      <c r="B1864" s="4" t="s">
        <v>3116</v>
      </c>
      <c r="C1864" s="4" t="str">
        <f>IFERROR(__xludf.DUMMYFUNCTION("GOOGLETRANSLATE(D:D,""auto"",""en"")"),"Wuhan universal temperature monitoring")</f>
        <v>Wuhan universal temperature monitoring</v>
      </c>
      <c r="D1864" s="4" t="s">
        <v>3135</v>
      </c>
      <c r="E1864" s="4">
        <v>1.0739066E7</v>
      </c>
      <c r="F1864" s="4">
        <v>13.0</v>
      </c>
      <c r="G1864" s="4" t="s">
        <v>3136</v>
      </c>
    </row>
    <row r="1865">
      <c r="A1865" s="1">
        <v>1863.0</v>
      </c>
      <c r="B1865" s="4" t="s">
        <v>3116</v>
      </c>
      <c r="C1865" s="4" t="str">
        <f>IFERROR(__xludf.DUMMYFUNCTION("GOOGLETRANSLATE(D:D,""auto"",""en"")"),"Hubei medical gap of about 2250 people")</f>
        <v>Hubei medical gap of about 2250 people</v>
      </c>
      <c r="D1865" s="4" t="s">
        <v>3137</v>
      </c>
      <c r="E1865" s="4">
        <v>1.0736049E7</v>
      </c>
      <c r="F1865" s="4">
        <v>14.0</v>
      </c>
      <c r="G1865" s="4" t="s">
        <v>3138</v>
      </c>
    </row>
    <row r="1866">
      <c r="A1866" s="1">
        <v>1864.0</v>
      </c>
      <c r="B1866" s="4" t="s">
        <v>3116</v>
      </c>
      <c r="C1866" s="4" t="str">
        <f>IFERROR(__xludf.DUMMYFUNCTION("GOOGLETRANSLATE(D:D,""auto"",""en"")"),"Every day the cloud recording")</f>
        <v>Every day the cloud recording</v>
      </c>
      <c r="D1866" s="4" t="s">
        <v>3139</v>
      </c>
      <c r="E1866" s="4">
        <v>1.0681795E7</v>
      </c>
      <c r="F1866" s="4">
        <v>15.0</v>
      </c>
      <c r="G1866" s="4" t="s">
        <v>3140</v>
      </c>
    </row>
    <row r="1867">
      <c r="A1867" s="1">
        <v>1865.0</v>
      </c>
      <c r="B1867" s="4" t="s">
        <v>3116</v>
      </c>
      <c r="C1867" s="4" t="str">
        <f>IFERROR(__xludf.DUMMYFUNCTION("GOOGLETRANSLATE(D:D,""auto"",""en"")"),"Tianjin, a patient 973 were isolated electroluminescent")</f>
        <v>Tianjin, a patient 973 were isolated electroluminescent</v>
      </c>
      <c r="D1867" s="4" t="s">
        <v>3141</v>
      </c>
      <c r="E1867" s="4">
        <v>1.0507567E7</v>
      </c>
      <c r="F1867" s="4">
        <v>16.0</v>
      </c>
      <c r="G1867" s="4" t="s">
        <v>3142</v>
      </c>
    </row>
    <row r="1868">
      <c r="A1868" s="1">
        <v>1866.0</v>
      </c>
      <c r="B1868" s="4" t="s">
        <v>3116</v>
      </c>
      <c r="C1868" s="4" t="str">
        <f>IFERROR(__xludf.DUMMYFUNCTION("GOOGLETRANSLATE(D:D,""auto"",""en"")"),"Hubei new crown the new 2447 cases of pneumonia")</f>
        <v>Hubei new crown the new 2447 cases of pneumonia</v>
      </c>
      <c r="D1868" s="4" t="s">
        <v>3143</v>
      </c>
      <c r="E1868" s="4">
        <v>1.0396936E7</v>
      </c>
      <c r="F1868" s="4">
        <v>17.0</v>
      </c>
      <c r="G1868" s="4" t="s">
        <v>3144</v>
      </c>
    </row>
    <row r="1869">
      <c r="A1869" s="1">
        <v>1867.0</v>
      </c>
      <c r="B1869" s="4" t="s">
        <v>3116</v>
      </c>
      <c r="C1869" s="4" t="str">
        <f>IFERROR(__xludf.DUMMYFUNCTION("GOOGLETRANSLATE(D:D,""auto"",""en"")"),"Wang Yibo wearing pink sweater magic")</f>
        <v>Wang Yibo wearing pink sweater magic</v>
      </c>
      <c r="D1869" s="4" t="s">
        <v>3145</v>
      </c>
      <c r="E1869" s="4">
        <v>1.0396111E7</v>
      </c>
      <c r="F1869" s="4">
        <v>18.0</v>
      </c>
      <c r="G1869" s="4" t="s">
        <v>3146</v>
      </c>
    </row>
    <row r="1870">
      <c r="A1870" s="1">
        <v>1868.0</v>
      </c>
      <c r="B1870" s="4" t="s">
        <v>3116</v>
      </c>
      <c r="C1870" s="4" t="str">
        <f>IFERROR(__xludf.DUMMYFUNCTION("GOOGLETRANSLATE(D:D,""auto"",""en"")"),"Guangdong new cases of 74 patients")</f>
        <v>Guangdong new cases of 74 patients</v>
      </c>
      <c r="D1870" s="4" t="s">
        <v>3147</v>
      </c>
      <c r="E1870" s="4">
        <v>1.0224027E7</v>
      </c>
      <c r="F1870" s="4">
        <v>19.0</v>
      </c>
      <c r="G1870" s="4" t="s">
        <v>3148</v>
      </c>
    </row>
    <row r="1871">
      <c r="A1871" s="1">
        <v>1869.0</v>
      </c>
      <c r="B1871" s="4" t="s">
        <v>3116</v>
      </c>
      <c r="C1871" s="4" t="str">
        <f>IFERROR(__xludf.DUMMYFUNCTION("GOOGLETRANSLATE(D:D,""auto"",""en"")"),"Washing machine pictures")</f>
        <v>Washing machine pictures</v>
      </c>
      <c r="D1871" s="4" t="s">
        <v>3078</v>
      </c>
      <c r="E1871" s="4">
        <v>1.0167353E7</v>
      </c>
      <c r="F1871" s="4">
        <v>20.0</v>
      </c>
      <c r="G1871" s="4" t="s">
        <v>3079</v>
      </c>
    </row>
    <row r="1872">
      <c r="A1872" s="1">
        <v>1870.0</v>
      </c>
      <c r="B1872" s="4" t="s">
        <v>3116</v>
      </c>
      <c r="C1872" s="4" t="str">
        <f>IFERROR(__xludf.DUMMYFUNCTION("GOOGLETRANSLATE(D:D,""auto"",""en"")"),"Jinyintan Western Wei Reid Hospital to start clinical trials")</f>
        <v>Jinyintan Western Wei Reid Hospital to start clinical trials</v>
      </c>
      <c r="D1872" s="4" t="s">
        <v>3149</v>
      </c>
      <c r="E1872" s="4">
        <v>1.0107702E7</v>
      </c>
      <c r="F1872" s="4">
        <v>21.0</v>
      </c>
      <c r="G1872" s="4" t="s">
        <v>3150</v>
      </c>
    </row>
    <row r="1873">
      <c r="A1873" s="1">
        <v>1871.0</v>
      </c>
      <c r="B1873" s="4" t="s">
        <v>3116</v>
      </c>
      <c r="C1873" s="4" t="str">
        <f>IFERROR(__xludf.DUMMYFUNCTION("GOOGLETRANSLATE(D:D,""auto"",""en"")"),"State Post Bureau called for the courier into the community")</f>
        <v>State Post Bureau called for the courier into the community</v>
      </c>
      <c r="D1873" s="4" t="s">
        <v>3151</v>
      </c>
      <c r="E1873" s="4">
        <v>9941080.0</v>
      </c>
      <c r="F1873" s="4">
        <v>22.0</v>
      </c>
      <c r="G1873" s="4" t="s">
        <v>3152</v>
      </c>
    </row>
    <row r="1874">
      <c r="A1874" s="1">
        <v>1872.0</v>
      </c>
      <c r="B1874" s="4" t="s">
        <v>3116</v>
      </c>
      <c r="C1874" s="4" t="str">
        <f>IFERROR(__xludf.DUMMYFUNCTION("GOOGLETRANSLATE(D:D,""auto"",""en"")"),"Line epidemic prevention workers are exempt from tax")</f>
        <v>Line epidemic prevention workers are exempt from tax</v>
      </c>
      <c r="D1874" s="4" t="s">
        <v>3153</v>
      </c>
      <c r="E1874" s="4">
        <v>9939686.0</v>
      </c>
      <c r="F1874" s="4">
        <v>23.0</v>
      </c>
      <c r="G1874" s="4" t="s">
        <v>3154</v>
      </c>
    </row>
    <row r="1875">
      <c r="A1875" s="1">
        <v>1873.0</v>
      </c>
      <c r="B1875" s="4" t="s">
        <v>3116</v>
      </c>
      <c r="C1875" s="4" t="str">
        <f>IFERROR(__xludf.DUMMYFUNCTION("GOOGLETRANSLATE(D:D,""auto"",""en"")"),"Wang Yibo striped shirt")</f>
        <v>Wang Yibo striped shirt</v>
      </c>
      <c r="D1875" s="4" t="s">
        <v>3155</v>
      </c>
      <c r="E1875" s="4">
        <v>9883651.0</v>
      </c>
      <c r="F1875" s="4">
        <v>24.0</v>
      </c>
      <c r="G1875" s="4" t="s">
        <v>3156</v>
      </c>
    </row>
    <row r="1876">
      <c r="A1876" s="1">
        <v>1874.0</v>
      </c>
      <c r="B1876" s="4" t="s">
        <v>3116</v>
      </c>
      <c r="C1876" s="4" t="str">
        <f>IFERROR(__xludf.DUMMYFUNCTION("GOOGLETRANSLATE(D:D,""auto"",""en"")"),"Hunan new confirmed cases 61 cases")</f>
        <v>Hunan new confirmed cases 61 cases</v>
      </c>
      <c r="D1876" s="4" t="s">
        <v>3157</v>
      </c>
      <c r="E1876" s="4">
        <v>9735884.0</v>
      </c>
      <c r="F1876" s="4">
        <v>25.0</v>
      </c>
      <c r="G1876" s="4" t="s">
        <v>3158</v>
      </c>
    </row>
    <row r="1877">
      <c r="A1877" s="1">
        <v>1875.0</v>
      </c>
      <c r="B1877" s="4" t="s">
        <v>3116</v>
      </c>
      <c r="C1877" s="4" t="str">
        <f>IFERROR(__xludf.DUMMYFUNCTION("GOOGLETRANSLATE(D:D,""auto"",""en"")"),"Wuhan municipal government to pay tribute to the doctor Li Wenliang")</f>
        <v>Wuhan municipal government to pay tribute to the doctor Li Wenliang</v>
      </c>
      <c r="D1877" s="4" t="s">
        <v>3159</v>
      </c>
      <c r="E1877" s="4">
        <v>9672405.0</v>
      </c>
      <c r="F1877" s="4">
        <v>26.0</v>
      </c>
      <c r="G1877" s="4" t="s">
        <v>3160</v>
      </c>
    </row>
    <row r="1878">
      <c r="A1878" s="1">
        <v>1876.0</v>
      </c>
      <c r="B1878" s="4" t="s">
        <v>3116</v>
      </c>
      <c r="C1878" s="4" t="str">
        <f>IFERROR(__xludf.DUMMYFUNCTION("GOOGLETRANSLATE(D:D,""auto"",""en"")"),"Song Weilong Why did not he internship")</f>
        <v>Song Weilong Why did not he internship</v>
      </c>
      <c r="D1878" s="4" t="s">
        <v>3161</v>
      </c>
      <c r="E1878" s="4">
        <v>9567931.0</v>
      </c>
      <c r="F1878" s="4">
        <v>27.0</v>
      </c>
      <c r="G1878" s="4" t="s">
        <v>3162</v>
      </c>
    </row>
    <row r="1879">
      <c r="A1879" s="1">
        <v>1877.0</v>
      </c>
      <c r="B1879" s="4" t="s">
        <v>3116</v>
      </c>
      <c r="C1879" s="4" t="str">
        <f>IFERROR(__xludf.DUMMYFUNCTION("GOOGLETRANSLATE(D:D,""auto"",""en"")"),"Japan's new cruise 41 people diagnosed with the new crown pneumonia")</f>
        <v>Japan's new cruise 41 people diagnosed with the new crown pneumonia</v>
      </c>
      <c r="D1879" s="4" t="s">
        <v>3163</v>
      </c>
      <c r="E1879" s="4">
        <v>9462614.0</v>
      </c>
      <c r="F1879" s="4">
        <v>28.0</v>
      </c>
      <c r="G1879" s="4" t="s">
        <v>3164</v>
      </c>
    </row>
    <row r="1880">
      <c r="A1880" s="1">
        <v>1878.0</v>
      </c>
      <c r="B1880" s="4" t="s">
        <v>3116</v>
      </c>
      <c r="C1880" s="4" t="str">
        <f>IFERROR(__xludf.DUMMYFUNCTION("GOOGLETRANSLATE(D:D,""auto"",""en"")"),"Rice cooker cake")</f>
        <v>Rice cooker cake</v>
      </c>
      <c r="D1880" s="4" t="s">
        <v>3165</v>
      </c>
      <c r="E1880" s="4">
        <v>9449880.0</v>
      </c>
      <c r="F1880" s="4">
        <v>29.0</v>
      </c>
      <c r="G1880" s="4" t="s">
        <v>3166</v>
      </c>
    </row>
    <row r="1881">
      <c r="A1881" s="1">
        <v>1879.0</v>
      </c>
      <c r="B1881" s="4" t="s">
        <v>3116</v>
      </c>
      <c r="C1881" s="4" t="str">
        <f>IFERROR(__xludf.DUMMYFUNCTION("GOOGLETRANSLATE(D:D,""auto"",""en"")"),"Li donated 3 million")</f>
        <v>Li donated 3 million</v>
      </c>
      <c r="D1881" s="4" t="s">
        <v>3167</v>
      </c>
      <c r="E1881" s="4">
        <v>9008179.0</v>
      </c>
      <c r="F1881" s="4">
        <v>30.0</v>
      </c>
      <c r="G1881" s="4" t="s">
        <v>3168</v>
      </c>
    </row>
    <row r="1882">
      <c r="A1882" s="1">
        <v>1880.0</v>
      </c>
      <c r="B1882" s="4" t="s">
        <v>3116</v>
      </c>
      <c r="C1882" s="4" t="str">
        <f>IFERROR(__xludf.DUMMYFUNCTION("GOOGLETRANSLATE(D:D,""auto"",""en"")"),"Up things that night snacks 778")</f>
        <v>Up things that night snacks 778</v>
      </c>
      <c r="D1882" s="4" t="s">
        <v>3169</v>
      </c>
      <c r="E1882" s="4">
        <v>8889163.0</v>
      </c>
      <c r="F1882" s="4">
        <v>31.0</v>
      </c>
      <c r="G1882" s="4" t="s">
        <v>3170</v>
      </c>
    </row>
    <row r="1883">
      <c r="A1883" s="1">
        <v>1881.0</v>
      </c>
      <c r="B1883" s="4" t="s">
        <v>3116</v>
      </c>
      <c r="C1883" s="4" t="str">
        <f>IFERROR(__xludf.DUMMYFUNCTION("GOOGLETRANSLATE(D:D,""auto"",""en"")"),"Zhejiang new confirmed cases in 52 cases")</f>
        <v>Zhejiang new confirmed cases in 52 cases</v>
      </c>
      <c r="D1883" s="4" t="s">
        <v>3171</v>
      </c>
      <c r="E1883" s="4">
        <v>8813013.0</v>
      </c>
      <c r="F1883" s="4">
        <v>32.0</v>
      </c>
      <c r="G1883" s="4" t="s">
        <v>3172</v>
      </c>
    </row>
    <row r="1884">
      <c r="A1884" s="1">
        <v>1882.0</v>
      </c>
      <c r="B1884" s="4" t="s">
        <v>3116</v>
      </c>
      <c r="C1884" s="4" t="str">
        <f>IFERROR(__xludf.DUMMYFUNCTION("GOOGLETRANSLATE(D:D,""auto"",""en"")"),"Playing mahjong at home three days causing many infections")</f>
        <v>Playing mahjong at home three days causing many infections</v>
      </c>
      <c r="D1884" s="4" t="s">
        <v>3173</v>
      </c>
      <c r="E1884" s="4">
        <v>8792734.0</v>
      </c>
      <c r="F1884" s="4">
        <v>33.0</v>
      </c>
      <c r="G1884" s="4" t="s">
        <v>3174</v>
      </c>
    </row>
    <row r="1885">
      <c r="A1885" s="1">
        <v>1883.0</v>
      </c>
      <c r="B1885" s="4" t="s">
        <v>3116</v>
      </c>
      <c r="C1885" s="4" t="str">
        <f>IFERROR(__xludf.DUMMYFUNCTION("GOOGLETRANSLATE(D:D,""auto"",""en"")"),"Zhong Nanshan recommended medical staff holiday")</f>
        <v>Zhong Nanshan recommended medical staff holiday</v>
      </c>
      <c r="D1885" s="4" t="s">
        <v>3175</v>
      </c>
      <c r="E1885" s="4">
        <v>8624141.0</v>
      </c>
      <c r="F1885" s="4">
        <v>34.0</v>
      </c>
      <c r="G1885" s="4" t="s">
        <v>3176</v>
      </c>
    </row>
    <row r="1886">
      <c r="A1886" s="1">
        <v>1884.0</v>
      </c>
      <c r="B1886" s="4" t="s">
        <v>3116</v>
      </c>
      <c r="C1886" s="4" t="str">
        <f>IFERROR(__xludf.DUMMYFUNCTION("GOOGLETRANSLATE(D:D,""auto"",""en"")"),"Raytheon Hill Hospital with a transfer window to send medicine")</f>
        <v>Raytheon Hill Hospital with a transfer window to send medicine</v>
      </c>
      <c r="D1886" s="4" t="s">
        <v>3177</v>
      </c>
      <c r="E1886" s="4">
        <v>8569795.0</v>
      </c>
      <c r="F1886" s="4">
        <v>35.0</v>
      </c>
      <c r="G1886" s="4" t="s">
        <v>3178</v>
      </c>
    </row>
    <row r="1887">
      <c r="A1887" s="1">
        <v>1885.0</v>
      </c>
      <c r="B1887" s="4" t="s">
        <v>3116</v>
      </c>
      <c r="C1887" s="4" t="str">
        <f>IFERROR(__xludf.DUMMYFUNCTION("GOOGLETRANSLATE(D:D,""auto"",""en"")"),"Personal conceal the epidemic will be included in the credit blacklist")</f>
        <v>Personal conceal the epidemic will be included in the credit blacklist</v>
      </c>
      <c r="D1887" s="4" t="s">
        <v>3179</v>
      </c>
      <c r="E1887" s="4">
        <v>8431901.0</v>
      </c>
      <c r="F1887" s="4">
        <v>36.0</v>
      </c>
      <c r="G1887" s="4" t="s">
        <v>3180</v>
      </c>
    </row>
    <row r="1888">
      <c r="A1888" s="1">
        <v>1886.0</v>
      </c>
      <c r="B1888" s="4" t="s">
        <v>3116</v>
      </c>
      <c r="C1888" s="4" t="str">
        <f>IFERROR(__xludf.DUMMYFUNCTION("GOOGLETRANSLATE(D:D,""auto"",""en"")"),"Suizhou medical supplies only enough for three days use")</f>
        <v>Suizhou medical supplies only enough for three days use</v>
      </c>
      <c r="D1888" s="4" t="s">
        <v>3181</v>
      </c>
      <c r="E1888" s="4">
        <v>8400141.0</v>
      </c>
      <c r="F1888" s="4">
        <v>37.0</v>
      </c>
      <c r="G1888" s="4" t="s">
        <v>3182</v>
      </c>
    </row>
    <row r="1889">
      <c r="A1889" s="1">
        <v>1887.0</v>
      </c>
      <c r="B1889" s="4" t="s">
        <v>3116</v>
      </c>
      <c r="C1889" s="4" t="str">
        <f>IFERROR(__xludf.DUMMYFUNCTION("GOOGLETRANSLATE(D:D,""auto"",""en"")"),"2860000 African masks charter flights to return home")</f>
        <v>2860000 African masks charter flights to return home</v>
      </c>
      <c r="D1889" s="4" t="s">
        <v>3183</v>
      </c>
      <c r="E1889" s="4">
        <v>8392038.0</v>
      </c>
      <c r="F1889" s="4">
        <v>38.0</v>
      </c>
      <c r="G1889" s="4" t="s">
        <v>3184</v>
      </c>
    </row>
    <row r="1890">
      <c r="A1890" s="1">
        <v>1888.0</v>
      </c>
      <c r="B1890" s="4" t="s">
        <v>3116</v>
      </c>
      <c r="C1890" s="4" t="str">
        <f>IFERROR(__xludf.DUMMYFUNCTION("GOOGLETRANSLATE(D:D,""auto"",""en"")"),"Hubei first batch of five pediatric patients discharged from hospital")</f>
        <v>Hubei first batch of five pediatric patients discharged from hospital</v>
      </c>
      <c r="D1890" s="4" t="s">
        <v>3046</v>
      </c>
      <c r="E1890" s="4">
        <v>8351345.0</v>
      </c>
      <c r="F1890" s="4">
        <v>39.0</v>
      </c>
      <c r="G1890" s="4" t="s">
        <v>3047</v>
      </c>
    </row>
    <row r="1891">
      <c r="A1891" s="1">
        <v>1889.0</v>
      </c>
      <c r="B1891" s="4" t="s">
        <v>3116</v>
      </c>
      <c r="C1891" s="4" t="str">
        <f>IFERROR(__xludf.DUMMYFUNCTION("GOOGLETRANSLATE(D:D,""auto"",""en"")"),"Li Wenliang still in the rescue")</f>
        <v>Li Wenliang still in the rescue</v>
      </c>
      <c r="D1891" s="4" t="s">
        <v>3185</v>
      </c>
      <c r="E1891" s="4">
        <v>8257057.0</v>
      </c>
      <c r="F1891" s="4">
        <v>40.0</v>
      </c>
      <c r="G1891" s="4" t="s">
        <v>3186</v>
      </c>
    </row>
    <row r="1892">
      <c r="A1892" s="1">
        <v>1890.0</v>
      </c>
      <c r="B1892" s="4" t="s">
        <v>3116</v>
      </c>
      <c r="C1892" s="4" t="str">
        <f>IFERROR(__xludf.DUMMYFUNCTION("GOOGLETRANSLATE(D:D,""auto"",""en"")"),"Please kick me kick upstairs")</f>
        <v>Please kick me kick upstairs</v>
      </c>
      <c r="D1892" s="4" t="s">
        <v>3187</v>
      </c>
      <c r="E1892" s="4">
        <v>8181802.0</v>
      </c>
      <c r="F1892" s="4">
        <v>41.0</v>
      </c>
      <c r="G1892" s="4" t="s">
        <v>3188</v>
      </c>
    </row>
    <row r="1893">
      <c r="A1893" s="1">
        <v>1891.0</v>
      </c>
      <c r="B1893" s="4" t="s">
        <v>3116</v>
      </c>
      <c r="C1893" s="4" t="str">
        <f>IFERROR(__xludf.DUMMYFUNCTION("GOOGLETRANSLATE(D:D,""auto"",""en"")"),"Zhong Nanshan drug clinical trials to be careful")</f>
        <v>Zhong Nanshan drug clinical trials to be careful</v>
      </c>
      <c r="D1893" s="4" t="s">
        <v>3050</v>
      </c>
      <c r="E1893" s="4">
        <v>8169503.0</v>
      </c>
      <c r="F1893" s="4">
        <v>42.0</v>
      </c>
      <c r="G1893" s="4" t="s">
        <v>3051</v>
      </c>
    </row>
    <row r="1894">
      <c r="A1894" s="1">
        <v>1892.0</v>
      </c>
      <c r="B1894" s="4" t="s">
        <v>3116</v>
      </c>
      <c r="C1894" s="4" t="str">
        <f>IFERROR(__xludf.DUMMYFUNCTION("GOOGLETRANSLATE(D:D,""auto"",""en"")"),"Computer simulation epidemic trend")</f>
        <v>Computer simulation epidemic trend</v>
      </c>
      <c r="D1894" s="4" t="s">
        <v>3189</v>
      </c>
      <c r="E1894" s="4">
        <v>8086812.0</v>
      </c>
      <c r="F1894" s="4">
        <v>43.0</v>
      </c>
      <c r="G1894" s="4" t="s">
        <v>3190</v>
      </c>
    </row>
    <row r="1895">
      <c r="A1895" s="1">
        <v>1893.0</v>
      </c>
      <c r="B1895" s="4" t="s">
        <v>3116</v>
      </c>
      <c r="C1895" s="4" t="str">
        <f>IFERROR(__xludf.DUMMYFUNCTION("GOOGLETRANSLATE(D:D,""auto"",""en"")"),"Shandong new confirmed cases in 32 cases")</f>
        <v>Shandong new confirmed cases in 32 cases</v>
      </c>
      <c r="D1895" s="4" t="s">
        <v>3191</v>
      </c>
      <c r="E1895" s="4">
        <v>7945466.0</v>
      </c>
      <c r="F1895" s="4">
        <v>44.0</v>
      </c>
      <c r="G1895" s="4" t="s">
        <v>3192</v>
      </c>
    </row>
    <row r="1896">
      <c r="A1896" s="1">
        <v>1894.0</v>
      </c>
      <c r="B1896" s="4" t="s">
        <v>3116</v>
      </c>
      <c r="C1896" s="4" t="str">
        <f>IFERROR(__xludf.DUMMYFUNCTION("GOOGLETRANSLATE(D:D,""auto"",""en"")"),"Jiangsu new confirmed cases in 35 cases")</f>
        <v>Jiangsu new confirmed cases in 35 cases</v>
      </c>
      <c r="D1896" s="4" t="s">
        <v>3193</v>
      </c>
      <c r="E1896" s="4">
        <v>7908361.0</v>
      </c>
      <c r="F1896" s="4">
        <v>45.0</v>
      </c>
      <c r="G1896" s="4" t="s">
        <v>3194</v>
      </c>
    </row>
    <row r="1897">
      <c r="A1897" s="1">
        <v>1895.0</v>
      </c>
      <c r="B1897" s="4" t="s">
        <v>3116</v>
      </c>
      <c r="C1897" s="4" t="str">
        <f>IFERROR(__xludf.DUMMYFUNCTION("GOOGLETRANSLATE(D:D,""auto"",""en"")"),"To confirm or exclude suspected cases faster")</f>
        <v>To confirm or exclude suspected cases faster</v>
      </c>
      <c r="D1897" s="4" t="s">
        <v>3028</v>
      </c>
      <c r="E1897" s="4">
        <v>7787903.0</v>
      </c>
      <c r="F1897" s="4">
        <v>46.0</v>
      </c>
      <c r="G1897" s="4" t="s">
        <v>3029</v>
      </c>
    </row>
    <row r="1898">
      <c r="A1898" s="1">
        <v>1896.0</v>
      </c>
      <c r="B1898" s="4" t="s">
        <v>3116</v>
      </c>
      <c r="C1898" s="4" t="str">
        <f>IFERROR(__xludf.DUMMYFUNCTION("GOOGLETRANSLATE(D:D,""auto"",""en"")"),"Four rows maturity date will be automatically extended")</f>
        <v>Four rows maturity date will be automatically extended</v>
      </c>
      <c r="D1898" s="4" t="s">
        <v>3195</v>
      </c>
      <c r="E1898" s="4">
        <v>7712973.0</v>
      </c>
      <c r="F1898" s="4">
        <v>47.0</v>
      </c>
      <c r="G1898" s="4" t="s">
        <v>3196</v>
      </c>
    </row>
    <row r="1899">
      <c r="A1899" s="1">
        <v>1897.0</v>
      </c>
      <c r="B1899" s="4" t="s">
        <v>3116</v>
      </c>
      <c r="C1899" s="4" t="str">
        <f>IFERROR(__xludf.DUMMYFUNCTION("GOOGLETRANSLATE(D:D,""auto"",""en"")"),"Not to sell two kilograms of celery pound donated all Wuhan")</f>
        <v>Not to sell two kilograms of celery pound donated all Wuhan</v>
      </c>
      <c r="D1899" s="4" t="s">
        <v>3197</v>
      </c>
      <c r="E1899" s="4">
        <v>7710707.0</v>
      </c>
      <c r="F1899" s="4">
        <v>48.0</v>
      </c>
      <c r="G1899" s="4" t="s">
        <v>3198</v>
      </c>
    </row>
    <row r="1900">
      <c r="A1900" s="1">
        <v>1898.0</v>
      </c>
      <c r="B1900" s="4" t="s">
        <v>3116</v>
      </c>
      <c r="C1900" s="4" t="str">
        <f>IFERROR(__xludf.DUMMYFUNCTION("GOOGLETRANSLATE(D:D,""auto"",""en"")"),"Mo Mountain mudra gesture")</f>
        <v>Mo Mountain mudra gesture</v>
      </c>
      <c r="D1900" s="4" t="s">
        <v>3199</v>
      </c>
      <c r="E1900" s="4">
        <v>7704903.0</v>
      </c>
      <c r="F1900" s="4">
        <v>49.0</v>
      </c>
      <c r="G1900" s="4" t="s">
        <v>3200</v>
      </c>
    </row>
    <row r="1901">
      <c r="A1901" s="1">
        <v>1899.0</v>
      </c>
      <c r="B1901" s="4" t="s">
        <v>3116</v>
      </c>
      <c r="C1901" s="4" t="str">
        <f>IFERROR(__xludf.DUMMYFUNCTION("GOOGLETRANSLATE(D:D,""auto"",""en"")"),"Dr. Li Wenliang family safe")</f>
        <v>Dr. Li Wenliang family safe</v>
      </c>
      <c r="D1901" s="4" t="s">
        <v>3201</v>
      </c>
      <c r="E1901" s="4">
        <v>7690262.0</v>
      </c>
      <c r="F1901" s="4">
        <v>50.0</v>
      </c>
      <c r="G1901" s="4" t="s">
        <v>3202</v>
      </c>
    </row>
    <row r="1902">
      <c r="A1902" s="1">
        <v>1900.0</v>
      </c>
      <c r="B1902" s="4" t="s">
        <v>3203</v>
      </c>
      <c r="C1902" s="4" t="str">
        <f>IFERROR(__xludf.DUMMYFUNCTION("GOOGLETRANSLATE(D:D,""auto"",""en"")"),"The national total of 34,546 cases of pneumonia diagnosed with the new crown")</f>
        <v>The national total of 34,546 cases of pneumonia diagnosed with the new crown</v>
      </c>
      <c r="D1902" s="4" t="s">
        <v>3204</v>
      </c>
      <c r="E1902" s="4">
        <v>1.3105639E7</v>
      </c>
      <c r="F1902" s="4">
        <v>1.0</v>
      </c>
      <c r="G1902" s="4" t="s">
        <v>3205</v>
      </c>
    </row>
    <row r="1903">
      <c r="A1903" s="1">
        <v>1901.0</v>
      </c>
      <c r="B1903" s="4" t="s">
        <v>3203</v>
      </c>
      <c r="C1903" s="4" t="str">
        <f>IFERROR(__xludf.DUMMYFUNCTION("GOOGLETRANSLATE(D:D,""auto"",""en"")"),"China supports the global fight against the epidemic vocal politicians")</f>
        <v>China supports the global fight against the epidemic vocal politicians</v>
      </c>
      <c r="D1903" s="4" t="s">
        <v>3206</v>
      </c>
      <c r="E1903" s="4">
        <v>1.2772836E7</v>
      </c>
      <c r="F1903" s="4">
        <v>2.0</v>
      </c>
      <c r="G1903" s="4" t="s">
        <v>3207</v>
      </c>
    </row>
    <row r="1904">
      <c r="A1904" s="1">
        <v>1902.0</v>
      </c>
      <c r="B1904" s="4" t="s">
        <v>3203</v>
      </c>
      <c r="C1904" s="4" t="str">
        <f>IFERROR(__xludf.DUMMYFUNCTION("GOOGLETRANSLATE(D:D,""auto"",""en"")"),"To arrange time off work during the Spring Festival to extend the fake")</f>
        <v>To arrange time off work during the Spring Festival to extend the fake</v>
      </c>
      <c r="D1904" s="4" t="s">
        <v>3208</v>
      </c>
      <c r="E1904" s="4">
        <v>1.2416891E7</v>
      </c>
      <c r="F1904" s="4">
        <v>3.0</v>
      </c>
      <c r="G1904" s="4" t="s">
        <v>3209</v>
      </c>
    </row>
    <row r="1905">
      <c r="A1905" s="1">
        <v>1903.0</v>
      </c>
      <c r="B1905" s="4" t="s">
        <v>3203</v>
      </c>
      <c r="C1905" s="4" t="str">
        <f>IFERROR(__xludf.DUMMYFUNCTION("GOOGLETRANSLATE(D:D,""auto"",""en"")"),"Lantern festival")</f>
        <v>Lantern festival</v>
      </c>
      <c r="D1905" s="4" t="s">
        <v>3210</v>
      </c>
      <c r="E1905" s="4">
        <v>1.2066518E7</v>
      </c>
      <c r="F1905" s="4">
        <v>4.0</v>
      </c>
      <c r="G1905" s="4" t="s">
        <v>3211</v>
      </c>
    </row>
    <row r="1906">
      <c r="A1906" s="1">
        <v>1904.0</v>
      </c>
      <c r="B1906" s="4" t="s">
        <v>3203</v>
      </c>
      <c r="C1906" s="4" t="str">
        <f>IFERROR(__xludf.DUMMYFUNCTION("GOOGLETRANSLATE(D:D,""auto"",""en"")"),"White light box with nine Phoenix")</f>
        <v>White light box with nine Phoenix</v>
      </c>
      <c r="D1906" s="4" t="s">
        <v>3212</v>
      </c>
      <c r="E1906" s="4">
        <v>1.1866038E7</v>
      </c>
      <c r="F1906" s="4">
        <v>5.0</v>
      </c>
      <c r="G1906" s="4" t="s">
        <v>3213</v>
      </c>
    </row>
    <row r="1907">
      <c r="A1907" s="1">
        <v>1905.0</v>
      </c>
      <c r="B1907" s="4" t="s">
        <v>3203</v>
      </c>
      <c r="C1907" s="4" t="str">
        <f>IFERROR(__xludf.DUMMYFUNCTION("GOOGLETRANSLATE(D:D,""auto"",""en"")"),"Wuhan citizens flowers of condolence Li Wenliang")</f>
        <v>Wuhan citizens flowers of condolence Li Wenliang</v>
      </c>
      <c r="D1907" s="4" t="s">
        <v>3214</v>
      </c>
      <c r="E1907" s="4">
        <v>1.1760715E7</v>
      </c>
      <c r="F1907" s="4">
        <v>6.0</v>
      </c>
      <c r="G1907" s="4" t="s">
        <v>3215</v>
      </c>
    </row>
    <row r="1908">
      <c r="A1908" s="1">
        <v>1906.0</v>
      </c>
      <c r="B1908" s="4" t="s">
        <v>3203</v>
      </c>
      <c r="C1908" s="4" t="str">
        <f>IFERROR(__xludf.DUMMYFUNCTION("GOOGLETRANSLATE(D:D,""auto"",""en"")"),"Hyaluronic acid can wash your hair")</f>
        <v>Hyaluronic acid can wash your hair</v>
      </c>
      <c r="D1908" s="4" t="s">
        <v>3216</v>
      </c>
      <c r="E1908" s="4">
        <v>1.1589569E7</v>
      </c>
      <c r="F1908" s="4">
        <v>7.0</v>
      </c>
      <c r="G1908" s="4" t="s">
        <v>3217</v>
      </c>
    </row>
    <row r="1909">
      <c r="A1909" s="1">
        <v>1907.0</v>
      </c>
      <c r="B1909" s="4" t="s">
        <v>3203</v>
      </c>
      <c r="C1909" s="4" t="str">
        <f>IFERROR(__xludf.DUMMYFUNCTION("GOOGLETRANSLATE(D:D,""auto"",""en"")"),"Zhejiang new cases of 42 cases")</f>
        <v>Zhejiang new cases of 42 cases</v>
      </c>
      <c r="D1909" s="4" t="s">
        <v>3218</v>
      </c>
      <c r="E1909" s="4">
        <v>1.1418423E7</v>
      </c>
      <c r="F1909" s="4">
        <v>8.0</v>
      </c>
      <c r="G1909" s="4" t="s">
        <v>3219</v>
      </c>
    </row>
    <row r="1910">
      <c r="A1910" s="1">
        <v>1908.0</v>
      </c>
      <c r="B1910" s="4" t="s">
        <v>3203</v>
      </c>
      <c r="C1910" s="4" t="str">
        <f>IFERROR(__xludf.DUMMYFUNCTION("GOOGLETRANSLATE(D:D,""auto"",""en"")"),"Anhui new confirmed cases in 68 cases")</f>
        <v>Anhui new confirmed cases in 68 cases</v>
      </c>
      <c r="D1910" s="4" t="s">
        <v>3220</v>
      </c>
      <c r="E1910" s="4">
        <v>1.1133553E7</v>
      </c>
      <c r="F1910" s="4">
        <v>9.0</v>
      </c>
      <c r="G1910" s="4" t="s">
        <v>3221</v>
      </c>
    </row>
    <row r="1911">
      <c r="A1911" s="1">
        <v>1909.0</v>
      </c>
      <c r="B1911" s="4" t="s">
        <v>3203</v>
      </c>
      <c r="C1911" s="4" t="str">
        <f>IFERROR(__xludf.DUMMYFUNCTION("GOOGLETRANSLATE(D:D,""auto"",""en"")"),"Vega mother is a two-song CP powder")</f>
        <v>Vega mother is a two-song CP powder</v>
      </c>
      <c r="D1911" s="4" t="s">
        <v>3222</v>
      </c>
      <c r="E1911" s="4">
        <v>1.0870773E7</v>
      </c>
      <c r="F1911" s="4">
        <v>10.0</v>
      </c>
      <c r="G1911" s="4" t="s">
        <v>3223</v>
      </c>
    </row>
    <row r="1912">
      <c r="A1912" s="1">
        <v>1910.0</v>
      </c>
      <c r="B1912" s="4" t="s">
        <v>3203</v>
      </c>
      <c r="C1912" s="4" t="str">
        <f>IFERROR(__xludf.DUMMYFUNCTION("GOOGLETRANSLATE(D:D,""auto"",""en"")"),"Adorable baby balcony shouted Xiangchuquwan discouraging neighbors")</f>
        <v>Adorable baby balcony shouted Xiangchuquwan discouraging neighbors</v>
      </c>
      <c r="D1912" s="4" t="s">
        <v>3224</v>
      </c>
      <c r="E1912" s="4">
        <v>1.0704026E7</v>
      </c>
      <c r="F1912" s="4">
        <v>11.0</v>
      </c>
      <c r="G1912" s="4" t="s">
        <v>3225</v>
      </c>
    </row>
    <row r="1913">
      <c r="A1913" s="1">
        <v>1911.0</v>
      </c>
      <c r="B1913" s="4" t="s">
        <v>3203</v>
      </c>
      <c r="C1913" s="4" t="str">
        <f>IFERROR(__xludf.DUMMYFUNCTION("GOOGLETRANSLATE(D:D,""auto"",""en"")"),"Computer simulation epidemic trend")</f>
        <v>Computer simulation epidemic trend</v>
      </c>
      <c r="D1913" s="4" t="s">
        <v>3189</v>
      </c>
      <c r="E1913" s="4">
        <v>1.0685699E7</v>
      </c>
      <c r="F1913" s="4">
        <v>12.0</v>
      </c>
      <c r="G1913" s="4" t="s">
        <v>3190</v>
      </c>
    </row>
    <row r="1914">
      <c r="A1914" s="1">
        <v>1912.0</v>
      </c>
      <c r="B1914" s="4" t="s">
        <v>3203</v>
      </c>
      <c r="C1914" s="4" t="str">
        <f>IFERROR(__xludf.DUMMYFUNCTION("GOOGLETRANSLATE(D:D,""auto"",""en"")"),"A transducer 5 N95 disposable medical masks")</f>
        <v>A transducer 5 N95 disposable medical masks</v>
      </c>
      <c r="D1914" s="4" t="s">
        <v>3226</v>
      </c>
      <c r="E1914" s="4">
        <v>1.0570636E7</v>
      </c>
      <c r="F1914" s="4">
        <v>13.0</v>
      </c>
      <c r="G1914" s="4" t="s">
        <v>3227</v>
      </c>
    </row>
    <row r="1915">
      <c r="A1915" s="1">
        <v>1913.0</v>
      </c>
      <c r="B1915" s="4" t="s">
        <v>3203</v>
      </c>
      <c r="C1915" s="4" t="str">
        <f>IFERROR(__xludf.DUMMYFUNCTION("GOOGLETRANSLATE(D:D,""auto"",""en"")"),"16 provinces and one city support a province of Hubei package")</f>
        <v>16 provinces and one city support a province of Hubei package</v>
      </c>
      <c r="D1915" s="4" t="s">
        <v>3228</v>
      </c>
      <c r="E1915" s="4">
        <v>1.0474883E7</v>
      </c>
      <c r="F1915" s="4">
        <v>14.0</v>
      </c>
      <c r="G1915" s="4" t="s">
        <v>3229</v>
      </c>
    </row>
    <row r="1916">
      <c r="A1916" s="1">
        <v>1914.0</v>
      </c>
      <c r="B1916" s="4" t="s">
        <v>3203</v>
      </c>
      <c r="C1916" s="4" t="str">
        <f>IFERROR(__xludf.DUMMYFUNCTION("GOOGLETRANSLATE(D:D,""auto"",""en"")"),"Hubei new cases outside a fall of four days")</f>
        <v>Hubei new cases outside a fall of four days</v>
      </c>
      <c r="D1916" s="4" t="s">
        <v>3230</v>
      </c>
      <c r="E1916" s="4">
        <v>1.0442355E7</v>
      </c>
      <c r="F1916" s="4">
        <v>15.0</v>
      </c>
      <c r="G1916" s="4" t="s">
        <v>3231</v>
      </c>
    </row>
    <row r="1917">
      <c r="A1917" s="1">
        <v>1915.0</v>
      </c>
      <c r="B1917" s="4" t="s">
        <v>3203</v>
      </c>
      <c r="C1917" s="4" t="str">
        <f>IFERROR(__xludf.DUMMYFUNCTION("GOOGLETRANSLATE(D:D,""auto"",""en"")"),"Throat infection occurs nucleic acid detection yin")</f>
        <v>Throat infection occurs nucleic acid detection yin</v>
      </c>
      <c r="D1917" s="4" t="s">
        <v>3232</v>
      </c>
      <c r="E1917" s="4">
        <v>1.0408464E7</v>
      </c>
      <c r="F1917" s="4">
        <v>16.0</v>
      </c>
      <c r="G1917" s="4" t="s">
        <v>3233</v>
      </c>
    </row>
    <row r="1918">
      <c r="A1918" s="1">
        <v>1916.0</v>
      </c>
      <c r="B1918" s="4" t="s">
        <v>3203</v>
      </c>
      <c r="C1918" s="4" t="str">
        <f>IFERROR(__xludf.DUMMYFUNCTION("GOOGLETRANSLATE(D:D,""auto"",""en"")"),"Personnel on duty those days the snow")</f>
        <v>Personnel on duty those days the snow</v>
      </c>
      <c r="D1918" s="4" t="s">
        <v>3234</v>
      </c>
      <c r="E1918" s="4">
        <v>1.0275165E7</v>
      </c>
      <c r="F1918" s="4">
        <v>17.0</v>
      </c>
      <c r="G1918" s="4" t="s">
        <v>3235</v>
      </c>
    </row>
    <row r="1919">
      <c r="A1919" s="1">
        <v>1917.0</v>
      </c>
      <c r="B1919" s="4" t="s">
        <v>3203</v>
      </c>
      <c r="C1919" s="4" t="str">
        <f>IFERROR(__xludf.DUMMYFUNCTION("GOOGLETRANSLATE(D:D,""auto"",""en"")"),"Beijing first announced the number of suspected cases")</f>
        <v>Beijing first announced the number of suspected cases</v>
      </c>
      <c r="D1919" s="4" t="s">
        <v>3236</v>
      </c>
      <c r="E1919" s="4">
        <v>1.0264226E7</v>
      </c>
      <c r="F1919" s="4">
        <v>18.0</v>
      </c>
      <c r="G1919" s="4" t="s">
        <v>3237</v>
      </c>
    </row>
    <row r="1920">
      <c r="A1920" s="1">
        <v>1918.0</v>
      </c>
      <c r="B1920" s="4" t="s">
        <v>3203</v>
      </c>
      <c r="C1920" s="4" t="str">
        <f>IFERROR(__xludf.DUMMYFUNCTION("GOOGLETRANSLATE(D:D,""auto"",""en"")"),"Yang Mi shallow white wedding style")</f>
        <v>Yang Mi shallow white wedding style</v>
      </c>
      <c r="D1920" s="4" t="s">
        <v>3238</v>
      </c>
      <c r="E1920" s="4">
        <v>1.0149655E7</v>
      </c>
      <c r="F1920" s="4">
        <v>19.0</v>
      </c>
      <c r="G1920" s="4" t="s">
        <v>3239</v>
      </c>
    </row>
    <row r="1921">
      <c r="A1921" s="1">
        <v>1919.0</v>
      </c>
      <c r="B1921" s="4" t="s">
        <v>3203</v>
      </c>
      <c r="C1921" s="4" t="str">
        <f>IFERROR(__xludf.DUMMYFUNCTION("GOOGLETRANSLATE(D:D,""auto"",""en"")"),"Li Xiao Zhan Sui Ping")</f>
        <v>Li Xiao Zhan Sui Ping</v>
      </c>
      <c r="D1921" s="4" t="s">
        <v>3240</v>
      </c>
      <c r="E1921" s="4">
        <v>1.0049615E7</v>
      </c>
      <c r="F1921" s="4">
        <v>20.0</v>
      </c>
      <c r="G1921" s="4" t="s">
        <v>3241</v>
      </c>
    </row>
    <row r="1922">
      <c r="A1922" s="1">
        <v>1920.0</v>
      </c>
      <c r="B1922" s="4" t="s">
        <v>3203</v>
      </c>
      <c r="C1922" s="4" t="str">
        <f>IFERROR(__xludf.DUMMYFUNCTION("GOOGLETRANSLATE(D:D,""auto"",""en"")"),"Up things that night snacks 778")</f>
        <v>Up things that night snacks 778</v>
      </c>
      <c r="D1922" s="4" t="s">
        <v>3169</v>
      </c>
      <c r="E1922" s="4">
        <v>1.0035371E7</v>
      </c>
      <c r="F1922" s="4">
        <v>21.0</v>
      </c>
      <c r="G1922" s="4" t="s">
        <v>3170</v>
      </c>
    </row>
    <row r="1923">
      <c r="A1923" s="1">
        <v>1921.0</v>
      </c>
      <c r="B1923" s="4" t="s">
        <v>3203</v>
      </c>
      <c r="C1923" s="4" t="str">
        <f>IFERROR(__xludf.DUMMYFUNCTION("GOOGLETRANSLATE(D:D,""auto"",""en"")"),"Huachen Yu juvenile Jackdaws")</f>
        <v>Huachen Yu juvenile Jackdaws</v>
      </c>
      <c r="D1923" s="4" t="s">
        <v>3242</v>
      </c>
      <c r="E1923" s="4">
        <v>9614896.0</v>
      </c>
      <c r="F1923" s="4">
        <v>22.0</v>
      </c>
      <c r="G1923" s="4" t="s">
        <v>3243</v>
      </c>
    </row>
    <row r="1924">
      <c r="A1924" s="1">
        <v>1922.0</v>
      </c>
      <c r="B1924" s="4" t="s">
        <v>3203</v>
      </c>
      <c r="C1924" s="4" t="str">
        <f>IFERROR(__xludf.DUMMYFUNCTION("GOOGLETRANSLATE(D:D,""auto"",""en"")"),"Week deep fish")</f>
        <v>Week deep fish</v>
      </c>
      <c r="D1924" s="4" t="s">
        <v>3244</v>
      </c>
      <c r="E1924" s="4">
        <v>9591668.0</v>
      </c>
      <c r="F1924" s="4">
        <v>23.0</v>
      </c>
      <c r="G1924" s="4" t="s">
        <v>3245</v>
      </c>
    </row>
    <row r="1925">
      <c r="A1925" s="1">
        <v>1923.0</v>
      </c>
      <c r="B1925" s="4" t="s">
        <v>3203</v>
      </c>
      <c r="C1925" s="4" t="str">
        <f>IFERROR(__xludf.DUMMYFUNCTION("GOOGLETRANSLATE(D:D,""auto"",""en"")"),"Please kick me kick upstairs")</f>
        <v>Please kick me kick upstairs</v>
      </c>
      <c r="D1925" s="4" t="s">
        <v>3187</v>
      </c>
      <c r="E1925" s="4">
        <v>9369124.0</v>
      </c>
      <c r="F1925" s="4">
        <v>24.0</v>
      </c>
      <c r="G1925" s="4" t="s">
        <v>3188</v>
      </c>
    </row>
    <row r="1926">
      <c r="A1926" s="1">
        <v>1924.0</v>
      </c>
      <c r="B1926" s="4" t="s">
        <v>3203</v>
      </c>
      <c r="C1926" s="4" t="str">
        <f>IFERROR(__xludf.DUMMYFUNCTION("GOOGLETRANSLATE(D:D,""auto"",""en"")"),"CCTV really touching poetry recitation")</f>
        <v>CCTV really touching poetry recitation</v>
      </c>
      <c r="D1926" s="4" t="s">
        <v>3246</v>
      </c>
      <c r="E1926" s="4">
        <v>9259687.0</v>
      </c>
      <c r="F1926" s="4">
        <v>25.0</v>
      </c>
      <c r="G1926" s="4" t="s">
        <v>3247</v>
      </c>
    </row>
    <row r="1927">
      <c r="A1927" s="1">
        <v>1925.0</v>
      </c>
      <c r="B1927" s="4" t="s">
        <v>3203</v>
      </c>
      <c r="C1927" s="4" t="str">
        <f>IFERROR(__xludf.DUMMYFUNCTION("GOOGLETRANSLATE(D:D,""auto"",""en"")"),"Contagion front-line police tired to fall asleep standing up")</f>
        <v>Contagion front-line police tired to fall asleep standing up</v>
      </c>
      <c r="D1927" s="4" t="s">
        <v>3248</v>
      </c>
      <c r="E1927" s="4">
        <v>9247096.0</v>
      </c>
      <c r="F1927" s="4">
        <v>26.0</v>
      </c>
      <c r="G1927" s="4" t="s">
        <v>3249</v>
      </c>
    </row>
    <row r="1928">
      <c r="A1928" s="1">
        <v>1926.0</v>
      </c>
      <c r="B1928" s="4" t="s">
        <v>3203</v>
      </c>
      <c r="C1928" s="4" t="str">
        <f>IFERROR(__xludf.DUMMYFUNCTION("GOOGLETRANSLATE(D:D,""auto"",""en"")"),"Shandong new confirmed cases in 21 cases")</f>
        <v>Shandong new confirmed cases in 21 cases</v>
      </c>
      <c r="D1928" s="4" t="s">
        <v>3250</v>
      </c>
      <c r="E1928" s="4">
        <v>9150884.0</v>
      </c>
      <c r="F1928" s="4">
        <v>27.0</v>
      </c>
      <c r="G1928" s="4" t="s">
        <v>3251</v>
      </c>
    </row>
    <row r="1929">
      <c r="A1929" s="1">
        <v>1927.0</v>
      </c>
      <c r="B1929" s="4" t="s">
        <v>3203</v>
      </c>
      <c r="C1929" s="4" t="str">
        <f>IFERROR(__xludf.DUMMYFUNCTION("GOOGLETRANSLATE(D:D,""auto"",""en"")"),"Li Wenliang sound wife")</f>
        <v>Li Wenliang sound wife</v>
      </c>
      <c r="D1929" s="4" t="s">
        <v>3252</v>
      </c>
      <c r="E1929" s="4">
        <v>9147895.0</v>
      </c>
      <c r="F1929" s="4">
        <v>28.0</v>
      </c>
      <c r="G1929" s="4" t="s">
        <v>3253</v>
      </c>
    </row>
    <row r="1930">
      <c r="A1930" s="1">
        <v>1928.0</v>
      </c>
      <c r="B1930" s="4" t="s">
        <v>3203</v>
      </c>
      <c r="C1930" s="4" t="str">
        <f>IFERROR(__xludf.DUMMYFUNCTION("GOOGLETRANSLATE(D:D,""auto"",""en"")"),"After about 90 nurses rush to the rescue Wuhan retrograde experience")</f>
        <v>After about 90 nurses rush to the rescue Wuhan retrograde experience</v>
      </c>
      <c r="D1930" s="4" t="s">
        <v>3254</v>
      </c>
      <c r="E1930" s="4">
        <v>9130563.0</v>
      </c>
      <c r="F1930" s="4">
        <v>29.0</v>
      </c>
      <c r="G1930" s="4" t="s">
        <v>3255</v>
      </c>
    </row>
    <row r="1931">
      <c r="A1931" s="1">
        <v>1929.0</v>
      </c>
      <c r="B1931" s="4" t="s">
        <v>3203</v>
      </c>
      <c r="C1931" s="4" t="str">
        <f>IFERROR(__xludf.DUMMYFUNCTION("GOOGLETRANSLATE(D:D,""auto"",""en"")"),"Rice cooker cake")</f>
        <v>Rice cooker cake</v>
      </c>
      <c r="D1931" s="4" t="s">
        <v>3165</v>
      </c>
      <c r="E1931" s="4">
        <v>9095155.0</v>
      </c>
      <c r="F1931" s="4">
        <v>30.0</v>
      </c>
      <c r="G1931" s="4" t="s">
        <v>3166</v>
      </c>
    </row>
    <row r="1932">
      <c r="A1932" s="1">
        <v>1930.0</v>
      </c>
      <c r="B1932" s="4" t="s">
        <v>3203</v>
      </c>
      <c r="C1932" s="4" t="str">
        <f>IFERROR(__xludf.DUMMYFUNCTION("GOOGLETRANSLATE(D:D,""auto"",""en"")"),"Central Steering Group went to Hubei requirements due are collected")</f>
        <v>Central Steering Group went to Hubei requirements due are collected</v>
      </c>
      <c r="D1932" s="4" t="s">
        <v>3256</v>
      </c>
      <c r="E1932" s="4">
        <v>9024632.0</v>
      </c>
      <c r="F1932" s="4">
        <v>31.0</v>
      </c>
      <c r="G1932" s="4" t="s">
        <v>3257</v>
      </c>
    </row>
    <row r="1933">
      <c r="A1933" s="1">
        <v>1931.0</v>
      </c>
      <c r="B1933" s="4" t="s">
        <v>3203</v>
      </c>
      <c r="C1933" s="4" t="str">
        <f>IFERROR(__xludf.DUMMYFUNCTION("GOOGLETRANSLATE(D:D,""auto"",""en"")"),"Many provinces are not opening before the end of February")</f>
        <v>Many provinces are not opening before the end of February</v>
      </c>
      <c r="D1933" s="4" t="s">
        <v>3258</v>
      </c>
      <c r="E1933" s="4">
        <v>8944926.0</v>
      </c>
      <c r="F1933" s="4">
        <v>32.0</v>
      </c>
      <c r="G1933" s="4" t="s">
        <v>3259</v>
      </c>
    </row>
    <row r="1934">
      <c r="A1934" s="1">
        <v>1932.0</v>
      </c>
      <c r="B1934" s="4" t="s">
        <v>3203</v>
      </c>
      <c r="C1934" s="4" t="str">
        <f>IFERROR(__xludf.DUMMYFUNCTION("GOOGLETRANSLATE(D:D,""auto"",""en"")"),"Hubei outbreak presents urban sprawl trend to rural areas")</f>
        <v>Hubei outbreak presents urban sprawl trend to rural areas</v>
      </c>
      <c r="D1934" s="4" t="s">
        <v>3260</v>
      </c>
      <c r="E1934" s="4">
        <v>8928495.0</v>
      </c>
      <c r="F1934" s="4">
        <v>33.0</v>
      </c>
      <c r="G1934" s="4" t="s">
        <v>3261</v>
      </c>
    </row>
    <row r="1935">
      <c r="A1935" s="1">
        <v>1933.0</v>
      </c>
      <c r="B1935" s="4" t="s">
        <v>3203</v>
      </c>
      <c r="C1935" s="4" t="str">
        <f>IFERROR(__xludf.DUMMYFUNCTION("GOOGLETRANSLATE(D:D,""auto"",""en"")"),"Hubei new confirmed cases 2841 cases")</f>
        <v>Hubei new confirmed cases 2841 cases</v>
      </c>
      <c r="D1935" s="4" t="s">
        <v>3262</v>
      </c>
      <c r="E1935" s="4">
        <v>8926525.0</v>
      </c>
      <c r="F1935" s="4">
        <v>34.0</v>
      </c>
      <c r="G1935" s="4" t="s">
        <v>3263</v>
      </c>
    </row>
    <row r="1936">
      <c r="A1936" s="1">
        <v>1934.0</v>
      </c>
      <c r="B1936" s="4" t="s">
        <v>3203</v>
      </c>
      <c r="C1936" s="4" t="str">
        <f>IFERROR(__xludf.DUMMYFUNCTION("GOOGLETRANSLATE(D:D,""auto"",""en"")"),"Pull tight critically ill patients the doctor's hand after extubation")</f>
        <v>Pull tight critically ill patients the doctor's hand after extubation</v>
      </c>
      <c r="D1936" s="4" t="s">
        <v>3264</v>
      </c>
      <c r="E1936" s="4">
        <v>8912437.0</v>
      </c>
      <c r="F1936" s="4">
        <v>35.0</v>
      </c>
      <c r="G1936" s="4" t="s">
        <v>3265</v>
      </c>
    </row>
    <row r="1937">
      <c r="A1937" s="1">
        <v>1935.0</v>
      </c>
      <c r="B1937" s="4" t="s">
        <v>3203</v>
      </c>
      <c r="C1937" s="4" t="str">
        <f>IFERROR(__xludf.DUMMYFUNCTION("GOOGLETRANSLATE(D:D,""auto"",""en"")"),"Kangaroo care is male doctor in preterm children 90")</f>
        <v>Kangaroo care is male doctor in preterm children 90</v>
      </c>
      <c r="D1937" s="4" t="s">
        <v>3266</v>
      </c>
      <c r="E1937" s="4">
        <v>8904378.0</v>
      </c>
      <c r="F1937" s="4">
        <v>36.0</v>
      </c>
      <c r="G1937" s="4" t="s">
        <v>3267</v>
      </c>
    </row>
    <row r="1938">
      <c r="A1938" s="1">
        <v>1936.0</v>
      </c>
      <c r="B1938" s="4" t="s">
        <v>3203</v>
      </c>
      <c r="C1938" s="4" t="str">
        <f>IFERROR(__xludf.DUMMYFUNCTION("GOOGLETRANSLATE(D:D,""auto"",""en"")"),"Hardcore aunt when the doll clothes Protective Clothing")</f>
        <v>Hardcore aunt when the doll clothes Protective Clothing</v>
      </c>
      <c r="D1938" s="4" t="s">
        <v>3268</v>
      </c>
      <c r="E1938" s="4">
        <v>8836248.0</v>
      </c>
      <c r="F1938" s="4">
        <v>37.0</v>
      </c>
      <c r="G1938" s="4" t="s">
        <v>3269</v>
      </c>
    </row>
    <row r="1939">
      <c r="A1939" s="1">
        <v>1937.0</v>
      </c>
      <c r="B1939" s="4" t="s">
        <v>3203</v>
      </c>
      <c r="C1939" s="4" t="str">
        <f>IFERROR(__xludf.DUMMYFUNCTION("GOOGLETRANSLATE(D:D,""auto"",""en"")"),"Hebei new confirmed cases in 24 cases")</f>
        <v>Hebei new confirmed cases in 24 cases</v>
      </c>
      <c r="D1939" s="4" t="s">
        <v>3270</v>
      </c>
      <c r="E1939" s="4">
        <v>8816204.0</v>
      </c>
      <c r="F1939" s="4">
        <v>38.0</v>
      </c>
      <c r="G1939" s="4" t="s">
        <v>3271</v>
      </c>
    </row>
    <row r="1940">
      <c r="A1940" s="1">
        <v>1938.0</v>
      </c>
      <c r="B1940" s="4" t="s">
        <v>3203</v>
      </c>
      <c r="C1940" s="4" t="str">
        <f>IFERROR(__xludf.DUMMYFUNCTION("GOOGLETRANSLATE(D:D,""auto"",""en"")"),"Lantern Festival evening empty auditorium")</f>
        <v>Lantern Festival evening empty auditorium</v>
      </c>
      <c r="D1940" s="4" t="s">
        <v>3272</v>
      </c>
      <c r="E1940" s="4">
        <v>8773467.0</v>
      </c>
      <c r="F1940" s="4">
        <v>39.0</v>
      </c>
      <c r="G1940" s="4" t="s">
        <v>3273</v>
      </c>
    </row>
    <row r="1941">
      <c r="A1941" s="1">
        <v>1939.0</v>
      </c>
      <c r="B1941" s="4" t="s">
        <v>3203</v>
      </c>
      <c r="C1941" s="4" t="str">
        <f>IFERROR(__xludf.DUMMYFUNCTION("GOOGLETRANSLATE(D:D,""auto"",""en"")"),"Jiangsu new confirmed cases in 31 cases")</f>
        <v>Jiangsu new confirmed cases in 31 cases</v>
      </c>
      <c r="D1941" s="4" t="s">
        <v>3274</v>
      </c>
      <c r="E1941" s="4">
        <v>8665393.0</v>
      </c>
      <c r="F1941" s="4">
        <v>40.0</v>
      </c>
      <c r="G1941" s="4" t="s">
        <v>3275</v>
      </c>
    </row>
    <row r="1942">
      <c r="A1942" s="1">
        <v>1940.0</v>
      </c>
      <c r="B1942" s="4" t="s">
        <v>3203</v>
      </c>
      <c r="C1942" s="4" t="str">
        <f>IFERROR(__xludf.DUMMYFUNCTION("GOOGLETRANSLATE(D:D,""auto"",""en"")"),"CCTV Lantern Festival party special program adjusted to the fight against SARS")</f>
        <v>CCTV Lantern Festival party special program adjusted to the fight against SARS</v>
      </c>
      <c r="D1942" s="4" t="s">
        <v>3276</v>
      </c>
      <c r="E1942" s="4">
        <v>8653421.0</v>
      </c>
      <c r="F1942" s="4">
        <v>41.0</v>
      </c>
      <c r="G1942" s="4" t="s">
        <v>3277</v>
      </c>
    </row>
    <row r="1943">
      <c r="A1943" s="1">
        <v>1941.0</v>
      </c>
      <c r="B1943" s="4" t="s">
        <v>3203</v>
      </c>
      <c r="C1943" s="4" t="str">
        <f>IFERROR(__xludf.DUMMYFUNCTION("GOOGLETRANSLATE(D:D,""auto"",""en"")"),"Wolf disco sounds again accompaniment author")</f>
        <v>Wolf disco sounds again accompaniment author</v>
      </c>
      <c r="D1943" s="4" t="s">
        <v>3278</v>
      </c>
      <c r="E1943" s="4">
        <v>8577829.0</v>
      </c>
      <c r="F1943" s="4">
        <v>42.0</v>
      </c>
      <c r="G1943" s="4" t="s">
        <v>3279</v>
      </c>
    </row>
    <row r="1944">
      <c r="A1944" s="1">
        <v>1942.0</v>
      </c>
      <c r="B1944" s="4" t="s">
        <v>3203</v>
      </c>
      <c r="C1944" s="4" t="str">
        <f>IFERROR(__xludf.DUMMYFUNCTION("GOOGLETRANSLATE(D:D,""auto"",""en"")"),"Site visits to the shelter hospital in Wuhan")</f>
        <v>Site visits to the shelter hospital in Wuhan</v>
      </c>
      <c r="D1944" s="4" t="s">
        <v>3280</v>
      </c>
      <c r="E1944" s="4">
        <v>8519794.0</v>
      </c>
      <c r="F1944" s="4">
        <v>43.0</v>
      </c>
      <c r="G1944" s="4" t="s">
        <v>3281</v>
      </c>
    </row>
    <row r="1945">
      <c r="A1945" s="1">
        <v>1943.0</v>
      </c>
      <c r="B1945" s="4" t="s">
        <v>3203</v>
      </c>
      <c r="C1945" s="4" t="str">
        <f>IFERROR(__xludf.DUMMYFUNCTION("GOOGLETRANSLATE(D:D,""auto"",""en"")"),"Tablet accelerate challenge")</f>
        <v>Tablet accelerate challenge</v>
      </c>
      <c r="D1945" s="4" t="s">
        <v>3282</v>
      </c>
      <c r="E1945" s="4">
        <v>8449891.0</v>
      </c>
      <c r="F1945" s="4">
        <v>44.0</v>
      </c>
      <c r="G1945" s="4" t="s">
        <v>3283</v>
      </c>
    </row>
    <row r="1946">
      <c r="A1946" s="1">
        <v>1944.0</v>
      </c>
      <c r="B1946" s="4" t="s">
        <v>3203</v>
      </c>
      <c r="C1946" s="4" t="str">
        <f>IFERROR(__xludf.DUMMYFUNCTION("GOOGLETRANSLATE(D:D,""auto"",""en"")"),"Hunan Add 31 cases total 803 cases diagnosed")</f>
        <v>Hunan Add 31 cases total 803 cases diagnosed</v>
      </c>
      <c r="D1946" s="4" t="s">
        <v>3284</v>
      </c>
      <c r="E1946" s="4">
        <v>8413229.0</v>
      </c>
      <c r="F1946" s="4">
        <v>45.0</v>
      </c>
      <c r="G1946" s="4" t="s">
        <v>3285</v>
      </c>
    </row>
    <row r="1947">
      <c r="A1947" s="1">
        <v>1945.0</v>
      </c>
      <c r="B1947" s="4" t="s">
        <v>3203</v>
      </c>
      <c r="C1947" s="4" t="str">
        <f>IFERROR(__xludf.DUMMYFUNCTION("GOOGLETRANSLATE(D:D,""auto"",""en"")"),"Cause every Chinese ordinary people")</f>
        <v>Cause every Chinese ordinary people</v>
      </c>
      <c r="D1947" s="4" t="s">
        <v>3286</v>
      </c>
      <c r="E1947" s="4">
        <v>8319625.0</v>
      </c>
      <c r="F1947" s="4">
        <v>46.0</v>
      </c>
      <c r="G1947" s="4" t="s">
        <v>3287</v>
      </c>
    </row>
    <row r="1948">
      <c r="A1948" s="1">
        <v>1946.0</v>
      </c>
      <c r="B1948" s="4" t="s">
        <v>3203</v>
      </c>
      <c r="C1948" s="4" t="str">
        <f>IFERROR(__xludf.DUMMYFUNCTION("GOOGLETRANSLATE(D:D,""auto"",""en"")"),"The national total of over 200 one thousand cases were cured")</f>
        <v>The national total of over 200 one thousand cases were cured</v>
      </c>
      <c r="D1948" s="4" t="s">
        <v>3288</v>
      </c>
      <c r="E1948" s="4">
        <v>8273691.0</v>
      </c>
      <c r="F1948" s="4">
        <v>47.0</v>
      </c>
      <c r="G1948" s="4" t="s">
        <v>3289</v>
      </c>
    </row>
    <row r="1949">
      <c r="A1949" s="1">
        <v>1947.0</v>
      </c>
      <c r="B1949" s="4" t="s">
        <v>3203</v>
      </c>
      <c r="C1949" s="4" t="str">
        <f>IFERROR(__xludf.DUMMYFUNCTION("GOOGLETRANSLATE(D:D,""auto"",""en"")"),"Henan, a nurse from work back to the cell was blocked")</f>
        <v>Henan, a nurse from work back to the cell was blocked</v>
      </c>
      <c r="D1949" s="4" t="s">
        <v>3290</v>
      </c>
      <c r="E1949" s="4">
        <v>8252085.0</v>
      </c>
      <c r="F1949" s="4">
        <v>48.0</v>
      </c>
      <c r="G1949" s="4" t="s">
        <v>3291</v>
      </c>
    </row>
    <row r="1950">
      <c r="A1950" s="1">
        <v>1948.0</v>
      </c>
      <c r="B1950" s="4" t="s">
        <v>3203</v>
      </c>
      <c r="C1950" s="4" t="str">
        <f>IFERROR(__xludf.DUMMYFUNCTION("GOOGLETRANSLATE(D:D,""auto"",""en"")"),"Tang Yan")</f>
        <v>Tang Yan</v>
      </c>
      <c r="D1950" s="4" t="s">
        <v>3292</v>
      </c>
      <c r="E1950" s="4">
        <v>8019245.0</v>
      </c>
      <c r="F1950" s="4">
        <v>49.0</v>
      </c>
      <c r="G1950" s="4" t="s">
        <v>3293</v>
      </c>
    </row>
    <row r="1951">
      <c r="A1951" s="1">
        <v>1949.0</v>
      </c>
      <c r="B1951" s="4" t="s">
        <v>3203</v>
      </c>
      <c r="C1951" s="4" t="str">
        <f>IFERROR(__xludf.DUMMYFUNCTION("GOOGLETRANSLATE(D:D,""auto"",""en"")"),"The Starchaser Starchaser chase drama of the chase drama")</f>
        <v>The Starchaser Starchaser chase drama of the chase drama</v>
      </c>
      <c r="D1951" s="4" t="s">
        <v>3294</v>
      </c>
      <c r="E1951" s="4">
        <v>8016694.0</v>
      </c>
      <c r="F1951" s="4">
        <v>50.0</v>
      </c>
      <c r="G1951" s="4" t="s">
        <v>3295</v>
      </c>
    </row>
    <row r="1952">
      <c r="A1952" s="1">
        <v>1950.0</v>
      </c>
      <c r="B1952" s="4" t="s">
        <v>3296</v>
      </c>
      <c r="C1952" s="4" t="str">
        <f>IFERROR(__xludf.DUMMYFUNCTION("GOOGLETRANSLATE(D:D,""auto"",""en"")"),"Community concert")</f>
        <v>Community concert</v>
      </c>
      <c r="D1952" s="4" t="s">
        <v>3297</v>
      </c>
      <c r="E1952" s="4">
        <v>1.2030106E7</v>
      </c>
      <c r="F1952" s="4">
        <v>1.0</v>
      </c>
      <c r="G1952" s="4" t="s">
        <v>3298</v>
      </c>
    </row>
    <row r="1953">
      <c r="A1953" s="1">
        <v>1951.0</v>
      </c>
      <c r="B1953" s="4" t="s">
        <v>3296</v>
      </c>
      <c r="C1953" s="4" t="str">
        <f>IFERROR(__xludf.DUMMYFUNCTION("GOOGLETRANSLATE(D:D,""auto"",""en"")"),"Only the legendary Phoenix Ling flower")</f>
        <v>Only the legendary Phoenix Ling flower</v>
      </c>
      <c r="D1953" s="4" t="s">
        <v>3299</v>
      </c>
      <c r="E1953" s="4">
        <v>1.1256346E7</v>
      </c>
      <c r="F1953" s="4">
        <v>2.0</v>
      </c>
      <c r="G1953" s="4" t="s">
        <v>3300</v>
      </c>
    </row>
    <row r="1954">
      <c r="A1954" s="1">
        <v>1952.0</v>
      </c>
      <c r="B1954" s="4" t="s">
        <v>3296</v>
      </c>
      <c r="C1954" s="4" t="str">
        <f>IFERROR(__xludf.DUMMYFUNCTION("GOOGLETRANSLATE(D:D,""auto"",""en"")"),"Outside Hubei new cases a fall of five days")</f>
        <v>Outside Hubei new cases a fall of five days</v>
      </c>
      <c r="D1954" s="4" t="s">
        <v>3301</v>
      </c>
      <c r="E1954" s="4">
        <v>1.1235719E7</v>
      </c>
      <c r="F1954" s="4">
        <v>3.0</v>
      </c>
      <c r="G1954" s="4" t="s">
        <v>3302</v>
      </c>
    </row>
    <row r="1955">
      <c r="A1955" s="1">
        <v>1953.0</v>
      </c>
      <c r="B1955" s="4" t="s">
        <v>3296</v>
      </c>
      <c r="C1955" s="4" t="str">
        <f>IFERROR(__xludf.DUMMYFUNCTION("GOOGLETRANSLATE(D:D,""auto"",""en"")"),"Cumulative deployed 11,921 health care Hubei rush to the rescue")</f>
        <v>Cumulative deployed 11,921 health care Hubei rush to the rescue</v>
      </c>
      <c r="D1955" s="4" t="s">
        <v>3303</v>
      </c>
      <c r="E1955" s="4">
        <v>1.0828263E7</v>
      </c>
      <c r="F1955" s="4">
        <v>4.0</v>
      </c>
      <c r="G1955" s="4" t="s">
        <v>3304</v>
      </c>
    </row>
    <row r="1956">
      <c r="A1956" s="1">
        <v>1954.0</v>
      </c>
      <c r="B1956" s="4" t="s">
        <v>3296</v>
      </c>
      <c r="C1956" s="4" t="str">
        <f>IFERROR(__xludf.DUMMYFUNCTION("GOOGLETRANSLATE(D:D,""auto"",""en"")"),"Hongqiao hub body temperature abnormalities have been found 101 people")</f>
        <v>Hongqiao hub body temperature abnormalities have been found 101 people</v>
      </c>
      <c r="D1956" s="4" t="s">
        <v>3305</v>
      </c>
      <c r="E1956" s="4">
        <v>9456274.0</v>
      </c>
      <c r="F1956" s="4">
        <v>5.0</v>
      </c>
      <c r="G1956" s="4" t="s">
        <v>3306</v>
      </c>
    </row>
    <row r="1957">
      <c r="A1957" s="1">
        <v>1955.0</v>
      </c>
      <c r="B1957" s="4" t="s">
        <v>3296</v>
      </c>
      <c r="C1957" s="4" t="str">
        <f>IFERROR(__xludf.DUMMYFUNCTION("GOOGLETRANSLATE(D:D,""auto"",""en"")"),"The national total of 37,198 cases of pneumonia diagnosed with the new crown")</f>
        <v>The national total of 37,198 cases of pneumonia diagnosed with the new crown</v>
      </c>
      <c r="D1957" s="4" t="s">
        <v>3307</v>
      </c>
      <c r="E1957" s="4">
        <v>9392182.0</v>
      </c>
      <c r="F1957" s="4">
        <v>6.0</v>
      </c>
      <c r="G1957" s="4" t="s">
        <v>3308</v>
      </c>
    </row>
    <row r="1958">
      <c r="A1958" s="1">
        <v>1956.0</v>
      </c>
      <c r="B1958" s="4" t="s">
        <v>3296</v>
      </c>
      <c r="C1958" s="4" t="str">
        <f>IFERROR(__xludf.DUMMYFUNCTION("GOOGLETRANSLATE(D:D,""auto"",""en"")"),"Wolf disco sounds again accompaniment author")</f>
        <v>Wolf disco sounds again accompaniment author</v>
      </c>
      <c r="D1958" s="4" t="s">
        <v>3278</v>
      </c>
      <c r="E1958" s="4">
        <v>9129482.0</v>
      </c>
      <c r="F1958" s="4">
        <v>7.0</v>
      </c>
      <c r="G1958" s="4" t="s">
        <v>3279</v>
      </c>
    </row>
    <row r="1959">
      <c r="A1959" s="1">
        <v>1957.0</v>
      </c>
      <c r="B1959" s="4" t="s">
        <v>3296</v>
      </c>
      <c r="C1959" s="4" t="str">
        <f>IFERROR(__xludf.DUMMYFUNCTION("GOOGLETRANSLATE(D:D,""auto"",""en"")"),"See a doctor to keep up aid Wuhan coma grandfather")</f>
        <v>See a doctor to keep up aid Wuhan coma grandfather</v>
      </c>
      <c r="D1959" s="4" t="s">
        <v>3309</v>
      </c>
      <c r="E1959" s="4">
        <v>8967851.0</v>
      </c>
      <c r="F1959" s="4">
        <v>8.0</v>
      </c>
      <c r="G1959" s="4" t="s">
        <v>3310</v>
      </c>
    </row>
    <row r="1960">
      <c r="A1960" s="1">
        <v>1958.0</v>
      </c>
      <c r="B1960" s="4" t="s">
        <v>3296</v>
      </c>
      <c r="C1960" s="4" t="str">
        <f>IFERROR(__xludf.DUMMYFUNCTION("GOOGLETRANSLATE(D:D,""auto"",""en"")"),"Men do not wear masks threatened staff detained")</f>
        <v>Men do not wear masks threatened staff detained</v>
      </c>
      <c r="D1960" s="4" t="s">
        <v>3311</v>
      </c>
      <c r="E1960" s="4">
        <v>8834951.0</v>
      </c>
      <c r="F1960" s="4">
        <v>9.0</v>
      </c>
      <c r="G1960" s="4" t="s">
        <v>3312</v>
      </c>
    </row>
    <row r="1961">
      <c r="A1961" s="1">
        <v>1959.0</v>
      </c>
      <c r="B1961" s="4" t="s">
        <v>3296</v>
      </c>
      <c r="C1961" s="4" t="str">
        <f>IFERROR(__xludf.DUMMYFUNCTION("GOOGLETRANSLATE(D:D,""auto"",""en"")"),"Selling popcorn for 50 years to save 2.5 foolproof donate hospital")</f>
        <v>Selling popcorn for 50 years to save 2.5 foolproof donate hospital</v>
      </c>
      <c r="D1961" s="4" t="s">
        <v>3313</v>
      </c>
      <c r="E1961" s="4">
        <v>8659479.0</v>
      </c>
      <c r="F1961" s="4">
        <v>10.0</v>
      </c>
      <c r="G1961" s="4" t="s">
        <v>3314</v>
      </c>
    </row>
    <row r="1962">
      <c r="A1962" s="1">
        <v>1960.0</v>
      </c>
      <c r="B1962" s="4" t="s">
        <v>3296</v>
      </c>
      <c r="C1962" s="4" t="str">
        <f>IFERROR(__xludf.DUMMYFUNCTION("GOOGLETRANSLATE(D:D,""auto"",""en"")"),"Support the four-day mission hospital in Wuhan")</f>
        <v>Support the four-day mission hospital in Wuhan</v>
      </c>
      <c r="D1962" s="4" t="s">
        <v>3315</v>
      </c>
      <c r="E1962" s="4">
        <v>8615534.0</v>
      </c>
      <c r="F1962" s="4">
        <v>11.0</v>
      </c>
      <c r="G1962" s="4" t="s">
        <v>3316</v>
      </c>
    </row>
    <row r="1963">
      <c r="A1963" s="1">
        <v>1961.0</v>
      </c>
      <c r="B1963" s="4" t="s">
        <v>3296</v>
      </c>
      <c r="C1963" s="4" t="str">
        <f>IFERROR(__xludf.DUMMYFUNCTION("GOOGLETRANSLATE(D:D,""auto"",""en"")"),"Hubei new crown the new 2147 cases of pneumonia")</f>
        <v>Hubei new crown the new 2147 cases of pneumonia</v>
      </c>
      <c r="D1963" s="4" t="s">
        <v>3317</v>
      </c>
      <c r="E1963" s="4">
        <v>8597830.0</v>
      </c>
      <c r="F1963" s="4">
        <v>12.0</v>
      </c>
      <c r="G1963" s="4" t="s">
        <v>3318</v>
      </c>
    </row>
    <row r="1964">
      <c r="A1964" s="1">
        <v>1962.0</v>
      </c>
      <c r="B1964" s="4" t="s">
        <v>3296</v>
      </c>
      <c r="C1964" s="4" t="str">
        <f>IFERROR(__xludf.DUMMYFUNCTION("GOOGLETRANSLATE(D:D,""auto"",""en"")"),"Treatment of patients lose the best opportunity to conceal the truth")</f>
        <v>Treatment of patients lose the best opportunity to conceal the truth</v>
      </c>
      <c r="D1964" s="4" t="s">
        <v>3319</v>
      </c>
      <c r="E1964" s="4">
        <v>8546242.0</v>
      </c>
      <c r="F1964" s="4">
        <v>13.0</v>
      </c>
      <c r="G1964" s="4" t="s">
        <v>3320</v>
      </c>
    </row>
    <row r="1965">
      <c r="A1965" s="1">
        <v>1963.0</v>
      </c>
      <c r="B1965" s="4" t="s">
        <v>3296</v>
      </c>
      <c r="C1965" s="4" t="str">
        <f>IFERROR(__xludf.DUMMYFUNCTION("GOOGLETRANSLATE(D:D,""auto"",""en"")"),"Jiangsu Wild Bunch")</f>
        <v>Jiangsu Wild Bunch</v>
      </c>
      <c r="D1965" s="4" t="s">
        <v>3321</v>
      </c>
      <c r="E1965" s="4">
        <v>8519493.0</v>
      </c>
      <c r="F1965" s="4">
        <v>14.0</v>
      </c>
      <c r="G1965" s="4" t="s">
        <v>3322</v>
      </c>
    </row>
    <row r="1966">
      <c r="A1966" s="1">
        <v>1964.0</v>
      </c>
      <c r="B1966" s="4" t="s">
        <v>3296</v>
      </c>
      <c r="C1966" s="4" t="str">
        <f>IFERROR(__xludf.DUMMYFUNCTION("GOOGLETRANSLATE(D:D,""auto"",""en"")"),"Wuhan, Hubei Ji star blessing")</f>
        <v>Wuhan, Hubei Ji star blessing</v>
      </c>
      <c r="D1966" s="4" t="s">
        <v>3323</v>
      </c>
      <c r="E1966" s="4">
        <v>8279378.0</v>
      </c>
      <c r="F1966" s="4">
        <v>15.0</v>
      </c>
      <c r="G1966" s="4" t="s">
        <v>3324</v>
      </c>
    </row>
    <row r="1967">
      <c r="A1967" s="1">
        <v>1965.0</v>
      </c>
      <c r="B1967" s="4" t="s">
        <v>3296</v>
      </c>
      <c r="C1967" s="4" t="str">
        <f>IFERROR(__xludf.DUMMYFUNCTION("GOOGLETRANSLATE(D:D,""auto"",""en"")"),"Hebei school starts no earlier than March 1")</f>
        <v>Hebei school starts no earlier than March 1</v>
      </c>
      <c r="D1967" s="4" t="s">
        <v>3325</v>
      </c>
      <c r="E1967" s="4">
        <v>8243249.0</v>
      </c>
      <c r="F1967" s="4">
        <v>16.0</v>
      </c>
      <c r="G1967" s="4" t="s">
        <v>3326</v>
      </c>
    </row>
    <row r="1968">
      <c r="A1968" s="1">
        <v>1966.0</v>
      </c>
      <c r="B1968" s="4" t="s">
        <v>3296</v>
      </c>
      <c r="C1968" s="4" t="str">
        <f>IFERROR(__xludf.DUMMYFUNCTION("GOOGLETRANSLATE(D:D,""auto"",""en"")"),"The air is generally not a new virus crown")</f>
        <v>The air is generally not a new virus crown</v>
      </c>
      <c r="D1968" s="4" t="s">
        <v>3327</v>
      </c>
      <c r="E1968" s="4">
        <v>8232008.0</v>
      </c>
      <c r="F1968" s="4">
        <v>17.0</v>
      </c>
      <c r="G1968" s="4" t="s">
        <v>3328</v>
      </c>
    </row>
    <row r="1969">
      <c r="A1969" s="1">
        <v>1967.0</v>
      </c>
      <c r="B1969" s="4" t="s">
        <v>3296</v>
      </c>
      <c r="C1969" s="4" t="str">
        <f>IFERROR(__xludf.DUMMYFUNCTION("GOOGLETRANSLATE(D:D,""auto"",""en"")"),"CCTV really touching poetry recitation")</f>
        <v>CCTV really touching poetry recitation</v>
      </c>
      <c r="D1969" s="4" t="s">
        <v>3246</v>
      </c>
      <c r="E1969" s="4">
        <v>8220968.0</v>
      </c>
      <c r="F1969" s="4">
        <v>18.0</v>
      </c>
      <c r="G1969" s="4" t="s">
        <v>3247</v>
      </c>
    </row>
    <row r="1970">
      <c r="A1970" s="1">
        <v>1968.0</v>
      </c>
      <c r="B1970" s="4" t="s">
        <v>3296</v>
      </c>
      <c r="C1970" s="4" t="str">
        <f>IFERROR(__xludf.DUMMYFUNCTION("GOOGLETRANSLATE(D:D,""auto"",""en"")"),"Spat upon infection caused by two medical men transfusion")</f>
        <v>Spat upon infection caused by two medical men transfusion</v>
      </c>
      <c r="D1970" s="4" t="s">
        <v>3329</v>
      </c>
      <c r="E1970" s="4">
        <v>8219573.0</v>
      </c>
      <c r="F1970" s="4">
        <v>19.0</v>
      </c>
      <c r="G1970" s="4" t="s">
        <v>3330</v>
      </c>
    </row>
    <row r="1971">
      <c r="A1971" s="1">
        <v>1969.0</v>
      </c>
      <c r="B1971" s="4" t="s">
        <v>3296</v>
      </c>
      <c r="C1971" s="4" t="str">
        <f>IFERROR(__xludf.DUMMYFUNCTION("GOOGLETRANSLATE(D:D,""auto"",""en"")"),"Chinese crew about the day cruise in isolation")</f>
        <v>Chinese crew about the day cruise in isolation</v>
      </c>
      <c r="D1971" s="4" t="s">
        <v>3331</v>
      </c>
      <c r="E1971" s="4">
        <v>8207701.0</v>
      </c>
      <c r="F1971" s="4">
        <v>20.0</v>
      </c>
      <c r="G1971" s="4" t="s">
        <v>3332</v>
      </c>
    </row>
    <row r="1972">
      <c r="A1972" s="1">
        <v>1970.0</v>
      </c>
      <c r="B1972" s="4" t="s">
        <v>3296</v>
      </c>
      <c r="C1972" s="4" t="str">
        <f>IFERROR(__xludf.DUMMYFUNCTION("GOOGLETRANSLATE(D:D,""auto"",""en"")"),"Novel coronavirus belonging to the SARS coronavirus")</f>
        <v>Novel coronavirus belonging to the SARS coronavirus</v>
      </c>
      <c r="D1972" s="4" t="s">
        <v>3333</v>
      </c>
      <c r="E1972" s="4">
        <v>8077979.0</v>
      </c>
      <c r="F1972" s="4">
        <v>21.0</v>
      </c>
      <c r="G1972" s="4" t="s">
        <v>3334</v>
      </c>
    </row>
    <row r="1973">
      <c r="A1973" s="1">
        <v>1971.0</v>
      </c>
      <c r="B1973" s="4" t="s">
        <v>3296</v>
      </c>
      <c r="C1973" s="4" t="str">
        <f>IFERROR(__xludf.DUMMYFUNCTION("GOOGLETRANSLATE(D:D,""auto"",""en"")"),"Taking a hug mother and daughter finally hold on")</f>
        <v>Taking a hug mother and daughter finally hold on</v>
      </c>
      <c r="D1973" s="4" t="s">
        <v>3335</v>
      </c>
      <c r="E1973" s="4">
        <v>8052667.0</v>
      </c>
      <c r="F1973" s="4">
        <v>22.0</v>
      </c>
      <c r="G1973" s="4" t="s">
        <v>3336</v>
      </c>
    </row>
    <row r="1974">
      <c r="A1974" s="1">
        <v>1972.0</v>
      </c>
      <c r="B1974" s="4" t="s">
        <v>3296</v>
      </c>
      <c r="C1974" s="4" t="str">
        <f>IFERROR(__xludf.DUMMYFUNCTION("GOOGLETRANSLATE(D:D,""auto"",""en"")"),"Central Steering Group went to Hubei requirements due are collected")</f>
        <v>Central Steering Group went to Hubei requirements due are collected</v>
      </c>
      <c r="D1974" s="4" t="s">
        <v>3256</v>
      </c>
      <c r="E1974" s="4">
        <v>8049086.0</v>
      </c>
      <c r="F1974" s="4">
        <v>23.0</v>
      </c>
      <c r="G1974" s="4" t="s">
        <v>3257</v>
      </c>
    </row>
    <row r="1975">
      <c r="A1975" s="1">
        <v>1973.0</v>
      </c>
      <c r="B1975" s="4" t="s">
        <v>3296</v>
      </c>
      <c r="C1975" s="4" t="str">
        <f>IFERROR(__xludf.DUMMYFUNCTION("GOOGLETRANSLATE(D:D,""auto"",""en"")"),"When the temporary care of children six months of age diagnosed with mom")</f>
        <v>When the temporary care of children six months of age diagnosed with mom</v>
      </c>
      <c r="D1975" s="4" t="s">
        <v>3337</v>
      </c>
      <c r="E1975" s="4">
        <v>7904968.0</v>
      </c>
      <c r="F1975" s="4">
        <v>24.0</v>
      </c>
      <c r="G1975" s="4" t="s">
        <v>3338</v>
      </c>
    </row>
    <row r="1976">
      <c r="A1976" s="1">
        <v>1974.0</v>
      </c>
      <c r="B1976" s="4" t="s">
        <v>3296</v>
      </c>
      <c r="C1976" s="4" t="str">
        <f>IFERROR(__xludf.DUMMYFUNCTION("GOOGLETRANSLATE(D:D,""auto"",""en"")"),"It found five new drugs can inhibit the virus crown")</f>
        <v>It found five new drugs can inhibit the virus crown</v>
      </c>
      <c r="D1976" s="4" t="s">
        <v>3339</v>
      </c>
      <c r="E1976" s="4">
        <v>7859869.0</v>
      </c>
      <c r="F1976" s="4">
        <v>25.0</v>
      </c>
      <c r="G1976" s="4" t="s">
        <v>3340</v>
      </c>
    </row>
    <row r="1977">
      <c r="A1977" s="1">
        <v>1975.0</v>
      </c>
      <c r="B1977" s="4" t="s">
        <v>3296</v>
      </c>
      <c r="C1977" s="4" t="str">
        <f>IFERROR(__xludf.DUMMYFUNCTION("GOOGLETRANSLATE(D:D,""auto"",""en"")"),"Small blue offline")</f>
        <v>Small blue offline</v>
      </c>
      <c r="D1977" s="4" t="s">
        <v>3341</v>
      </c>
      <c r="E1977" s="4">
        <v>7843181.0</v>
      </c>
      <c r="F1977" s="4">
        <v>26.0</v>
      </c>
      <c r="G1977" s="4" t="s">
        <v>3342</v>
      </c>
    </row>
    <row r="1978">
      <c r="A1978" s="1">
        <v>1976.0</v>
      </c>
      <c r="B1978" s="4" t="s">
        <v>3296</v>
      </c>
      <c r="C1978" s="4" t="str">
        <f>IFERROR(__xludf.DUMMYFUNCTION("GOOGLETRANSLATE(D:D,""auto"",""en"")"),"Lantern Festival evening empty auditorium")</f>
        <v>Lantern Festival evening empty auditorium</v>
      </c>
      <c r="D1978" s="4" t="s">
        <v>3272</v>
      </c>
      <c r="E1978" s="4">
        <v>7832305.0</v>
      </c>
      <c r="F1978" s="4">
        <v>27.0</v>
      </c>
      <c r="G1978" s="4" t="s">
        <v>3273</v>
      </c>
    </row>
    <row r="1979">
      <c r="A1979" s="1">
        <v>1977.0</v>
      </c>
      <c r="B1979" s="4" t="s">
        <v>3296</v>
      </c>
      <c r="C1979" s="4" t="str">
        <f>IFERROR(__xludf.DUMMYFUNCTION("GOOGLETRANSLATE(D:D,""auto"",""en"")"),"When the straight man cos Xuguang Han")</f>
        <v>When the straight man cos Xuguang Han</v>
      </c>
      <c r="D1979" s="4" t="s">
        <v>3343</v>
      </c>
      <c r="E1979" s="4">
        <v>7714571.0</v>
      </c>
      <c r="F1979" s="4">
        <v>28.0</v>
      </c>
      <c r="G1979" s="4" t="s">
        <v>3344</v>
      </c>
    </row>
    <row r="1980">
      <c r="A1980" s="1">
        <v>1978.0</v>
      </c>
      <c r="B1980" s="4" t="s">
        <v>3296</v>
      </c>
      <c r="C1980" s="4" t="str">
        <f>IFERROR(__xludf.DUMMYFUNCTION("GOOGLETRANSLATE(D:D,""auto"",""en"")"),"Solutions remove particles through pestivirus approved for clinical use")</f>
        <v>Solutions remove particles through pestivirus approved for clinical use</v>
      </c>
      <c r="D1980" s="4" t="s">
        <v>3345</v>
      </c>
      <c r="E1980" s="4">
        <v>7708680.0</v>
      </c>
      <c r="F1980" s="4">
        <v>29.0</v>
      </c>
      <c r="G1980" s="4" t="s">
        <v>3346</v>
      </c>
    </row>
    <row r="1981">
      <c r="A1981" s="1">
        <v>1979.0</v>
      </c>
      <c r="B1981" s="4" t="s">
        <v>3296</v>
      </c>
      <c r="C1981" s="4" t="str">
        <f>IFERROR(__xludf.DUMMYFUNCTION("GOOGLETRANSLATE(D:D,""auto"",""en"")"),"Wang Yaoqing dubbing")</f>
        <v>Wang Yaoqing dubbing</v>
      </c>
      <c r="D1981" s="4" t="s">
        <v>3347</v>
      </c>
      <c r="E1981" s="4">
        <v>7653981.0</v>
      </c>
      <c r="F1981" s="4">
        <v>30.0</v>
      </c>
      <c r="G1981" s="4" t="s">
        <v>3348</v>
      </c>
    </row>
    <row r="1982">
      <c r="A1982" s="1">
        <v>1980.0</v>
      </c>
      <c r="B1982" s="4" t="s">
        <v>3296</v>
      </c>
      <c r="C1982" s="4" t="str">
        <f>IFERROR(__xludf.DUMMYFUNCTION("GOOGLETRANSLATE(D:D,""auto"",""en"")"),"Zhang Yixing will be fine")</f>
        <v>Zhang Yixing will be fine</v>
      </c>
      <c r="D1982" s="4" t="s">
        <v>3349</v>
      </c>
      <c r="E1982" s="4">
        <v>7627835.0</v>
      </c>
      <c r="F1982" s="4">
        <v>31.0</v>
      </c>
      <c r="G1982" s="4" t="s">
        <v>3350</v>
      </c>
    </row>
    <row r="1983">
      <c r="A1983" s="1">
        <v>1981.0</v>
      </c>
      <c r="B1983" s="4" t="s">
        <v>3296</v>
      </c>
      <c r="C1983" s="4" t="str">
        <f>IFERROR(__xludf.DUMMYFUNCTION("GOOGLETRANSLATE(D:D,""auto"",""en"")"),"Delayed payment of wages return to work the new policy")</f>
        <v>Delayed payment of wages return to work the new policy</v>
      </c>
      <c r="D1983" s="4" t="s">
        <v>3351</v>
      </c>
      <c r="E1983" s="4">
        <v>7553408.0</v>
      </c>
      <c r="F1983" s="4">
        <v>32.0</v>
      </c>
      <c r="G1983" s="4" t="s">
        <v>3352</v>
      </c>
    </row>
    <row r="1984">
      <c r="A1984" s="1">
        <v>1982.0</v>
      </c>
      <c r="B1984" s="4" t="s">
        <v>3296</v>
      </c>
      <c r="C1984" s="4" t="str">
        <f>IFERROR(__xludf.DUMMYFUNCTION("GOOGLETRANSLATE(D:D,""auto"",""en"")"),"Everyone is susceptible to pneumonia new crown")</f>
        <v>Everyone is susceptible to pneumonia new crown</v>
      </c>
      <c r="D1984" s="4" t="s">
        <v>3353</v>
      </c>
      <c r="E1984" s="4">
        <v>7523205.0</v>
      </c>
      <c r="F1984" s="4">
        <v>33.0</v>
      </c>
      <c r="G1984" s="4" t="s">
        <v>3354</v>
      </c>
    </row>
    <row r="1985">
      <c r="A1985" s="1">
        <v>1983.0</v>
      </c>
      <c r="B1985" s="4" t="s">
        <v>3296</v>
      </c>
      <c r="C1985" s="4" t="str">
        <f>IFERROR(__xludf.DUMMYFUNCTION("GOOGLETRANSLATE(D:D,""auto"",""en"")"),"Julian Cheung Anita celebrate the 19th anniversary of marriage")</f>
        <v>Julian Cheung Anita celebrate the 19th anniversary of marriage</v>
      </c>
      <c r="D1985" s="4" t="s">
        <v>3355</v>
      </c>
      <c r="E1985" s="4">
        <v>7456893.0</v>
      </c>
      <c r="F1985" s="4">
        <v>34.0</v>
      </c>
      <c r="G1985" s="4" t="s">
        <v>3356</v>
      </c>
    </row>
    <row r="1986">
      <c r="A1986" s="1">
        <v>1984.0</v>
      </c>
      <c r="B1986" s="4" t="s">
        <v>3296</v>
      </c>
      <c r="C1986" s="4" t="str">
        <f>IFERROR(__xludf.DUMMYFUNCTION("GOOGLETRANSLATE(D:D,""auto"",""en"")"),"When the anchor teacher at home")</f>
        <v>When the anchor teacher at home</v>
      </c>
      <c r="D1986" s="4" t="s">
        <v>3357</v>
      </c>
      <c r="E1986" s="4">
        <v>7449277.0</v>
      </c>
      <c r="F1986" s="4">
        <v>35.0</v>
      </c>
      <c r="G1986" s="4" t="s">
        <v>3358</v>
      </c>
    </row>
    <row r="1987">
      <c r="A1987" s="1">
        <v>1985.0</v>
      </c>
      <c r="B1987" s="4" t="s">
        <v>3296</v>
      </c>
      <c r="C1987" s="4" t="str">
        <f>IFERROR(__xludf.DUMMYFUNCTION("GOOGLETRANSLATE(D:D,""auto"",""en"")"),"3-year-old baby smell Doctor Mom pajamas to sleep")</f>
        <v>3-year-old baby smell Doctor Mom pajamas to sleep</v>
      </c>
      <c r="D1987" s="4" t="s">
        <v>3359</v>
      </c>
      <c r="E1987" s="4">
        <v>7441768.0</v>
      </c>
      <c r="F1987" s="4">
        <v>36.0</v>
      </c>
      <c r="G1987" s="4" t="s">
        <v>3360</v>
      </c>
    </row>
    <row r="1988">
      <c r="A1988" s="1">
        <v>1986.0</v>
      </c>
      <c r="B1988" s="4" t="s">
        <v>3296</v>
      </c>
      <c r="C1988" s="4" t="str">
        <f>IFERROR(__xludf.DUMMYFUNCTION("GOOGLETRANSLATE(D:D,""auto"",""en"")"),"Yang Mi Dilly Reba Highlights")</f>
        <v>Yang Mi Dilly Reba Highlights</v>
      </c>
      <c r="D1988" s="4" t="s">
        <v>3361</v>
      </c>
      <c r="E1988" s="4">
        <v>7393598.0</v>
      </c>
      <c r="F1988" s="4">
        <v>37.0</v>
      </c>
      <c r="G1988" s="4" t="s">
        <v>3362</v>
      </c>
    </row>
    <row r="1989">
      <c r="A1989" s="1">
        <v>1987.0</v>
      </c>
      <c r="B1989" s="4" t="s">
        <v>3296</v>
      </c>
      <c r="C1989" s="4" t="str">
        <f>IFERROR(__xludf.DUMMYFUNCTION("GOOGLETRANSLATE(D:D,""auto"",""en"")"),"Patients in the hospital shelter jump Square Dance")</f>
        <v>Patients in the hospital shelter jump Square Dance</v>
      </c>
      <c r="D1989" s="4" t="s">
        <v>3363</v>
      </c>
      <c r="E1989" s="4">
        <v>7344761.0</v>
      </c>
      <c r="F1989" s="4">
        <v>38.0</v>
      </c>
      <c r="G1989" s="4" t="s">
        <v>3364</v>
      </c>
    </row>
    <row r="1990">
      <c r="A1990" s="1">
        <v>1988.0</v>
      </c>
      <c r="B1990" s="4" t="s">
        <v>3296</v>
      </c>
      <c r="C1990" s="4" t="str">
        <f>IFERROR(__xludf.DUMMYFUNCTION("GOOGLETRANSLATE(D:D,""auto"",""en"")"),"National new 2656 cases of pneumonia new crown")</f>
        <v>National new 2656 cases of pneumonia new crown</v>
      </c>
      <c r="D1990" s="4" t="s">
        <v>3365</v>
      </c>
      <c r="E1990" s="4">
        <v>7322540.0</v>
      </c>
      <c r="F1990" s="4">
        <v>39.0</v>
      </c>
      <c r="G1990" s="4" t="s">
        <v>3366</v>
      </c>
    </row>
    <row r="1991">
      <c r="A1991" s="1">
        <v>1989.0</v>
      </c>
      <c r="B1991" s="4" t="s">
        <v>3296</v>
      </c>
      <c r="C1991" s="4" t="str">
        <f>IFERROR(__xludf.DUMMYFUNCTION("GOOGLETRANSLATE(D:D,""auto"",""en"")"),"Shaolin Temple overseas home purchase one million masks rush to the rescue")</f>
        <v>Shaolin Temple overseas home purchase one million masks rush to the rescue</v>
      </c>
      <c r="D1991" s="4" t="s">
        <v>3367</v>
      </c>
      <c r="E1991" s="4">
        <v>7311384.0</v>
      </c>
      <c r="F1991" s="4">
        <v>40.0</v>
      </c>
      <c r="G1991" s="4" t="s">
        <v>3368</v>
      </c>
    </row>
    <row r="1992">
      <c r="A1992" s="1">
        <v>1990.0</v>
      </c>
      <c r="B1992" s="4" t="s">
        <v>3296</v>
      </c>
      <c r="C1992" s="4" t="str">
        <f>IFERROR(__xludf.DUMMYFUNCTION("GOOGLETRANSLATE(D:D,""auto"",""en"")"),"Russia supplies to support 183 m3 fight against SARS")</f>
        <v>Russia supplies to support 183 m3 fight against SARS</v>
      </c>
      <c r="D1992" s="4" t="s">
        <v>3369</v>
      </c>
      <c r="E1992" s="4">
        <v>7267140.0</v>
      </c>
      <c r="F1992" s="4">
        <v>41.0</v>
      </c>
      <c r="G1992" s="4" t="s">
        <v>3370</v>
      </c>
    </row>
    <row r="1993">
      <c r="A1993" s="1">
        <v>1991.0</v>
      </c>
      <c r="B1993" s="4" t="s">
        <v>3296</v>
      </c>
      <c r="C1993" s="4" t="str">
        <f>IFERROR(__xludf.DUMMYFUNCTION("GOOGLETRANSLATE(D:D,""auto"",""en"")"),"Lights come on all over the country to Wuhan")</f>
        <v>Lights come on all over the country to Wuhan</v>
      </c>
      <c r="D1993" s="4" t="s">
        <v>3371</v>
      </c>
      <c r="E1993" s="4">
        <v>7244711.0</v>
      </c>
      <c r="F1993" s="4">
        <v>42.0</v>
      </c>
      <c r="G1993" s="4" t="s">
        <v>3372</v>
      </c>
    </row>
    <row r="1994">
      <c r="A1994" s="1">
        <v>1992.0</v>
      </c>
      <c r="B1994" s="4" t="s">
        <v>3296</v>
      </c>
      <c r="C1994" s="4" t="str">
        <f>IFERROR(__xludf.DUMMYFUNCTION("GOOGLETRANSLATE(D:D,""auto"",""en"")"),"Raytheon Hill Hospital treated the first patient transport")</f>
        <v>Raytheon Hill Hospital treated the first patient transport</v>
      </c>
      <c r="D1994" s="4" t="s">
        <v>3373</v>
      </c>
      <c r="E1994" s="4">
        <v>7167741.0</v>
      </c>
      <c r="F1994" s="4">
        <v>43.0</v>
      </c>
      <c r="G1994" s="4" t="s">
        <v>3374</v>
      </c>
    </row>
    <row r="1995">
      <c r="A1995" s="1">
        <v>1993.0</v>
      </c>
      <c r="B1995" s="4" t="s">
        <v>3296</v>
      </c>
      <c r="C1995" s="4" t="str">
        <f>IFERROR(__xludf.DUMMYFUNCTION("GOOGLETRANSLATE(D:D,""auto"",""en"")"),"Li Xiao Zhan Sui Ping")</f>
        <v>Li Xiao Zhan Sui Ping</v>
      </c>
      <c r="D1995" s="4" t="s">
        <v>3240</v>
      </c>
      <c r="E1995" s="4">
        <v>7137918.0</v>
      </c>
      <c r="F1995" s="4">
        <v>44.0</v>
      </c>
      <c r="G1995" s="4" t="s">
        <v>3241</v>
      </c>
    </row>
    <row r="1996">
      <c r="A1996" s="1">
        <v>1994.0</v>
      </c>
      <c r="B1996" s="4" t="s">
        <v>3296</v>
      </c>
      <c r="C1996" s="4" t="str">
        <f>IFERROR(__xludf.DUMMYFUNCTION("GOOGLETRANSLATE(D:D,""auto"",""en"")"),"Kangaroo care is male doctor in preterm children 90")</f>
        <v>Kangaroo care is male doctor in preterm children 90</v>
      </c>
      <c r="D1996" s="4" t="s">
        <v>3266</v>
      </c>
      <c r="E1996" s="4">
        <v>7099509.0</v>
      </c>
      <c r="F1996" s="4">
        <v>45.0</v>
      </c>
      <c r="G1996" s="4" t="s">
        <v>3267</v>
      </c>
    </row>
    <row r="1997">
      <c r="A1997" s="1">
        <v>1995.0</v>
      </c>
      <c r="B1997" s="4" t="s">
        <v>3296</v>
      </c>
      <c r="C1997" s="4" t="str">
        <f>IFERROR(__xludf.DUMMYFUNCTION("GOOGLETRANSLATE(D:D,""auto"",""en"")"),"Wuhan organize open-air street market business")</f>
        <v>Wuhan organize open-air street market business</v>
      </c>
      <c r="D1997" s="4" t="s">
        <v>3375</v>
      </c>
      <c r="E1997" s="4">
        <v>7068915.0</v>
      </c>
      <c r="F1997" s="4">
        <v>46.0</v>
      </c>
      <c r="G1997" s="4" t="s">
        <v>3376</v>
      </c>
    </row>
    <row r="1998">
      <c r="A1998" s="1">
        <v>1996.0</v>
      </c>
      <c r="B1998" s="4" t="s">
        <v>3296</v>
      </c>
      <c r="C1998" s="4" t="str">
        <f>IFERROR(__xludf.DUMMYFUNCTION("GOOGLETRANSLATE(D:D,""auto"",""en"")"),"Xiaozhan donated medical supplies")</f>
        <v>Xiaozhan donated medical supplies</v>
      </c>
      <c r="D1998" s="4" t="s">
        <v>3377</v>
      </c>
      <c r="E1998" s="4">
        <v>7013107.0</v>
      </c>
      <c r="F1998" s="4">
        <v>47.0</v>
      </c>
      <c r="G1998" s="4" t="s">
        <v>3378</v>
      </c>
    </row>
    <row r="1999">
      <c r="A1999" s="1">
        <v>1997.0</v>
      </c>
      <c r="B1999" s="4" t="s">
        <v>3296</v>
      </c>
      <c r="C1999" s="4" t="str">
        <f>IFERROR(__xludf.DUMMYFUNCTION("GOOGLETRANSLATE(D:D,""auto"",""en"")"),"Xi'an KFC clerk confirmed")</f>
        <v>Xi'an KFC clerk confirmed</v>
      </c>
      <c r="D1999" s="4" t="s">
        <v>3379</v>
      </c>
      <c r="E1999" s="4">
        <v>6991510.0</v>
      </c>
      <c r="F1999" s="4">
        <v>48.0</v>
      </c>
      <c r="G1999" s="4" t="s">
        <v>3380</v>
      </c>
    </row>
    <row r="2000">
      <c r="A2000" s="1">
        <v>1998.0</v>
      </c>
      <c r="B2000" s="4" t="s">
        <v>3296</v>
      </c>
      <c r="C2000" s="4" t="str">
        <f>IFERROR(__xludf.DUMMYFUNCTION("GOOGLETRANSLATE(D:D,""auto"",""en"")"),"Within two days complete detection of all patients suspected of Wuhan")</f>
        <v>Within two days complete detection of all patients suspected of Wuhan</v>
      </c>
      <c r="D2000" s="4" t="s">
        <v>3381</v>
      </c>
      <c r="E2000" s="4">
        <v>6916738.0</v>
      </c>
      <c r="F2000" s="4">
        <v>49.0</v>
      </c>
      <c r="G2000" s="4" t="s">
        <v>3382</v>
      </c>
    </row>
    <row r="2001">
      <c r="A2001" s="1">
        <v>1999.0</v>
      </c>
      <c r="B2001" s="4" t="s">
        <v>3296</v>
      </c>
      <c r="C2001" s="4" t="str">
        <f>IFERROR(__xludf.DUMMYFUNCTION("GOOGLETRANSLATE(D:D,""auto"",""en"")"),"The new crown pneumonia birth to a baby boy named small glutinous rice balls")</f>
        <v>The new crown pneumonia birth to a baby boy named small glutinous rice balls</v>
      </c>
      <c r="D2001" s="4" t="s">
        <v>3383</v>
      </c>
      <c r="E2001" s="4">
        <v>6885325.0</v>
      </c>
      <c r="F2001" s="4">
        <v>50.0</v>
      </c>
      <c r="G2001" s="4" t="s">
        <v>3384</v>
      </c>
    </row>
    <row r="2002">
      <c r="A2002" s="1">
        <v>2000.0</v>
      </c>
      <c r="B2002" s="4" t="s">
        <v>3385</v>
      </c>
      <c r="C2002" s="4" t="str">
        <f>IFERROR(__xludf.DUMMYFUNCTION("GOOGLETRANSLATE(D:D,""auto"",""en"")"),"The new crown pneumonia fatality rate is much lower than SARS")</f>
        <v>The new crown pneumonia fatality rate is much lower than SARS</v>
      </c>
      <c r="D2002" s="4" t="s">
        <v>3386</v>
      </c>
      <c r="E2002" s="4">
        <v>1.2023813E7</v>
      </c>
      <c r="F2002" s="4">
        <v>1.0</v>
      </c>
      <c r="G2002" s="4" t="s">
        <v>3387</v>
      </c>
    </row>
    <row r="2003">
      <c r="A2003" s="1">
        <v>2001.0</v>
      </c>
      <c r="B2003" s="4" t="s">
        <v>3385</v>
      </c>
      <c r="C2003" s="4" t="str">
        <f>IFERROR(__xludf.DUMMYFUNCTION("GOOGLETRANSLATE(D:D,""auto"",""en"")"),"The country's new crown cure pneumonia was significantly increased")</f>
        <v>The country's new crown cure pneumonia was significantly increased</v>
      </c>
      <c r="D2003" s="4" t="s">
        <v>3388</v>
      </c>
      <c r="E2003" s="4">
        <v>1.1883354E7</v>
      </c>
      <c r="F2003" s="4">
        <v>2.0</v>
      </c>
      <c r="G2003" s="4" t="s">
        <v>3389</v>
      </c>
    </row>
    <row r="2004">
      <c r="A2004" s="1">
        <v>2002.0</v>
      </c>
      <c r="B2004" s="4" t="s">
        <v>3385</v>
      </c>
      <c r="C2004" s="4" t="str">
        <f>IFERROR(__xludf.DUMMYFUNCTION("GOOGLETRANSLATE(D:D,""auto"",""en"")"),"Winter operations was my mother cooking a")</f>
        <v>Winter operations was my mother cooking a</v>
      </c>
      <c r="D2004" s="4" t="s">
        <v>3390</v>
      </c>
      <c r="E2004" s="4">
        <v>1.1830607E7</v>
      </c>
      <c r="F2004" s="4">
        <v>3.0</v>
      </c>
      <c r="G2004" s="4" t="s">
        <v>3391</v>
      </c>
    </row>
    <row r="2005">
      <c r="A2005" s="1">
        <v>2003.0</v>
      </c>
      <c r="B2005" s="4" t="s">
        <v>3385</v>
      </c>
      <c r="C2005" s="4" t="str">
        <f>IFERROR(__xludf.DUMMYFUNCTION("GOOGLETRANSLATE(D:D,""auto"",""en"")"),"Xiao Zhan Yang Zi pro face shine")</f>
        <v>Xiao Zhan Yang Zi pro face shine</v>
      </c>
      <c r="D2005" s="4" t="s">
        <v>3392</v>
      </c>
      <c r="E2005" s="4">
        <v>1.1689049E7</v>
      </c>
      <c r="F2005" s="4">
        <v>4.0</v>
      </c>
      <c r="G2005" s="4" t="s">
        <v>3393</v>
      </c>
    </row>
    <row r="2006">
      <c r="A2006" s="1">
        <v>2004.0</v>
      </c>
      <c r="B2006" s="4" t="s">
        <v>3385</v>
      </c>
      <c r="C2006" s="4" t="str">
        <f>IFERROR(__xludf.DUMMYFUNCTION("GOOGLETRANSLATE(D:D,""auto"",""en"")"),"Zhong Nanshan team responded longest incubation period of 24 days")</f>
        <v>Zhong Nanshan team responded longest incubation period of 24 days</v>
      </c>
      <c r="D2006" s="4" t="s">
        <v>3394</v>
      </c>
      <c r="E2006" s="4">
        <v>1.1641356E7</v>
      </c>
      <c r="F2006" s="4">
        <v>5.0</v>
      </c>
      <c r="G2006" s="4" t="s">
        <v>3395</v>
      </c>
    </row>
    <row r="2007">
      <c r="A2007" s="1">
        <v>2005.0</v>
      </c>
      <c r="B2007" s="4" t="s">
        <v>3385</v>
      </c>
      <c r="C2007" s="4" t="str">
        <f>IFERROR(__xludf.DUMMYFUNCTION("GOOGLETRANSLATE(D:D,""auto"",""en"")"),"He Canyang Cai Minmin too sweet")</f>
        <v>He Canyang Cai Minmin too sweet</v>
      </c>
      <c r="D2007" s="4" t="s">
        <v>3396</v>
      </c>
      <c r="E2007" s="4">
        <v>1.154703E7</v>
      </c>
      <c r="F2007" s="4">
        <v>6.0</v>
      </c>
      <c r="G2007" s="4" t="s">
        <v>3397</v>
      </c>
    </row>
    <row r="2008">
      <c r="A2008" s="1">
        <v>2006.0</v>
      </c>
      <c r="B2008" s="4" t="s">
        <v>3385</v>
      </c>
      <c r="C2008" s="4" t="str">
        <f>IFERROR(__xludf.DUMMYFUNCTION("GOOGLETRANSLATE(D:D,""auto"",""en"")"),"Men seeking stimulus towards passers-by spit jingfangxingju")</f>
        <v>Men seeking stimulus towards passers-by spit jingfangxingju</v>
      </c>
      <c r="D2008" s="4" t="s">
        <v>3398</v>
      </c>
      <c r="E2008" s="4">
        <v>1.1390342E7</v>
      </c>
      <c r="F2008" s="4">
        <v>7.0</v>
      </c>
      <c r="G2008" s="4" t="s">
        <v>3399</v>
      </c>
    </row>
    <row r="2009">
      <c r="A2009" s="1">
        <v>2007.0</v>
      </c>
      <c r="B2009" s="4" t="s">
        <v>3385</v>
      </c>
      <c r="C2009" s="4" t="str">
        <f>IFERROR(__xludf.DUMMYFUNCTION("GOOGLETRANSLATE(D:D,""auto"",""en"")"),"Lee now God predict Oscar")</f>
        <v>Lee now God predict Oscar</v>
      </c>
      <c r="D2009" s="4" t="s">
        <v>3400</v>
      </c>
      <c r="E2009" s="4">
        <v>1.1368381E7</v>
      </c>
      <c r="F2009" s="4">
        <v>8.0</v>
      </c>
      <c r="G2009" s="4" t="s">
        <v>3401</v>
      </c>
    </row>
    <row r="2010">
      <c r="A2010" s="1">
        <v>2008.0</v>
      </c>
      <c r="B2010" s="4" t="s">
        <v>3385</v>
      </c>
      <c r="C2010" s="4" t="str">
        <f>IFERROR(__xludf.DUMMYFUNCTION("GOOGLETRANSLATE(D:D,""auto"",""en"")"),"Wuhan, Hubei Ji star blessing")</f>
        <v>Wuhan, Hubei Ji star blessing</v>
      </c>
      <c r="D2010" s="4" t="s">
        <v>3323</v>
      </c>
      <c r="E2010" s="4">
        <v>1.1229509E7</v>
      </c>
      <c r="F2010" s="4">
        <v>9.0</v>
      </c>
      <c r="G2010" s="4" t="s">
        <v>3324</v>
      </c>
    </row>
    <row r="2011">
      <c r="A2011" s="1">
        <v>2009.0</v>
      </c>
      <c r="B2011" s="4" t="s">
        <v>3385</v>
      </c>
      <c r="C2011" s="4" t="str">
        <f>IFERROR(__xludf.DUMMYFUNCTION("GOOGLETRANSLATE(D:D,""auto"",""en"")"),"Shanghai may be the highest risk of outbreaks city")</f>
        <v>Shanghai may be the highest risk of outbreaks city</v>
      </c>
      <c r="D2011" s="4" t="s">
        <v>3402</v>
      </c>
      <c r="E2011" s="4">
        <v>1.1144422E7</v>
      </c>
      <c r="F2011" s="4">
        <v>10.0</v>
      </c>
      <c r="G2011" s="4" t="s">
        <v>3403</v>
      </c>
    </row>
    <row r="2012">
      <c r="A2012" s="1">
        <v>2010.0</v>
      </c>
      <c r="B2012" s="4" t="s">
        <v>3385</v>
      </c>
      <c r="C2012" s="4" t="str">
        <f>IFERROR(__xludf.DUMMYFUNCTION("GOOGLETRANSLATE(D:D,""auto"",""en"")"),"Relax is the indulgence of the virus")</f>
        <v>Relax is the indulgence of the virus</v>
      </c>
      <c r="D2012" s="4" t="s">
        <v>3404</v>
      </c>
      <c r="E2012" s="4">
        <v>1.114303E7</v>
      </c>
      <c r="F2012" s="4">
        <v>11.0</v>
      </c>
      <c r="G2012" s="4" t="s">
        <v>3405</v>
      </c>
    </row>
    <row r="2013">
      <c r="A2013" s="1">
        <v>2011.0</v>
      </c>
      <c r="B2013" s="4" t="s">
        <v>3385</v>
      </c>
      <c r="C2013" s="4" t="str">
        <f>IFERROR(__xludf.DUMMYFUNCTION("GOOGLETRANSLATE(D:D,""auto"",""en"")"),"Mr. Bean to refuel in Wuhan, China")</f>
        <v>Mr. Bean to refuel in Wuhan, China</v>
      </c>
      <c r="D2013" s="4" t="s">
        <v>3406</v>
      </c>
      <c r="E2013" s="4">
        <v>1.1070407E7</v>
      </c>
      <c r="F2013" s="4">
        <v>12.0</v>
      </c>
      <c r="G2013" s="4" t="s">
        <v>3407</v>
      </c>
    </row>
    <row r="2014">
      <c r="A2014" s="1">
        <v>2012.0</v>
      </c>
      <c r="B2014" s="4" t="s">
        <v>3385</v>
      </c>
      <c r="C2014" s="4" t="str">
        <f>IFERROR(__xludf.DUMMYFUNCTION("GOOGLETRANSLATE(D:D,""auto"",""en"")"),"Hospital, vice president refused to wear a mask was suspended duties")</f>
        <v>Hospital, vice president refused to wear a mask was suspended duties</v>
      </c>
      <c r="D2014" s="4" t="s">
        <v>3408</v>
      </c>
      <c r="E2014" s="4">
        <v>1.0724034E7</v>
      </c>
      <c r="F2014" s="4">
        <v>13.0</v>
      </c>
      <c r="G2014" s="4" t="s">
        <v>3409</v>
      </c>
    </row>
    <row r="2015">
      <c r="A2015" s="1">
        <v>2013.0</v>
      </c>
      <c r="B2015" s="4" t="s">
        <v>3385</v>
      </c>
      <c r="C2015" s="4" t="str">
        <f>IFERROR(__xludf.DUMMYFUNCTION("GOOGLETRANSLATE(D:D,""auto"",""en"")"),"Hunan female students who reported the Qindie")</f>
        <v>Hunan female students who reported the Qindie</v>
      </c>
      <c r="D2015" s="4" t="s">
        <v>3410</v>
      </c>
      <c r="E2015" s="4">
        <v>1.0586193E7</v>
      </c>
      <c r="F2015" s="4">
        <v>14.0</v>
      </c>
      <c r="G2015" s="4" t="s">
        <v>3411</v>
      </c>
    </row>
    <row r="2016">
      <c r="A2016" s="1">
        <v>2014.0</v>
      </c>
      <c r="B2016" s="4" t="s">
        <v>3385</v>
      </c>
      <c r="C2016" s="4" t="str">
        <f>IFERROR(__xludf.DUMMYFUNCTION("GOOGLETRANSLATE(D:D,""auto"",""en"")"),"Barry Hao and Wang Junkai")</f>
        <v>Barry Hao and Wang Junkai</v>
      </c>
      <c r="D2016" s="4" t="s">
        <v>3412</v>
      </c>
      <c r="E2016" s="4">
        <v>1.0328678E7</v>
      </c>
      <c r="F2016" s="4">
        <v>15.0</v>
      </c>
      <c r="G2016" s="4" t="s">
        <v>3413</v>
      </c>
    </row>
    <row r="2017">
      <c r="A2017" s="1">
        <v>2015.0</v>
      </c>
      <c r="B2017" s="4" t="s">
        <v>3385</v>
      </c>
      <c r="C2017" s="4" t="str">
        <f>IFERROR(__xludf.DUMMYFUNCTION("GOOGLETRANSLATE(D:D,""auto"",""en"")"),"The new crown pneumonia incubation period of up to 24 days")</f>
        <v>The new crown pneumonia incubation period of up to 24 days</v>
      </c>
      <c r="D2017" s="4" t="s">
        <v>3414</v>
      </c>
      <c r="E2017" s="4">
        <v>1.0277634E7</v>
      </c>
      <c r="F2017" s="4">
        <v>16.0</v>
      </c>
      <c r="G2017" s="4" t="s">
        <v>3415</v>
      </c>
    </row>
    <row r="2018">
      <c r="A2018" s="1">
        <v>2016.0</v>
      </c>
      <c r="B2018" s="4" t="s">
        <v>3385</v>
      </c>
      <c r="C2018" s="4" t="str">
        <f>IFERROR(__xludf.DUMMYFUNCTION("GOOGLETRANSLATE(D:D,""auto"",""en"")"),"The new crown pneumonia prognosis generally will not get within 6 months")</f>
        <v>The new crown pneumonia prognosis generally will not get within 6 months</v>
      </c>
      <c r="D2018" s="4" t="s">
        <v>3416</v>
      </c>
      <c r="E2018" s="4">
        <v>1.0262586E7</v>
      </c>
      <c r="F2018" s="4">
        <v>17.0</v>
      </c>
      <c r="G2018" s="4" t="s">
        <v>3417</v>
      </c>
    </row>
    <row r="2019">
      <c r="A2019" s="1">
        <v>2017.0</v>
      </c>
      <c r="B2019" s="4" t="s">
        <v>3385</v>
      </c>
      <c r="C2019" s="4" t="str">
        <f>IFERROR(__xludf.DUMMYFUNCTION("GOOGLETRANSLATE(D:D,""auto"",""en"")"),"Phoenix Best Male master")</f>
        <v>Phoenix Best Male master</v>
      </c>
      <c r="D2019" s="4" t="s">
        <v>3418</v>
      </c>
      <c r="E2019" s="4">
        <v>1.0120407E7</v>
      </c>
      <c r="F2019" s="4">
        <v>18.0</v>
      </c>
      <c r="G2019" s="4" t="s">
        <v>3419</v>
      </c>
    </row>
    <row r="2020">
      <c r="A2020" s="1">
        <v>2018.0</v>
      </c>
      <c r="B2020" s="4" t="s">
        <v>3385</v>
      </c>
      <c r="C2020" s="4" t="str">
        <f>IFERROR(__xludf.DUMMYFUNCTION("GOOGLETRANSLATE(D:D,""auto"",""en"")"),"Under Jinyi finale")</f>
        <v>Under Jinyi finale</v>
      </c>
      <c r="D2020" s="4" t="s">
        <v>3420</v>
      </c>
      <c r="E2020" s="4">
        <v>1.0092953E7</v>
      </c>
      <c r="F2020" s="4">
        <v>19.0</v>
      </c>
      <c r="G2020" s="4" t="s">
        <v>3421</v>
      </c>
    </row>
    <row r="2021">
      <c r="A2021" s="1">
        <v>2019.0</v>
      </c>
      <c r="B2021" s="4" t="s">
        <v>3385</v>
      </c>
      <c r="C2021" s="4" t="str">
        <f>IFERROR(__xludf.DUMMYFUNCTION("GOOGLETRANSLATE(D:D,""auto"",""en"")"),"US Olympic men's basketball team list of 44 National People's Congress")</f>
        <v>US Olympic men's basketball team list of 44 National People's Congress</v>
      </c>
      <c r="D2021" s="4" t="s">
        <v>3422</v>
      </c>
      <c r="E2021" s="4">
        <v>1.0075303E7</v>
      </c>
      <c r="F2021" s="4">
        <v>20.0</v>
      </c>
      <c r="G2021" s="4" t="s">
        <v>3423</v>
      </c>
    </row>
    <row r="2022">
      <c r="A2022" s="1">
        <v>2020.0</v>
      </c>
      <c r="B2022" s="4" t="s">
        <v>3385</v>
      </c>
      <c r="C2022" s="4" t="str">
        <f>IFERROR(__xludf.DUMMYFUNCTION("GOOGLETRANSLATE(D:D,""auto"",""en"")"),"Zheng Shuang red Sa Long Day")</f>
        <v>Zheng Shuang red Sa Long Day</v>
      </c>
      <c r="D2022" s="4" t="s">
        <v>3424</v>
      </c>
      <c r="E2022" s="4">
        <v>9975877.0</v>
      </c>
      <c r="F2022" s="4">
        <v>21.0</v>
      </c>
      <c r="G2022" s="4" t="s">
        <v>3425</v>
      </c>
    </row>
    <row r="2023">
      <c r="A2023" s="1">
        <v>2021.0</v>
      </c>
      <c r="B2023" s="4" t="s">
        <v>3385</v>
      </c>
      <c r="C2023" s="4" t="str">
        <f>IFERROR(__xludf.DUMMYFUNCTION("GOOGLETRANSLATE(D:D,""auto"",""en"")"),"Xiaozhan donated medical supplies")</f>
        <v>Xiaozhan donated medical supplies</v>
      </c>
      <c r="D2023" s="4" t="s">
        <v>3377</v>
      </c>
      <c r="E2023" s="4">
        <v>9940562.0</v>
      </c>
      <c r="F2023" s="4">
        <v>22.0</v>
      </c>
      <c r="G2023" s="4" t="s">
        <v>3378</v>
      </c>
    </row>
    <row r="2024">
      <c r="A2024" s="1">
        <v>2022.0</v>
      </c>
      <c r="B2024" s="4" t="s">
        <v>3385</v>
      </c>
      <c r="C2024" s="4" t="str">
        <f>IFERROR(__xludf.DUMMYFUNCTION("GOOGLETRANSLATE(D:D,""auto"",""en"")"),"Outside Hubei new cases a fall of five days")</f>
        <v>Outside Hubei new cases a fall of five days</v>
      </c>
      <c r="D2024" s="4" t="s">
        <v>3301</v>
      </c>
      <c r="E2024" s="4">
        <v>9910996.0</v>
      </c>
      <c r="F2024" s="4">
        <v>23.0</v>
      </c>
      <c r="G2024" s="4" t="s">
        <v>3302</v>
      </c>
    </row>
    <row r="2025">
      <c r="A2025" s="1">
        <v>2023.0</v>
      </c>
      <c r="B2025" s="4" t="s">
        <v>3385</v>
      </c>
      <c r="C2025" s="4" t="str">
        <f>IFERROR(__xludf.DUMMYFUNCTION("GOOGLETRANSLATE(D:D,""auto"",""en"")"),"Childhood breadwinner Luo")</f>
        <v>Childhood breadwinner Luo</v>
      </c>
      <c r="D2025" s="4" t="s">
        <v>3426</v>
      </c>
      <c r="E2025" s="4">
        <v>9900155.0</v>
      </c>
      <c r="F2025" s="4">
        <v>24.0</v>
      </c>
      <c r="G2025" s="4" t="s">
        <v>3427</v>
      </c>
    </row>
    <row r="2026">
      <c r="A2026" s="1">
        <v>2024.0</v>
      </c>
      <c r="B2026" s="4" t="s">
        <v>3385</v>
      </c>
      <c r="C2026" s="4" t="str">
        <f>IFERROR(__xludf.DUMMYFUNCTION("GOOGLETRANSLATE(D:D,""auto"",""en"")"),"98-year-old overseas Chinese donation before he died one day to Wuhan")</f>
        <v>98-year-old overseas Chinese donation before he died one day to Wuhan</v>
      </c>
      <c r="D2026" s="4" t="s">
        <v>3428</v>
      </c>
      <c r="E2026" s="4">
        <v>9870388.0</v>
      </c>
      <c r="F2026" s="4">
        <v>25.0</v>
      </c>
      <c r="G2026" s="4" t="s">
        <v>3429</v>
      </c>
    </row>
    <row r="2027">
      <c r="A2027" s="1">
        <v>2025.0</v>
      </c>
      <c r="B2027" s="4" t="s">
        <v>3385</v>
      </c>
      <c r="C2027" s="4" t="str">
        <f>IFERROR(__xludf.DUMMYFUNCTION("GOOGLETRANSLATE(D:D,""auto"",""en"")"),"Qinghai 4 consecutive days without new cases")</f>
        <v>Qinghai 4 consecutive days without new cases</v>
      </c>
      <c r="D2027" s="4" t="s">
        <v>3430</v>
      </c>
      <c r="E2027" s="4">
        <v>9849098.0</v>
      </c>
      <c r="F2027" s="4">
        <v>26.0</v>
      </c>
      <c r="G2027" s="4" t="s">
        <v>3431</v>
      </c>
    </row>
    <row r="2028">
      <c r="A2028" s="1">
        <v>2026.0</v>
      </c>
      <c r="B2028" s="4" t="s">
        <v>3385</v>
      </c>
      <c r="C2028" s="4" t="str">
        <f>IFERROR(__xludf.DUMMYFUNCTION("GOOGLETRANSLATE(D:D,""auto"",""en"")"),"Fancy homemade protective clothing")</f>
        <v>Fancy homemade protective clothing</v>
      </c>
      <c r="D2028" s="4" t="s">
        <v>3432</v>
      </c>
      <c r="E2028" s="4">
        <v>9845724.0</v>
      </c>
      <c r="F2028" s="4">
        <v>27.0</v>
      </c>
      <c r="G2028" s="4" t="s">
        <v>3433</v>
      </c>
    </row>
    <row r="2029">
      <c r="A2029" s="1">
        <v>2027.0</v>
      </c>
      <c r="B2029" s="4" t="s">
        <v>3385</v>
      </c>
      <c r="C2029" s="4" t="str">
        <f>IFERROR(__xludf.DUMMYFUNCTION("GOOGLETRANSLATE(D:D,""auto"",""en"")"),"The national total of 40,171 cases of pneumonia diagnosed with the new crown")</f>
        <v>The national total of 40,171 cases of pneumonia diagnosed with the new crown</v>
      </c>
      <c r="D2029" s="4" t="s">
        <v>3434</v>
      </c>
      <c r="E2029" s="4">
        <v>9719281.0</v>
      </c>
      <c r="F2029" s="4">
        <v>28.0</v>
      </c>
      <c r="G2029" s="4" t="s">
        <v>3435</v>
      </c>
    </row>
    <row r="2030">
      <c r="A2030" s="1">
        <v>2028.0</v>
      </c>
      <c r="B2030" s="4" t="s">
        <v>3385</v>
      </c>
      <c r="C2030" s="4" t="str">
        <f>IFERROR(__xludf.DUMMYFUNCTION("GOOGLETRANSLATE(D:D,""auto"",""en"")"),"Community concert")</f>
        <v>Community concert</v>
      </c>
      <c r="D2030" s="4" t="s">
        <v>3297</v>
      </c>
      <c r="E2030" s="4">
        <v>9637390.0</v>
      </c>
      <c r="F2030" s="4">
        <v>29.0</v>
      </c>
      <c r="G2030" s="4" t="s">
        <v>3298</v>
      </c>
    </row>
    <row r="2031">
      <c r="A2031" s="1">
        <v>2029.0</v>
      </c>
      <c r="B2031" s="4" t="s">
        <v>3385</v>
      </c>
      <c r="C2031" s="4" t="str">
        <f>IFERROR(__xludf.DUMMYFUNCTION("GOOGLETRANSLATE(D:D,""auto"",""en"")"),"Dean of Henan a hospital refused to wear a mask to be suspended")</f>
        <v>Dean of Henan a hospital refused to wear a mask to be suspended</v>
      </c>
      <c r="D2031" s="4" t="s">
        <v>3436</v>
      </c>
      <c r="E2031" s="4">
        <v>9599242.0</v>
      </c>
      <c r="F2031" s="4">
        <v>30.0</v>
      </c>
      <c r="G2031" s="4" t="s">
        <v>3437</v>
      </c>
    </row>
    <row r="2032">
      <c r="A2032" s="1">
        <v>2030.0</v>
      </c>
      <c r="B2032" s="4" t="s">
        <v>3385</v>
      </c>
      <c r="C2032" s="4" t="str">
        <f>IFERROR(__xludf.DUMMYFUNCTION("GOOGLETRANSLATE(D:D,""auto"",""en"")"),"How the children go out for fun")</f>
        <v>How the children go out for fun</v>
      </c>
      <c r="D2032" s="4" t="s">
        <v>3438</v>
      </c>
      <c r="E2032" s="4">
        <v>9546167.0</v>
      </c>
      <c r="F2032" s="4">
        <v>31.0</v>
      </c>
      <c r="G2032" s="4" t="s">
        <v>3439</v>
      </c>
    </row>
    <row r="2033">
      <c r="A2033" s="1">
        <v>2031.0</v>
      </c>
      <c r="B2033" s="4" t="s">
        <v>3385</v>
      </c>
      <c r="C2033" s="4" t="str">
        <f>IFERROR(__xludf.DUMMYFUNCTION("GOOGLETRANSLATE(D:D,""auto"",""en"")"),"Wenzhou boss trapped in a high-speed car 15 days")</f>
        <v>Wenzhou boss trapped in a high-speed car 15 days</v>
      </c>
      <c r="D2033" s="4" t="s">
        <v>3440</v>
      </c>
      <c r="E2033" s="4">
        <v>9433361.0</v>
      </c>
      <c r="F2033" s="4">
        <v>32.0</v>
      </c>
      <c r="G2033" s="4" t="s">
        <v>3441</v>
      </c>
    </row>
    <row r="2034">
      <c r="A2034" s="1">
        <v>2032.0</v>
      </c>
      <c r="B2034" s="4" t="s">
        <v>3385</v>
      </c>
      <c r="C2034" s="4" t="str">
        <f>IFERROR(__xludf.DUMMYFUNCTION("GOOGLETRANSLATE(D:D,""auto"",""en"")"),"Hubei new cases other than a fall of 6 days")</f>
        <v>Hubei new cases other than a fall of 6 days</v>
      </c>
      <c r="D2034" s="4" t="s">
        <v>3442</v>
      </c>
      <c r="E2034" s="4">
        <v>9342734.0</v>
      </c>
      <c r="F2034" s="4">
        <v>33.0</v>
      </c>
      <c r="G2034" s="4" t="s">
        <v>3443</v>
      </c>
    </row>
    <row r="2035">
      <c r="A2035" s="1">
        <v>2033.0</v>
      </c>
      <c r="B2035" s="4" t="s">
        <v>3385</v>
      </c>
      <c r="C2035" s="4" t="str">
        <f>IFERROR(__xludf.DUMMYFUNCTION("GOOGLETRANSLATE(D:D,""auto"",""en"")"),"Parasite Oscar for Best Picture")</f>
        <v>Parasite Oscar for Best Picture</v>
      </c>
      <c r="D2035" s="4" t="s">
        <v>3444</v>
      </c>
      <c r="E2035" s="4">
        <v>9340397.0</v>
      </c>
      <c r="F2035" s="4">
        <v>34.0</v>
      </c>
      <c r="G2035" s="4" t="s">
        <v>3445</v>
      </c>
    </row>
    <row r="2036">
      <c r="A2036" s="1">
        <v>2034.0</v>
      </c>
      <c r="B2036" s="4" t="s">
        <v>3385</v>
      </c>
      <c r="C2036" s="4" t="str">
        <f>IFERROR(__xludf.DUMMYFUNCTION("GOOGLETRANSLATE(D:D,""auto"",""en"")"),"Qilu medical manual written in Wuhan dialect")</f>
        <v>Qilu medical manual written in Wuhan dialect</v>
      </c>
      <c r="D2036" s="4" t="s">
        <v>3446</v>
      </c>
      <c r="E2036" s="4">
        <v>9330443.0</v>
      </c>
      <c r="F2036" s="4">
        <v>35.0</v>
      </c>
      <c r="G2036" s="4" t="s">
        <v>3447</v>
      </c>
    </row>
    <row r="2037">
      <c r="A2037" s="1">
        <v>2035.0</v>
      </c>
      <c r="B2037" s="4" t="s">
        <v>3385</v>
      </c>
      <c r="C2037" s="4" t="str">
        <f>IFERROR(__xludf.DUMMYFUNCTION("GOOGLETRANSLATE(D:D,""auto"",""en"")"),"Hubei exclude suspected cases faster")</f>
        <v>Hubei exclude suspected cases faster</v>
      </c>
      <c r="D2037" s="4" t="s">
        <v>3448</v>
      </c>
      <c r="E2037" s="4">
        <v>9284428.0</v>
      </c>
      <c r="F2037" s="4">
        <v>36.0</v>
      </c>
      <c r="G2037" s="4" t="s">
        <v>3449</v>
      </c>
    </row>
    <row r="2038">
      <c r="A2038" s="1">
        <v>2036.0</v>
      </c>
      <c r="B2038" s="4" t="s">
        <v>3385</v>
      </c>
      <c r="C2038" s="4" t="str">
        <f>IFERROR(__xludf.DUMMYFUNCTION("GOOGLETRANSLATE(D:D,""auto"",""en"")"),"Hero captain Liu Zhuanjian sending medical teams Contagion")</f>
        <v>Hero captain Liu Zhuanjian sending medical teams Contagion</v>
      </c>
      <c r="D2038" s="4" t="s">
        <v>3450</v>
      </c>
      <c r="E2038" s="4">
        <v>9194413.0</v>
      </c>
      <c r="F2038" s="4">
        <v>37.0</v>
      </c>
      <c r="G2038" s="4" t="s">
        <v>3451</v>
      </c>
    </row>
    <row r="2039">
      <c r="A2039" s="1">
        <v>2037.0</v>
      </c>
      <c r="B2039" s="4" t="s">
        <v>3385</v>
      </c>
      <c r="C2039" s="4" t="str">
        <f>IFERROR(__xludf.DUMMYFUNCTION("GOOGLETRANSLATE(D:D,""auto"",""en"")"),"SARS virus is not new crown")</f>
        <v>SARS virus is not new crown</v>
      </c>
      <c r="D2039" s="4" t="s">
        <v>3452</v>
      </c>
      <c r="E2039" s="4">
        <v>9193456.0</v>
      </c>
      <c r="F2039" s="4">
        <v>38.0</v>
      </c>
      <c r="G2039" s="4" t="s">
        <v>3453</v>
      </c>
    </row>
    <row r="2040">
      <c r="A2040" s="1">
        <v>2038.0</v>
      </c>
      <c r="B2040" s="4" t="s">
        <v>3385</v>
      </c>
      <c r="C2040" s="4" t="str">
        <f>IFERROR(__xludf.DUMMYFUNCTION("GOOGLETRANSLATE(D:D,""auto"",""en"")"),"92nd Oscar red carpet")</f>
        <v>92nd Oscar red carpet</v>
      </c>
      <c r="D2040" s="4" t="s">
        <v>3454</v>
      </c>
      <c r="E2040" s="4">
        <v>9174641.0</v>
      </c>
      <c r="F2040" s="4">
        <v>39.0</v>
      </c>
      <c r="G2040" s="4" t="s">
        <v>3455</v>
      </c>
    </row>
    <row r="2041">
      <c r="A2041" s="1">
        <v>2039.0</v>
      </c>
      <c r="B2041" s="4" t="s">
        <v>3385</v>
      </c>
      <c r="C2041" s="4" t="str">
        <f>IFERROR(__xludf.DUMMYFUNCTION("GOOGLETRANSLATE(D:D,""auto"",""en"")"),"Add a new crown pneumonia cases in Yunnan zero")</f>
        <v>Add a new crown pneumonia cases in Yunnan zero</v>
      </c>
      <c r="D2041" s="4" t="s">
        <v>3456</v>
      </c>
      <c r="E2041" s="4">
        <v>9170088.0</v>
      </c>
      <c r="F2041" s="4">
        <v>40.0</v>
      </c>
      <c r="G2041" s="4" t="s">
        <v>3457</v>
      </c>
    </row>
    <row r="2042">
      <c r="A2042" s="1">
        <v>2040.0</v>
      </c>
      <c r="B2042" s="4" t="s">
        <v>3385</v>
      </c>
      <c r="C2042" s="4" t="str">
        <f>IFERROR(__xludf.DUMMYFUNCTION("GOOGLETRANSLATE(D:D,""auto"",""en"")"),"Sisters tear doctors masks were arrested row")</f>
        <v>Sisters tear doctors masks were arrested row</v>
      </c>
      <c r="D2042" s="4" t="s">
        <v>3458</v>
      </c>
      <c r="E2042" s="4">
        <v>9141670.0</v>
      </c>
      <c r="F2042" s="4">
        <v>41.0</v>
      </c>
      <c r="G2042" s="4" t="s">
        <v>3459</v>
      </c>
    </row>
    <row r="2043">
      <c r="A2043" s="1">
        <v>2041.0</v>
      </c>
      <c r="B2043" s="4" t="s">
        <v>3385</v>
      </c>
      <c r="C2043" s="4" t="str">
        <f>IFERROR(__xludf.DUMMYFUNCTION("GOOGLETRANSLATE(D:D,""auto"",""en"")"),"Anhui new cases of 51 cases")</f>
        <v>Anhui new cases of 51 cases</v>
      </c>
      <c r="D2043" s="4" t="s">
        <v>3460</v>
      </c>
      <c r="E2043" s="4">
        <v>9130771.0</v>
      </c>
      <c r="F2043" s="4">
        <v>42.0</v>
      </c>
      <c r="G2043" s="4" t="s">
        <v>3461</v>
      </c>
    </row>
    <row r="2044">
      <c r="A2044" s="1">
        <v>2042.0</v>
      </c>
      <c r="B2044" s="4" t="s">
        <v>3385</v>
      </c>
      <c r="C2044" s="4" t="str">
        <f>IFERROR(__xludf.DUMMYFUNCTION("GOOGLETRANSLATE(D:D,""auto"",""en"")"),"In the nearest place from virus samples")</f>
        <v>In the nearest place from virus samples</v>
      </c>
      <c r="D2044" s="4" t="s">
        <v>3462</v>
      </c>
      <c r="E2044" s="4">
        <v>9083036.0</v>
      </c>
      <c r="F2044" s="4">
        <v>43.0</v>
      </c>
      <c r="G2044" s="4" t="s">
        <v>3463</v>
      </c>
    </row>
    <row r="2045">
      <c r="A2045" s="1">
        <v>2043.0</v>
      </c>
      <c r="B2045" s="4" t="s">
        <v>3385</v>
      </c>
      <c r="C2045" s="4" t="str">
        <f>IFERROR(__xludf.DUMMYFUNCTION("GOOGLETRANSLATE(D:D,""auto"",""en"")"),"Wear a mask to prevent the spread of aerosols")</f>
        <v>Wear a mask to prevent the spread of aerosols</v>
      </c>
      <c r="D2045" s="4" t="s">
        <v>3464</v>
      </c>
      <c r="E2045" s="4">
        <v>9074733.0</v>
      </c>
      <c r="F2045" s="4">
        <v>44.0</v>
      </c>
      <c r="G2045" s="4" t="s">
        <v>3465</v>
      </c>
    </row>
    <row r="2046">
      <c r="A2046" s="1">
        <v>2044.0</v>
      </c>
      <c r="B2046" s="4" t="s">
        <v>3385</v>
      </c>
      <c r="C2046" s="4" t="str">
        <f>IFERROR(__xludf.DUMMYFUNCTION("GOOGLETRANSLATE(D:D,""auto"",""en"")"),"Shenzhen passenger boarding space suits")</f>
        <v>Shenzhen passenger boarding space suits</v>
      </c>
      <c r="D2046" s="4" t="s">
        <v>3466</v>
      </c>
      <c r="E2046" s="4">
        <v>9073222.0</v>
      </c>
      <c r="F2046" s="4">
        <v>45.0</v>
      </c>
      <c r="G2046" s="4" t="s">
        <v>3467</v>
      </c>
    </row>
    <row r="2047">
      <c r="A2047" s="1">
        <v>2045.0</v>
      </c>
      <c r="B2047" s="4" t="s">
        <v>3385</v>
      </c>
      <c r="C2047" s="4" t="str">
        <f>IFERROR(__xludf.DUMMYFUNCTION("GOOGLETRANSLATE(D:D,""auto"",""en"")"),"Vegetable plot owners put up signs 0.1 yuan")</f>
        <v>Vegetable plot owners put up signs 0.1 yuan</v>
      </c>
      <c r="D2047" s="4" t="s">
        <v>3468</v>
      </c>
      <c r="E2047" s="4">
        <v>8971716.0</v>
      </c>
      <c r="F2047" s="4">
        <v>46.0</v>
      </c>
      <c r="G2047" s="4" t="s">
        <v>3469</v>
      </c>
    </row>
    <row r="2048">
      <c r="A2048" s="1">
        <v>2046.0</v>
      </c>
      <c r="B2048" s="4" t="s">
        <v>3385</v>
      </c>
      <c r="C2048" s="4" t="str">
        <f>IFERROR(__xludf.DUMMYFUNCTION("GOOGLETRANSLATE(D:D,""auto"",""en"")"),"Chen's new deputy head of the Central Steering Group")</f>
        <v>Chen's new deputy head of the Central Steering Group</v>
      </c>
      <c r="D2048" s="4" t="s">
        <v>3470</v>
      </c>
      <c r="E2048" s="4">
        <v>8885716.0</v>
      </c>
      <c r="F2048" s="4">
        <v>47.0</v>
      </c>
      <c r="G2048" s="4" t="s">
        <v>3471</v>
      </c>
    </row>
    <row r="2049">
      <c r="A2049" s="1">
        <v>2047.0</v>
      </c>
      <c r="B2049" s="4" t="s">
        <v>3385</v>
      </c>
      <c r="C2049" s="4" t="str">
        <f>IFERROR(__xludf.DUMMYFUNCTION("GOOGLETRANSLATE(D:D,""auto"",""en"")"),"41-day charter with nearly 6,000 people arrived in Wuhan")</f>
        <v>41-day charter with nearly 6,000 people arrived in Wuhan</v>
      </c>
      <c r="D2049" s="4" t="s">
        <v>3472</v>
      </c>
      <c r="E2049" s="4">
        <v>8883956.0</v>
      </c>
      <c r="F2049" s="4">
        <v>48.0</v>
      </c>
      <c r="G2049" s="4" t="s">
        <v>3473</v>
      </c>
    </row>
    <row r="2050">
      <c r="A2050" s="1">
        <v>2048.0</v>
      </c>
      <c r="B2050" s="4" t="s">
        <v>3385</v>
      </c>
      <c r="C2050" s="4" t="str">
        <f>IFERROR(__xludf.DUMMYFUNCTION("GOOGLETRANSLATE(D:D,""auto"",""en"")"),"Support the four-day mission hospital in Wuhan")</f>
        <v>Support the four-day mission hospital in Wuhan</v>
      </c>
      <c r="D2050" s="4" t="s">
        <v>3315</v>
      </c>
      <c r="E2050" s="4">
        <v>8854152.0</v>
      </c>
      <c r="F2050" s="4">
        <v>49.0</v>
      </c>
      <c r="G2050" s="4" t="s">
        <v>3316</v>
      </c>
    </row>
    <row r="2051">
      <c r="A2051" s="1">
        <v>2049.0</v>
      </c>
      <c r="B2051" s="4" t="s">
        <v>3385</v>
      </c>
      <c r="C2051" s="4" t="str">
        <f>IFERROR(__xludf.DUMMYFUNCTION("GOOGLETRANSLATE(D:D,""auto"",""en"")"),"Hubei Red Cross requires radical restructuring")</f>
        <v>Hubei Red Cross requires radical restructuring</v>
      </c>
      <c r="D2051" s="4" t="s">
        <v>3474</v>
      </c>
      <c r="E2051" s="4">
        <v>8820676.0</v>
      </c>
      <c r="F2051" s="4">
        <v>50.0</v>
      </c>
      <c r="G2051" s="4" t="s">
        <v>3475</v>
      </c>
    </row>
    <row r="2052">
      <c r="A2052" s="1">
        <v>2050.0</v>
      </c>
      <c r="B2052" s="4" t="s">
        <v>3476</v>
      </c>
      <c r="C2052" s="4" t="str">
        <f>IFERROR(__xludf.DUMMYFUNCTION("GOOGLETRANSLATE(D:D,""auto"",""en"")"),"NASA Li broom challenge")</f>
        <v>NASA Li broom challenge</v>
      </c>
      <c r="D2052" s="4" t="s">
        <v>3477</v>
      </c>
      <c r="E2052" s="4">
        <v>1.078504E7</v>
      </c>
      <c r="F2052" s="4">
        <v>1.0</v>
      </c>
      <c r="G2052" s="4" t="s">
        <v>3478</v>
      </c>
    </row>
    <row r="2053">
      <c r="A2053" s="1">
        <v>2051.0</v>
      </c>
      <c r="B2053" s="4" t="s">
        <v>3476</v>
      </c>
      <c r="C2053" s="4" t="str">
        <f>IFERROR(__xludf.DUMMYFUNCTION("GOOGLETRANSLATE(D:D,""auto"",""en"")"),"The national total of 42,638 cases of pneumonia diagnosed with the new crown")</f>
        <v>The national total of 42,638 cases of pneumonia diagnosed with the new crown</v>
      </c>
      <c r="D2053" s="4" t="s">
        <v>3479</v>
      </c>
      <c r="E2053" s="4">
        <v>9347450.0</v>
      </c>
      <c r="F2053" s="4">
        <v>2.0</v>
      </c>
      <c r="G2053" s="4" t="s">
        <v>3480</v>
      </c>
    </row>
    <row r="2054">
      <c r="A2054" s="1">
        <v>2052.0</v>
      </c>
      <c r="B2054" s="4" t="s">
        <v>3476</v>
      </c>
      <c r="C2054" s="4" t="str">
        <f>IFERROR(__xludf.DUMMYFUNCTION("GOOGLETRANSLATE(D:D,""auto"",""en"")"),"Raytheon Network Red Hill brothers behind the small blue")</f>
        <v>Raytheon Network Red Hill brothers behind the small blue</v>
      </c>
      <c r="D2054" s="4" t="s">
        <v>3481</v>
      </c>
      <c r="E2054" s="4">
        <v>9116801.0</v>
      </c>
      <c r="F2054" s="4">
        <v>3.0</v>
      </c>
      <c r="G2054" s="4" t="s">
        <v>3482</v>
      </c>
    </row>
    <row r="2055">
      <c r="A2055" s="1">
        <v>2053.0</v>
      </c>
      <c r="B2055" s="4" t="s">
        <v>3476</v>
      </c>
      <c r="C2055" s="4" t="str">
        <f>IFERROR(__xludf.DUMMYFUNCTION("GOOGLETRANSLATE(D:D,""auto"",""en"")"),"Shanghai 13000 district closed-end management")</f>
        <v>Shanghai 13000 district closed-end management</v>
      </c>
      <c r="D2055" s="4" t="s">
        <v>3483</v>
      </c>
      <c r="E2055" s="4">
        <v>8897648.0</v>
      </c>
      <c r="F2055" s="4">
        <v>4.0</v>
      </c>
      <c r="G2055" s="4" t="s">
        <v>3484</v>
      </c>
    </row>
    <row r="2056">
      <c r="A2056" s="1">
        <v>2054.0</v>
      </c>
      <c r="B2056" s="4" t="s">
        <v>3476</v>
      </c>
      <c r="C2056" s="4" t="str">
        <f>IFERROR(__xludf.DUMMYFUNCTION("GOOGLETRANSLATE(D:D,""auto"",""en"")"),"Love Apartments demolition")</f>
        <v>Love Apartments demolition</v>
      </c>
      <c r="D2056" s="4" t="s">
        <v>3485</v>
      </c>
      <c r="E2056" s="4">
        <v>8799985.0</v>
      </c>
      <c r="F2056" s="4">
        <v>5.0</v>
      </c>
      <c r="G2056" s="4" t="s">
        <v>3486</v>
      </c>
    </row>
    <row r="2057">
      <c r="A2057" s="1">
        <v>2055.0</v>
      </c>
      <c r="B2057" s="4" t="s">
        <v>3476</v>
      </c>
      <c r="C2057" s="4" t="str">
        <f>IFERROR(__xludf.DUMMYFUNCTION("GOOGLETRANSLATE(D:D,""auto"",""en"")"),"Zhang Dingyu new crown pneumonia is self-limiting disease")</f>
        <v>Zhang Dingyu new crown pneumonia is self-limiting disease</v>
      </c>
      <c r="D2057" s="4" t="s">
        <v>3487</v>
      </c>
      <c r="E2057" s="4">
        <v>8640075.0</v>
      </c>
      <c r="F2057" s="4">
        <v>6.0</v>
      </c>
      <c r="G2057" s="4" t="s">
        <v>3488</v>
      </c>
    </row>
    <row r="2058">
      <c r="A2058" s="1">
        <v>2056.0</v>
      </c>
      <c r="B2058" s="4" t="s">
        <v>3476</v>
      </c>
      <c r="C2058" s="4" t="str">
        <f>IFERROR(__xludf.DUMMYFUNCTION("GOOGLETRANSLATE(D:D,""auto"",""en"")"),"Students passenger ticket before March 31 free back Meal")</f>
        <v>Students passenger ticket before March 31 free back Meal</v>
      </c>
      <c r="D2058" s="4" t="s">
        <v>3489</v>
      </c>
      <c r="E2058" s="4">
        <v>8438535.0</v>
      </c>
      <c r="F2058" s="4">
        <v>7.0</v>
      </c>
      <c r="G2058" s="4" t="s">
        <v>3490</v>
      </c>
    </row>
    <row r="2059">
      <c r="A2059" s="1">
        <v>2057.0</v>
      </c>
      <c r="B2059" s="4" t="s">
        <v>3476</v>
      </c>
      <c r="C2059" s="4" t="str">
        <f>IFERROR(__xludf.DUMMYFUNCTION("GOOGLETRANSLATE(D:D,""auto"",""en"")"),"Wuhan fever patient treatment may not cross")</f>
        <v>Wuhan fever patient treatment may not cross</v>
      </c>
      <c r="D2059" s="4" t="s">
        <v>3491</v>
      </c>
      <c r="E2059" s="4">
        <v>8205305.0</v>
      </c>
      <c r="F2059" s="4">
        <v>8.0</v>
      </c>
      <c r="G2059" s="4" t="s">
        <v>3492</v>
      </c>
    </row>
    <row r="2060">
      <c r="A2060" s="1">
        <v>2058.0</v>
      </c>
      <c r="B2060" s="4" t="s">
        <v>3476</v>
      </c>
      <c r="C2060" s="4" t="str">
        <f>IFERROR(__xludf.DUMMYFUNCTION("GOOGLETRANSLATE(D:D,""auto"",""en"")"),"Outside Hubei new cases a fall of 7 days")</f>
        <v>Outside Hubei new cases a fall of 7 days</v>
      </c>
      <c r="D2060" s="4" t="s">
        <v>3493</v>
      </c>
      <c r="E2060" s="4">
        <v>8050653.0</v>
      </c>
      <c r="F2060" s="4">
        <v>9.0</v>
      </c>
      <c r="G2060" s="4" t="s">
        <v>3494</v>
      </c>
    </row>
    <row r="2061">
      <c r="A2061" s="1">
        <v>2059.0</v>
      </c>
      <c r="B2061" s="4" t="s">
        <v>3476</v>
      </c>
      <c r="C2061" s="4" t="str">
        <f>IFERROR(__xludf.DUMMYFUNCTION("GOOGLETRANSLATE(D:D,""auto"",""en"")"),"Li broom challenge")</f>
        <v>Li broom challenge</v>
      </c>
      <c r="D2061" s="4" t="s">
        <v>3495</v>
      </c>
      <c r="E2061" s="4">
        <v>8031875.0</v>
      </c>
      <c r="F2061" s="4">
        <v>10.0</v>
      </c>
      <c r="G2061" s="4" t="s">
        <v>3496</v>
      </c>
    </row>
    <row r="2062">
      <c r="A2062" s="1">
        <v>2060.0</v>
      </c>
      <c r="B2062" s="4" t="s">
        <v>3476</v>
      </c>
      <c r="C2062" s="4" t="str">
        <f>IFERROR(__xludf.DUMMYFUNCTION("GOOGLETRANSLATE(D:D,""auto"",""en"")"),"World Health Organization named the new coronavirus")</f>
        <v>World Health Organization named the new coronavirus</v>
      </c>
      <c r="D2062" s="4" t="s">
        <v>3497</v>
      </c>
      <c r="E2062" s="4">
        <v>8019366.0</v>
      </c>
      <c r="F2062" s="4">
        <v>11.0</v>
      </c>
      <c r="G2062" s="4" t="s">
        <v>3498</v>
      </c>
    </row>
    <row r="2063">
      <c r="A2063" s="1">
        <v>2061.0</v>
      </c>
      <c r="B2063" s="4" t="s">
        <v>3476</v>
      </c>
      <c r="C2063" s="4" t="str">
        <f>IFERROR(__xludf.DUMMYFUNCTION("GOOGLETRANSLATE(D:D,""auto"",""en"")"),"Hubei new confirmed cases 2097 cases")</f>
        <v>Hubei new confirmed cases 2097 cases</v>
      </c>
      <c r="D2063" s="4" t="s">
        <v>3499</v>
      </c>
      <c r="E2063" s="4">
        <v>7990777.0</v>
      </c>
      <c r="F2063" s="4">
        <v>12.0</v>
      </c>
      <c r="G2063" s="4" t="s">
        <v>3500</v>
      </c>
    </row>
    <row r="2064">
      <c r="A2064" s="1">
        <v>2062.0</v>
      </c>
      <c r="B2064" s="4" t="s">
        <v>3476</v>
      </c>
      <c r="C2064" s="4" t="str">
        <f>IFERROR(__xludf.DUMMYFUNCTION("GOOGLETRANSLATE(D:D,""auto"",""en"")"),"Modern silk clothing under special episode")</f>
        <v>Modern silk clothing under special episode</v>
      </c>
      <c r="D2064" s="4" t="s">
        <v>3501</v>
      </c>
      <c r="E2064" s="4">
        <v>7843610.0</v>
      </c>
      <c r="F2064" s="4">
        <v>13.0</v>
      </c>
      <c r="G2064" s="4" t="s">
        <v>3502</v>
      </c>
    </row>
    <row r="2065">
      <c r="A2065" s="1">
        <v>2063.0</v>
      </c>
      <c r="B2065" s="4" t="s">
        <v>3476</v>
      </c>
      <c r="C2065" s="4" t="str">
        <f>IFERROR(__xludf.DUMMYFUNCTION("GOOGLETRANSLATE(D:D,""auto"",""en"")"),"Li Lanjuan team treatment model is paying off")</f>
        <v>Li Lanjuan team treatment model is paying off</v>
      </c>
      <c r="D2065" s="4" t="s">
        <v>3503</v>
      </c>
      <c r="E2065" s="4">
        <v>7834246.0</v>
      </c>
      <c r="F2065" s="4">
        <v>14.0</v>
      </c>
      <c r="G2065" s="4" t="s">
        <v>3504</v>
      </c>
    </row>
    <row r="2066">
      <c r="A2066" s="1">
        <v>2064.0</v>
      </c>
      <c r="B2066" s="4" t="s">
        <v>3476</v>
      </c>
      <c r="C2066" s="4" t="str">
        <f>IFERROR(__xludf.DUMMYFUNCTION("GOOGLETRANSLATE(D:D,""auto"",""en"")"),"Shaanxi diagnosed with a high-speed rail cleaner")</f>
        <v>Shaanxi diagnosed with a high-speed rail cleaner</v>
      </c>
      <c r="D2066" s="4" t="s">
        <v>3505</v>
      </c>
      <c r="E2066" s="4">
        <v>7772187.0</v>
      </c>
      <c r="F2066" s="4">
        <v>15.0</v>
      </c>
      <c r="G2066" s="4" t="s">
        <v>3506</v>
      </c>
    </row>
    <row r="2067">
      <c r="A2067" s="1">
        <v>2065.0</v>
      </c>
      <c r="B2067" s="4" t="s">
        <v>3476</v>
      </c>
      <c r="C2067" s="4" t="str">
        <f>IFERROR(__xludf.DUMMYFUNCTION("GOOGLETRANSLATE(D:D,""auto"",""en"")"),"WHO Expert advance team arrived in China")</f>
        <v>WHO Expert advance team arrived in China</v>
      </c>
      <c r="D2067" s="4" t="s">
        <v>3507</v>
      </c>
      <c r="E2067" s="4">
        <v>7671926.0</v>
      </c>
      <c r="F2067" s="4">
        <v>16.0</v>
      </c>
      <c r="G2067" s="4" t="s">
        <v>3508</v>
      </c>
    </row>
    <row r="2068">
      <c r="A2068" s="1">
        <v>2066.0</v>
      </c>
      <c r="B2068" s="4" t="s">
        <v>3476</v>
      </c>
      <c r="C2068" s="4" t="str">
        <f>IFERROR(__xludf.DUMMYFUNCTION("GOOGLETRANSLATE(D:D,""auto"",""en"")"),"Wuhan all cells closed management")</f>
        <v>Wuhan all cells closed management</v>
      </c>
      <c r="D2068" s="4" t="s">
        <v>3509</v>
      </c>
      <c r="E2068" s="4">
        <v>7553290.0</v>
      </c>
      <c r="F2068" s="4">
        <v>17.0</v>
      </c>
      <c r="G2068" s="4" t="s">
        <v>3510</v>
      </c>
    </row>
    <row r="2069">
      <c r="A2069" s="1">
        <v>2067.0</v>
      </c>
      <c r="B2069" s="4" t="s">
        <v>3476</v>
      </c>
      <c r="C2069" s="4" t="str">
        <f>IFERROR(__xludf.DUMMYFUNCTION("GOOGLETRANSLATE(D:D,""auto"",""en"")"),"Henan new confirmed cases 32 cases")</f>
        <v>Henan new confirmed cases 32 cases</v>
      </c>
      <c r="D2069" s="4" t="s">
        <v>3511</v>
      </c>
      <c r="E2069" s="4">
        <v>7517935.0</v>
      </c>
      <c r="F2069" s="4">
        <v>18.0</v>
      </c>
      <c r="G2069" s="4" t="s">
        <v>3512</v>
      </c>
    </row>
    <row r="2070">
      <c r="A2070" s="1">
        <v>2068.0</v>
      </c>
      <c r="B2070" s="4" t="s">
        <v>3476</v>
      </c>
      <c r="C2070" s="4" t="str">
        <f>IFERROR(__xludf.DUMMYFUNCTION("GOOGLETRANSLATE(D:D,""auto"",""en"")"),"Lanzhou beef noodles get that feeling of imperial examinations")</f>
        <v>Lanzhou beef noodles get that feeling of imperial examinations</v>
      </c>
      <c r="D2070" s="4" t="s">
        <v>3513</v>
      </c>
      <c r="E2070" s="4">
        <v>7474880.0</v>
      </c>
      <c r="F2070" s="4">
        <v>19.0</v>
      </c>
      <c r="G2070" s="4" t="s">
        <v>3514</v>
      </c>
    </row>
    <row r="2071">
      <c r="A2071" s="1">
        <v>2069.0</v>
      </c>
      <c r="B2071" s="4" t="s">
        <v>3476</v>
      </c>
      <c r="C2071" s="4" t="str">
        <f>IFERROR(__xludf.DUMMYFUNCTION("GOOGLETRANSLATE(D:D,""auto"",""en"")"),"Ministry of Civil Affairs called on public companies to develop software")</f>
        <v>Ministry of Civil Affairs called on public companies to develop software</v>
      </c>
      <c r="D2071" s="4" t="s">
        <v>3515</v>
      </c>
      <c r="E2071" s="4">
        <v>7461408.0</v>
      </c>
      <c r="F2071" s="4">
        <v>20.0</v>
      </c>
      <c r="G2071" s="4" t="s">
        <v>3516</v>
      </c>
    </row>
    <row r="2072">
      <c r="A2072" s="1">
        <v>2070.0</v>
      </c>
      <c r="B2072" s="4" t="s">
        <v>3476</v>
      </c>
      <c r="C2072" s="4" t="str">
        <f>IFERROR(__xludf.DUMMYFUNCTION("GOOGLETRANSLATE(D:D,""auto"",""en"")"),"WHO's new crown virus is not afraid of hot and humid weather")</f>
        <v>WHO's new crown virus is not afraid of hot and humid weather</v>
      </c>
      <c r="D2072" s="4" t="s">
        <v>3517</v>
      </c>
      <c r="E2072" s="4">
        <v>7133500.0</v>
      </c>
      <c r="F2072" s="4">
        <v>21.0</v>
      </c>
      <c r="G2072" s="4" t="s">
        <v>3518</v>
      </c>
    </row>
    <row r="2073">
      <c r="A2073" s="1">
        <v>2071.0</v>
      </c>
      <c r="B2073" s="4" t="s">
        <v>3476</v>
      </c>
      <c r="C2073" s="4" t="str">
        <f>IFERROR(__xludf.DUMMYFUNCTION("GOOGLETRANSLATE(D:D,""auto"",""en"")"),"Wang source for hot pot boiled noodles")</f>
        <v>Wang source for hot pot boiled noodles</v>
      </c>
      <c r="D2073" s="4" t="s">
        <v>3519</v>
      </c>
      <c r="E2073" s="4">
        <v>7126583.0</v>
      </c>
      <c r="F2073" s="4">
        <v>22.0</v>
      </c>
      <c r="G2073" s="4" t="s">
        <v>3520</v>
      </c>
    </row>
    <row r="2074">
      <c r="A2074" s="1">
        <v>2072.0</v>
      </c>
      <c r="B2074" s="4" t="s">
        <v>3476</v>
      </c>
      <c r="C2074" s="4" t="str">
        <f>IFERROR(__xludf.DUMMYFUNCTION("GOOGLETRANSLATE(D:D,""auto"",""en"")"),"Luhan song rehearsal")</f>
        <v>Luhan song rehearsal</v>
      </c>
      <c r="D2074" s="4" t="s">
        <v>3521</v>
      </c>
      <c r="E2074" s="4">
        <v>7031979.0</v>
      </c>
      <c r="F2074" s="4">
        <v>23.0</v>
      </c>
      <c r="G2074" s="4" t="s">
        <v>3522</v>
      </c>
    </row>
    <row r="2075">
      <c r="A2075" s="1">
        <v>2073.0</v>
      </c>
      <c r="B2075" s="4" t="s">
        <v>3476</v>
      </c>
      <c r="C2075" s="4" t="str">
        <f>IFERROR(__xludf.DUMMYFUNCTION("GOOGLETRANSLATE(D:D,""auto"",""en"")"),"Nigeria's outbreak of unknown disease")</f>
        <v>Nigeria's outbreak of unknown disease</v>
      </c>
      <c r="D2075" s="4" t="s">
        <v>3523</v>
      </c>
      <c r="E2075" s="4">
        <v>6988441.0</v>
      </c>
      <c r="F2075" s="4">
        <v>24.0</v>
      </c>
      <c r="G2075" s="4" t="s">
        <v>3524</v>
      </c>
    </row>
    <row r="2076">
      <c r="A2076" s="1">
        <v>2074.0</v>
      </c>
      <c r="B2076" s="4" t="s">
        <v>3476</v>
      </c>
      <c r="C2076" s="4" t="str">
        <f>IFERROR(__xludf.DUMMYFUNCTION("GOOGLETRANSLATE(D:D,""auto"",""en"")"),"Wu soft school issued a letter of apology")</f>
        <v>Wu soft school issued a letter of apology</v>
      </c>
      <c r="D2076" s="4" t="s">
        <v>3525</v>
      </c>
      <c r="E2076" s="4">
        <v>6928926.0</v>
      </c>
      <c r="F2076" s="4">
        <v>25.0</v>
      </c>
      <c r="G2076" s="4" t="s">
        <v>3526</v>
      </c>
    </row>
    <row r="2077">
      <c r="A2077" s="1">
        <v>2075.0</v>
      </c>
      <c r="B2077" s="4" t="s">
        <v>3476</v>
      </c>
      <c r="C2077" s="4" t="str">
        <f>IFERROR(__xludf.DUMMYFUNCTION("GOOGLETRANSLATE(D:D,""auto"",""en"")"),"Easy Yangqianxilu cat")</f>
        <v>Easy Yangqianxilu cat</v>
      </c>
      <c r="D2077" s="4" t="s">
        <v>3527</v>
      </c>
      <c r="E2077" s="4">
        <v>6924796.0</v>
      </c>
      <c r="F2077" s="4">
        <v>26.0</v>
      </c>
      <c r="G2077" s="4" t="s">
        <v>3528</v>
      </c>
    </row>
    <row r="2078">
      <c r="A2078" s="1">
        <v>2076.0</v>
      </c>
      <c r="B2078" s="4" t="s">
        <v>3476</v>
      </c>
      <c r="C2078" s="4" t="str">
        <f>IFERROR(__xludf.DUMMYFUNCTION("GOOGLETRANSLATE(D:D,""auto"",""en"")"),"National Development and Reform Commission urged not to hoard masks")</f>
        <v>National Development and Reform Commission urged not to hoard masks</v>
      </c>
      <c r="D2078" s="4" t="s">
        <v>3529</v>
      </c>
      <c r="E2078" s="4">
        <v>6923218.0</v>
      </c>
      <c r="F2078" s="4">
        <v>27.0</v>
      </c>
      <c r="G2078" s="4" t="s">
        <v>3530</v>
      </c>
    </row>
    <row r="2079">
      <c r="A2079" s="1">
        <v>2077.0</v>
      </c>
      <c r="B2079" s="4" t="s">
        <v>3476</v>
      </c>
      <c r="C2079" s="4" t="str">
        <f>IFERROR(__xludf.DUMMYFUNCTION("GOOGLETRANSLATE(D:D,""auto"",""en"")"),"He stars in Song Yuan fix games")</f>
        <v>He stars in Song Yuan fix games</v>
      </c>
      <c r="D2079" s="4" t="s">
        <v>3531</v>
      </c>
      <c r="E2079" s="4">
        <v>6835642.0</v>
      </c>
      <c r="F2079" s="4">
        <v>28.0</v>
      </c>
      <c r="G2079" s="4" t="s">
        <v>3532</v>
      </c>
    </row>
    <row r="2080">
      <c r="A2080" s="1">
        <v>2078.0</v>
      </c>
      <c r="B2080" s="4" t="s">
        <v>3476</v>
      </c>
      <c r="C2080" s="4" t="str">
        <f>IFERROR(__xludf.DUMMYFUNCTION("GOOGLETRANSLATE(D:D,""auto"",""en"")"),"Wang Yibo back cover")</f>
        <v>Wang Yibo back cover</v>
      </c>
      <c r="D2080" s="4" t="s">
        <v>3533</v>
      </c>
      <c r="E2080" s="4">
        <v>6824690.0</v>
      </c>
      <c r="F2080" s="4">
        <v>29.0</v>
      </c>
      <c r="G2080" s="4" t="s">
        <v>3534</v>
      </c>
    </row>
    <row r="2081">
      <c r="A2081" s="1">
        <v>2079.0</v>
      </c>
      <c r="B2081" s="4" t="s">
        <v>3476</v>
      </c>
      <c r="C2081" s="4" t="str">
        <f>IFERROR(__xludf.DUMMYFUNCTION("GOOGLETRANSLATE(D:D,""auto"",""en"")"),"Childhood breadwinner Luo")</f>
        <v>Childhood breadwinner Luo</v>
      </c>
      <c r="D2081" s="4" t="s">
        <v>3426</v>
      </c>
      <c r="E2081" s="4">
        <v>6648534.0</v>
      </c>
      <c r="F2081" s="4">
        <v>30.0</v>
      </c>
      <c r="G2081" s="4" t="s">
        <v>3427</v>
      </c>
    </row>
    <row r="2082">
      <c r="A2082" s="1">
        <v>2080.0</v>
      </c>
      <c r="B2082" s="4" t="s">
        <v>3476</v>
      </c>
      <c r="C2082" s="4" t="str">
        <f>IFERROR(__xludf.DUMMYFUNCTION("GOOGLETRANSLATE(D:D,""auto"",""en"")"),"Hunan new confirmed cases 33 cases")</f>
        <v>Hunan new confirmed cases 33 cases</v>
      </c>
      <c r="D2082" s="4" t="s">
        <v>3535</v>
      </c>
      <c r="E2082" s="4">
        <v>6637877.0</v>
      </c>
      <c r="F2082" s="4">
        <v>31.0</v>
      </c>
      <c r="G2082" s="4" t="s">
        <v>3536</v>
      </c>
    </row>
    <row r="2083">
      <c r="A2083" s="1">
        <v>2081.0</v>
      </c>
      <c r="B2083" s="4" t="s">
        <v>3476</v>
      </c>
      <c r="C2083" s="4" t="str">
        <f>IFERROR(__xludf.DUMMYFUNCTION("GOOGLETRANSLATE(D:D,""auto"",""en"")"),"Wuhan investigation and the 1499 All critically ill patients admitted to hospital")</f>
        <v>Wuhan investigation and the 1499 All critically ill patients admitted to hospital</v>
      </c>
      <c r="D2083" s="4" t="s">
        <v>3537</v>
      </c>
      <c r="E2083" s="4">
        <v>6451987.0</v>
      </c>
      <c r="F2083" s="4">
        <v>32.0</v>
      </c>
      <c r="G2083" s="4" t="s">
        <v>3538</v>
      </c>
    </row>
    <row r="2084">
      <c r="A2084" s="1">
        <v>2082.0</v>
      </c>
      <c r="B2084" s="4" t="s">
        <v>3476</v>
      </c>
      <c r="C2084" s="4" t="str">
        <f>IFERROR(__xludf.DUMMYFUNCTION("GOOGLETRANSLATE(D:D,""auto"",""en"")"),"Beijing non-essential living room entertainment all close")</f>
        <v>Beijing non-essential living room entertainment all close</v>
      </c>
      <c r="D2084" s="4" t="s">
        <v>3539</v>
      </c>
      <c r="E2084" s="4">
        <v>6424964.0</v>
      </c>
      <c r="F2084" s="4">
        <v>33.0</v>
      </c>
      <c r="G2084" s="4" t="s">
        <v>3540</v>
      </c>
    </row>
    <row r="2085">
      <c r="A2085" s="1">
        <v>2083.0</v>
      </c>
      <c r="B2085" s="4" t="s">
        <v>3476</v>
      </c>
      <c r="C2085" s="4" t="str">
        <f>IFERROR(__xludf.DUMMYFUNCTION("GOOGLETRANSLATE(D:D,""auto"",""en"")"),"James free throws over Jordan")</f>
        <v>James free throws over Jordan</v>
      </c>
      <c r="D2085" s="4" t="s">
        <v>3541</v>
      </c>
      <c r="E2085" s="4">
        <v>6397330.0</v>
      </c>
      <c r="F2085" s="4">
        <v>34.0</v>
      </c>
      <c r="G2085" s="4" t="s">
        <v>3542</v>
      </c>
    </row>
    <row r="2086">
      <c r="A2086" s="1">
        <v>2084.0</v>
      </c>
      <c r="B2086" s="4" t="s">
        <v>3476</v>
      </c>
      <c r="C2086" s="4" t="str">
        <f>IFERROR(__xludf.DUMMYFUNCTION("GOOGLETRANSLATE(D:D,""auto"",""en"")"),"Hubei Provincial Committee, party secretary Wei Jian, director be removed from office")</f>
        <v>Hubei Provincial Committee, party secretary Wei Jian, director be removed from office</v>
      </c>
      <c r="D2086" s="4" t="s">
        <v>3543</v>
      </c>
      <c r="E2086" s="4">
        <v>6390898.0</v>
      </c>
      <c r="F2086" s="4">
        <v>35.0</v>
      </c>
      <c r="G2086" s="4" t="s">
        <v>3544</v>
      </c>
    </row>
    <row r="2087">
      <c r="A2087" s="1">
        <v>2085.0</v>
      </c>
      <c r="B2087" s="4" t="s">
        <v>3476</v>
      </c>
      <c r="C2087" s="4" t="str">
        <f>IFERROR(__xludf.DUMMYFUNCTION("GOOGLETRANSLATE(D:D,""auto"",""en"")"),"How the children go out for fun")</f>
        <v>How the children go out for fun</v>
      </c>
      <c r="D2087" s="4" t="s">
        <v>3438</v>
      </c>
      <c r="E2087" s="4">
        <v>6351209.0</v>
      </c>
      <c r="F2087" s="4">
        <v>36.0</v>
      </c>
      <c r="G2087" s="4" t="s">
        <v>3439</v>
      </c>
    </row>
    <row r="2088">
      <c r="A2088" s="1">
        <v>2086.0</v>
      </c>
      <c r="B2088" s="4" t="s">
        <v>3476</v>
      </c>
      <c r="C2088" s="4" t="str">
        <f>IFERROR(__xludf.DUMMYFUNCTION("GOOGLETRANSLATE(D:D,""auto"",""en"")"),"US Olympic men's basketball team list of 44 National People's Congress")</f>
        <v>US Olympic men's basketball team list of 44 National People's Congress</v>
      </c>
      <c r="D2088" s="4" t="s">
        <v>3422</v>
      </c>
      <c r="E2088" s="4">
        <v>6332721.0</v>
      </c>
      <c r="F2088" s="4">
        <v>37.0</v>
      </c>
      <c r="G2088" s="4" t="s">
        <v>3423</v>
      </c>
    </row>
    <row r="2089">
      <c r="A2089" s="1">
        <v>2087.0</v>
      </c>
      <c r="B2089" s="4" t="s">
        <v>3476</v>
      </c>
      <c r="C2089" s="4" t="str">
        <f>IFERROR(__xludf.DUMMYFUNCTION("GOOGLETRANSLATE(D:D,""auto"",""en"")"),"Primary School held the opening ceremony online")</f>
        <v>Primary School held the opening ceremony online</v>
      </c>
      <c r="D2089" s="4" t="s">
        <v>3545</v>
      </c>
      <c r="E2089" s="4">
        <v>6314726.0</v>
      </c>
      <c r="F2089" s="4">
        <v>38.0</v>
      </c>
      <c r="G2089" s="4" t="s">
        <v>3546</v>
      </c>
    </row>
    <row r="2090">
      <c r="A2090" s="1">
        <v>2088.0</v>
      </c>
      <c r="B2090" s="4" t="s">
        <v>3476</v>
      </c>
      <c r="C2090" s="4" t="str">
        <f>IFERROR(__xludf.DUMMYFUNCTION("GOOGLETRANSLATE(D:D,""auto"",""en"")"),"Lee now God predict Oscar")</f>
        <v>Lee now God predict Oscar</v>
      </c>
      <c r="D2090" s="4" t="s">
        <v>3400</v>
      </c>
      <c r="E2090" s="4">
        <v>6242144.0</v>
      </c>
      <c r="F2090" s="4">
        <v>39.0</v>
      </c>
      <c r="G2090" s="4" t="s">
        <v>3401</v>
      </c>
    </row>
    <row r="2091">
      <c r="A2091" s="1">
        <v>2089.0</v>
      </c>
      <c r="B2091" s="4" t="s">
        <v>3476</v>
      </c>
      <c r="C2091" s="4" t="str">
        <f>IFERROR(__xludf.DUMMYFUNCTION("GOOGLETRANSLATE(D:D,""auto"",""en"")"),"Zhejiang, the couple donated 500,000 cost of fighting the epidemic wedding")</f>
        <v>Zhejiang, the couple donated 500,000 cost of fighting the epidemic wedding</v>
      </c>
      <c r="D2091" s="4" t="s">
        <v>3547</v>
      </c>
      <c r="E2091" s="4">
        <v>6214236.0</v>
      </c>
      <c r="F2091" s="4">
        <v>40.0</v>
      </c>
      <c r="G2091" s="4" t="s">
        <v>3548</v>
      </c>
    </row>
    <row r="2092">
      <c r="A2092" s="1">
        <v>2090.0</v>
      </c>
      <c r="B2092" s="4" t="s">
        <v>3476</v>
      </c>
      <c r="C2092" s="4" t="str">
        <f>IFERROR(__xludf.DUMMYFUNCTION("GOOGLETRANSLATE(D:D,""auto"",""en"")"),"Companies to return to work for workers allotment masks")</f>
        <v>Companies to return to work for workers allotment masks</v>
      </c>
      <c r="D2092" s="4" t="s">
        <v>3549</v>
      </c>
      <c r="E2092" s="4">
        <v>6101050.0</v>
      </c>
      <c r="F2092" s="4">
        <v>41.0</v>
      </c>
      <c r="G2092" s="4" t="s">
        <v>3550</v>
      </c>
    </row>
    <row r="2093">
      <c r="A2093" s="1">
        <v>2091.0</v>
      </c>
      <c r="B2093" s="4" t="s">
        <v>3476</v>
      </c>
      <c r="C2093" s="4" t="str">
        <f>IFERROR(__xludf.DUMMYFUNCTION("GOOGLETRANSLATE(D:D,""auto"",""en"")"),"Ling Xiao Su Tang Fei to send medical staff dinner")</f>
        <v>Ling Xiao Su Tang Fei to send medical staff dinner</v>
      </c>
      <c r="D2093" s="4" t="s">
        <v>3551</v>
      </c>
      <c r="E2093" s="4">
        <v>6085679.0</v>
      </c>
      <c r="F2093" s="4">
        <v>42.0</v>
      </c>
      <c r="G2093" s="4" t="s">
        <v>3552</v>
      </c>
    </row>
    <row r="2094">
      <c r="A2094" s="1">
        <v>2092.0</v>
      </c>
      <c r="B2094" s="4" t="s">
        <v>3476</v>
      </c>
      <c r="C2094" s="4" t="str">
        <f>IFERROR(__xludf.DUMMYFUNCTION("GOOGLETRANSLATE(D:D,""auto"",""en"")"),"Andre Iguodala Heat debut")</f>
        <v>Andre Iguodala Heat debut</v>
      </c>
      <c r="D2094" s="4" t="s">
        <v>3553</v>
      </c>
      <c r="E2094" s="4">
        <v>6041420.0</v>
      </c>
      <c r="F2094" s="4">
        <v>43.0</v>
      </c>
      <c r="G2094" s="4" t="s">
        <v>3554</v>
      </c>
    </row>
    <row r="2095">
      <c r="A2095" s="1">
        <v>2093.0</v>
      </c>
      <c r="B2095" s="4" t="s">
        <v>3476</v>
      </c>
      <c r="C2095" s="4" t="str">
        <f>IFERROR(__xludf.DUMMYFUNCTION("GOOGLETRANSLATE(D:D,""auto"",""en"")"),"Heilongjiang new cases of 29 cases")</f>
        <v>Heilongjiang new cases of 29 cases</v>
      </c>
      <c r="D2095" s="4" t="s">
        <v>3555</v>
      </c>
      <c r="E2095" s="4">
        <v>5993361.0</v>
      </c>
      <c r="F2095" s="4">
        <v>44.0</v>
      </c>
      <c r="G2095" s="4" t="s">
        <v>3556</v>
      </c>
    </row>
    <row r="2096">
      <c r="A2096" s="1">
        <v>2094.0</v>
      </c>
      <c r="B2096" s="4" t="s">
        <v>3476</v>
      </c>
      <c r="C2096" s="4" t="str">
        <f>IFERROR(__xludf.DUMMYFUNCTION("GOOGLETRANSLATE(D:D,""auto"",""en"")"),"Little Women withdrawal stalls")</f>
        <v>Little Women withdrawal stalls</v>
      </c>
      <c r="D2096" s="4" t="s">
        <v>3557</v>
      </c>
      <c r="E2096" s="4">
        <v>5935927.0</v>
      </c>
      <c r="F2096" s="4">
        <v>45.0</v>
      </c>
      <c r="G2096" s="4" t="s">
        <v>3558</v>
      </c>
    </row>
    <row r="2097">
      <c r="A2097" s="1">
        <v>2095.0</v>
      </c>
      <c r="B2097" s="4" t="s">
        <v>3476</v>
      </c>
      <c r="C2097" s="4" t="str">
        <f>IFERROR(__xludf.DUMMYFUNCTION("GOOGLETRANSLATE(D:D,""auto"",""en"")"),"Brazil found a mysterious virus")</f>
        <v>Brazil found a mysterious virus</v>
      </c>
      <c r="D2097" s="4" t="s">
        <v>3559</v>
      </c>
      <c r="E2097" s="4">
        <v>5903717.0</v>
      </c>
      <c r="F2097" s="4">
        <v>46.0</v>
      </c>
      <c r="G2097" s="4" t="s">
        <v>3560</v>
      </c>
    </row>
    <row r="2098">
      <c r="A2098" s="1">
        <v>2096.0</v>
      </c>
      <c r="B2098" s="4" t="s">
        <v>3476</v>
      </c>
      <c r="C2098" s="4" t="str">
        <f>IFERROR(__xludf.DUMMYFUNCTION("GOOGLETRANSLATE(D:D,""auto"",""en"")"),"Russell Wolves debut")</f>
        <v>Russell Wolves debut</v>
      </c>
      <c r="D2098" s="4" t="s">
        <v>3561</v>
      </c>
      <c r="E2098" s="4">
        <v>5894837.0</v>
      </c>
      <c r="F2098" s="4">
        <v>47.0</v>
      </c>
      <c r="G2098" s="4" t="s">
        <v>3562</v>
      </c>
    </row>
    <row r="2099">
      <c r="A2099" s="1">
        <v>2097.0</v>
      </c>
      <c r="B2099" s="4" t="s">
        <v>3476</v>
      </c>
      <c r="C2099" s="4" t="str">
        <f>IFERROR(__xludf.DUMMYFUNCTION("GOOGLETRANSLATE(D:D,""auto"",""en"")"),"The country's new crown cure pneumonia was significantly increased")</f>
        <v>The country's new crown cure pneumonia was significantly increased</v>
      </c>
      <c r="D2099" s="4" t="s">
        <v>3388</v>
      </c>
      <c r="E2099" s="4">
        <v>5889095.0</v>
      </c>
      <c r="F2099" s="4">
        <v>48.0</v>
      </c>
      <c r="G2099" s="4" t="s">
        <v>3389</v>
      </c>
    </row>
    <row r="2100">
      <c r="A2100" s="1">
        <v>2098.0</v>
      </c>
      <c r="B2100" s="4" t="s">
        <v>3476</v>
      </c>
      <c r="C2100" s="4" t="str">
        <f>IFERROR(__xludf.DUMMYFUNCTION("GOOGLETRANSLATE(D:D,""auto"",""en"")"),"CCTV reporter entered the Wuhan hospital quarantine interview")</f>
        <v>CCTV reporter entered the Wuhan hospital quarantine interview</v>
      </c>
      <c r="D2100" s="4" t="s">
        <v>3563</v>
      </c>
      <c r="E2100" s="4">
        <v>5822140.0</v>
      </c>
      <c r="F2100" s="4">
        <v>49.0</v>
      </c>
      <c r="G2100" s="4" t="s">
        <v>3564</v>
      </c>
    </row>
    <row r="2101">
      <c r="A2101" s="1">
        <v>2099.0</v>
      </c>
      <c r="B2101" s="4" t="s">
        <v>3476</v>
      </c>
      <c r="C2101" s="4" t="str">
        <f>IFERROR(__xludf.DUMMYFUNCTION("GOOGLETRANSLATE(D:D,""auto"",""en"")"),"Henan air traffic control and the crews of dialogue")</f>
        <v>Henan air traffic control and the crews of dialogue</v>
      </c>
      <c r="D2101" s="4" t="s">
        <v>3565</v>
      </c>
      <c r="E2101" s="4">
        <v>5803564.0</v>
      </c>
      <c r="F2101" s="4">
        <v>50.0</v>
      </c>
      <c r="G2101" s="4" t="s">
        <v>3566</v>
      </c>
    </row>
    <row r="2102">
      <c r="A2102" s="1">
        <v>2100.0</v>
      </c>
      <c r="B2102" s="4" t="s">
        <v>3567</v>
      </c>
      <c r="C2102" s="4" t="str">
        <f>IFERROR(__xludf.DUMMYFUNCTION("GOOGLETRANSLATE(D:D,""auto"",""en"")"),"Yue Yunpeng commitment to health care to listen to comic fans")</f>
        <v>Yue Yunpeng commitment to health care to listen to comic fans</v>
      </c>
      <c r="D2102" s="4" t="s">
        <v>3568</v>
      </c>
      <c r="E2102" s="4">
        <v>1.6476745E7</v>
      </c>
      <c r="F2102" s="4">
        <v>1.0</v>
      </c>
      <c r="G2102" s="4" t="s">
        <v>3569</v>
      </c>
    </row>
    <row r="2103">
      <c r="A2103" s="1">
        <v>2101.0</v>
      </c>
      <c r="B2103" s="4" t="s">
        <v>3567</v>
      </c>
      <c r="C2103" s="4" t="str">
        <f>IFERROR(__xludf.DUMMYFUNCTION("GOOGLETRANSLATE(D:D,""auto"",""en"")"),"The first live math teacher")</f>
        <v>The first live math teacher</v>
      </c>
      <c r="D2103" s="4" t="s">
        <v>3570</v>
      </c>
      <c r="E2103" s="4">
        <v>1.1288037E7</v>
      </c>
      <c r="F2103" s="4">
        <v>2.0</v>
      </c>
      <c r="G2103" s="4" t="s">
        <v>3571</v>
      </c>
    </row>
    <row r="2104">
      <c r="A2104" s="1">
        <v>2102.0</v>
      </c>
      <c r="B2104" s="4" t="s">
        <v>3567</v>
      </c>
      <c r="C2104" s="4" t="str">
        <f>IFERROR(__xludf.DUMMYFUNCTION("GOOGLETRANSLATE(D:D,""auto"",""en"")"),"High Xiuzhen died")</f>
        <v>High Xiuzhen died</v>
      </c>
      <c r="D2104" s="4" t="s">
        <v>3572</v>
      </c>
      <c r="E2104" s="4">
        <v>1.1236469E7</v>
      </c>
      <c r="F2104" s="4">
        <v>3.0</v>
      </c>
      <c r="G2104" s="4" t="s">
        <v>3573</v>
      </c>
    </row>
    <row r="2105">
      <c r="A2105" s="1">
        <v>2103.0</v>
      </c>
      <c r="B2105" s="4" t="s">
        <v>3567</v>
      </c>
      <c r="C2105" s="4" t="str">
        <f>IFERROR(__xludf.DUMMYFUNCTION("GOOGLETRANSLATE(D:D,""auto"",""en"")"),"Physical education teacher is how online courses")</f>
        <v>Physical education teacher is how online courses</v>
      </c>
      <c r="D2105" s="4" t="s">
        <v>3574</v>
      </c>
      <c r="E2105" s="4">
        <v>1.0853348E7</v>
      </c>
      <c r="F2105" s="4">
        <v>4.0</v>
      </c>
      <c r="G2105" s="4" t="s">
        <v>3575</v>
      </c>
    </row>
    <row r="2106">
      <c r="A2106" s="1">
        <v>2104.0</v>
      </c>
      <c r="B2106" s="4" t="s">
        <v>3567</v>
      </c>
      <c r="C2106" s="4" t="str">
        <f>IFERROR(__xludf.DUMMYFUNCTION("GOOGLETRANSLATE(D:D,""auto"",""en"")"),"Love Apartments 5 finale")</f>
        <v>Love Apartments 5 finale</v>
      </c>
      <c r="D2106" s="4" t="s">
        <v>3576</v>
      </c>
      <c r="E2106" s="4">
        <v>9780613.0</v>
      </c>
      <c r="F2106" s="4">
        <v>5.0</v>
      </c>
      <c r="G2106" s="4" t="s">
        <v>3577</v>
      </c>
    </row>
    <row r="2107">
      <c r="A2107" s="1">
        <v>2105.0</v>
      </c>
      <c r="B2107" s="4" t="s">
        <v>3567</v>
      </c>
      <c r="C2107" s="4" t="str">
        <f>IFERROR(__xludf.DUMMYFUNCTION("GOOGLETRANSLATE(D:D,""auto"",""en"")"),"World Health Organization named the new coronavirus")</f>
        <v>World Health Organization named the new coronavirus</v>
      </c>
      <c r="D2107" s="4" t="s">
        <v>3497</v>
      </c>
      <c r="E2107" s="4">
        <v>9668782.0</v>
      </c>
      <c r="F2107" s="4">
        <v>6.0</v>
      </c>
      <c r="G2107" s="4" t="s">
        <v>3498</v>
      </c>
    </row>
    <row r="2108">
      <c r="A2108" s="1">
        <v>2106.0</v>
      </c>
      <c r="B2108" s="4" t="s">
        <v>3567</v>
      </c>
      <c r="C2108" s="4" t="str">
        <f>IFERROR(__xludf.DUMMYFUNCTION("GOOGLETRANSLATE(D:D,""auto"",""en"")"),"Zeng Yin final show")</f>
        <v>Zeng Yin final show</v>
      </c>
      <c r="D2108" s="4" t="s">
        <v>3578</v>
      </c>
      <c r="E2108" s="4">
        <v>9542799.0</v>
      </c>
      <c r="F2108" s="4">
        <v>7.0</v>
      </c>
      <c r="G2108" s="4" t="s">
        <v>3579</v>
      </c>
    </row>
    <row r="2109">
      <c r="A2109" s="1">
        <v>2107.0</v>
      </c>
      <c r="B2109" s="4" t="s">
        <v>3567</v>
      </c>
      <c r="C2109" s="4" t="str">
        <f>IFERROR(__xludf.DUMMYFUNCTION("GOOGLETRANSLATE(D:D,""auto"",""en"")"),"NASA responded Li broom challenge")</f>
        <v>NASA responded Li broom challenge</v>
      </c>
      <c r="D2109" s="4" t="s">
        <v>3580</v>
      </c>
      <c r="E2109" s="4">
        <v>8943431.0</v>
      </c>
      <c r="F2109" s="4">
        <v>8.0</v>
      </c>
      <c r="G2109" s="4" t="s">
        <v>3581</v>
      </c>
    </row>
    <row r="2110">
      <c r="A2110" s="1">
        <v>2108.0</v>
      </c>
      <c r="B2110" s="4" t="s">
        <v>3567</v>
      </c>
      <c r="C2110" s="4" t="str">
        <f>IFERROR(__xludf.DUMMYFUNCTION("GOOGLETRANSLATE(D:D,""auto"",""en"")"),"Central Steering Group interviewed Wuhan Vice Mayor behind the scenes")</f>
        <v>Central Steering Group interviewed Wuhan Vice Mayor behind the scenes</v>
      </c>
      <c r="D2110" s="4" t="s">
        <v>3582</v>
      </c>
      <c r="E2110" s="4">
        <v>8919699.0</v>
      </c>
      <c r="F2110" s="4">
        <v>9.0</v>
      </c>
      <c r="G2110" s="4" t="s">
        <v>3583</v>
      </c>
    </row>
    <row r="2111">
      <c r="A2111" s="1">
        <v>2109.0</v>
      </c>
      <c r="B2111" s="4" t="s">
        <v>3567</v>
      </c>
      <c r="C2111" s="4" t="str">
        <f>IFERROR(__xludf.DUMMYFUNCTION("GOOGLETRANSLATE(D:D,""auto"",""en"")"),"Li eggs")</f>
        <v>Li eggs</v>
      </c>
      <c r="D2111" s="4" t="s">
        <v>3584</v>
      </c>
      <c r="E2111" s="4">
        <v>8500143.0</v>
      </c>
      <c r="F2111" s="4">
        <v>10.0</v>
      </c>
      <c r="G2111" s="4" t="s">
        <v>3585</v>
      </c>
    </row>
    <row r="2112">
      <c r="A2112" s="1">
        <v>2110.0</v>
      </c>
      <c r="B2112" s="4" t="s">
        <v>3567</v>
      </c>
      <c r="C2112" s="4" t="str">
        <f>IFERROR(__xludf.DUMMYFUNCTION("GOOGLETRANSLATE(D:D,""auto"",""en"")"),"The national total of 44,653 cases of pneumonia diagnosed with the new crown")</f>
        <v>The national total of 44,653 cases of pneumonia diagnosed with the new crown</v>
      </c>
      <c r="D2112" s="4" t="s">
        <v>3586</v>
      </c>
      <c r="E2112" s="4">
        <v>8323318.0</v>
      </c>
      <c r="F2112" s="4">
        <v>11.0</v>
      </c>
      <c r="G2112" s="4" t="s">
        <v>3587</v>
      </c>
    </row>
    <row r="2113">
      <c r="A2113" s="1">
        <v>2111.0</v>
      </c>
      <c r="B2113" s="4" t="s">
        <v>3567</v>
      </c>
      <c r="C2113" s="4" t="str">
        <f>IFERROR(__xludf.DUMMYFUNCTION("GOOGLETRANSLATE(D:D,""auto"",""en"")"),"The new crown virus vaccine may be completed within 18 months")</f>
        <v>The new crown virus vaccine may be completed within 18 months</v>
      </c>
      <c r="D2113" s="4" t="s">
        <v>3588</v>
      </c>
      <c r="E2113" s="4">
        <v>8282708.0</v>
      </c>
      <c r="F2113" s="4">
        <v>12.0</v>
      </c>
      <c r="G2113" s="4" t="s">
        <v>3589</v>
      </c>
    </row>
    <row r="2114">
      <c r="A2114" s="1">
        <v>2112.0</v>
      </c>
      <c r="B2114" s="4" t="s">
        <v>3567</v>
      </c>
      <c r="C2114" s="4" t="str">
        <f>IFERROR(__xludf.DUMMYFUNCTION("GOOGLETRANSLATE(D:D,""auto"",""en"")"),"Huludao a business explosion")</f>
        <v>Huludao a business explosion</v>
      </c>
      <c r="D2114" s="4" t="s">
        <v>3590</v>
      </c>
      <c r="E2114" s="4">
        <v>8238883.0</v>
      </c>
      <c r="F2114" s="4">
        <v>13.0</v>
      </c>
      <c r="G2114" s="4" t="s">
        <v>3591</v>
      </c>
    </row>
    <row r="2115">
      <c r="A2115" s="1">
        <v>2113.0</v>
      </c>
      <c r="B2115" s="4" t="s">
        <v>3567</v>
      </c>
      <c r="C2115" s="4" t="str">
        <f>IFERROR(__xludf.DUMMYFUNCTION("GOOGLETRANSLATE(D:D,""auto"",""en"")"),"Li Lanjuan team treatment model is paying off")</f>
        <v>Li Lanjuan team treatment model is paying off</v>
      </c>
      <c r="D2115" s="4" t="s">
        <v>3503</v>
      </c>
      <c r="E2115" s="4">
        <v>8170344.0</v>
      </c>
      <c r="F2115" s="4">
        <v>14.0</v>
      </c>
      <c r="G2115" s="4" t="s">
        <v>3504</v>
      </c>
    </row>
    <row r="2116">
      <c r="A2116" s="1">
        <v>2114.0</v>
      </c>
      <c r="B2116" s="4" t="s">
        <v>3567</v>
      </c>
      <c r="C2116" s="4" t="str">
        <f>IFERROR(__xludf.DUMMYFUNCTION("GOOGLETRANSLATE(D:D,""auto"",""en"")"),"Henan air traffic control and the crews of dialogue")</f>
        <v>Henan air traffic control and the crews of dialogue</v>
      </c>
      <c r="D2116" s="4" t="s">
        <v>3565</v>
      </c>
      <c r="E2116" s="4">
        <v>8113594.0</v>
      </c>
      <c r="F2116" s="4">
        <v>15.0</v>
      </c>
      <c r="G2116" s="4" t="s">
        <v>3566</v>
      </c>
    </row>
    <row r="2117">
      <c r="A2117" s="1">
        <v>2115.0</v>
      </c>
      <c r="B2117" s="4" t="s">
        <v>3567</v>
      </c>
      <c r="C2117" s="4" t="str">
        <f>IFERROR(__xludf.DUMMYFUNCTION("GOOGLETRANSLATE(D:D,""auto"",""en"")"),"Mayor research on the way encounter the accident scene")</f>
        <v>Mayor research on the way encounter the accident scene</v>
      </c>
      <c r="D2117" s="4" t="s">
        <v>3592</v>
      </c>
      <c r="E2117" s="4">
        <v>8029095.0</v>
      </c>
      <c r="F2117" s="4">
        <v>16.0</v>
      </c>
      <c r="G2117" s="4" t="s">
        <v>3593</v>
      </c>
    </row>
    <row r="2118">
      <c r="A2118" s="1">
        <v>2116.0</v>
      </c>
      <c r="B2118" s="4" t="s">
        <v>3567</v>
      </c>
      <c r="C2118" s="4" t="str">
        <f>IFERROR(__xludf.DUMMYFUNCTION("GOOGLETRANSLATE(D:D,""auto"",""en"")"),"Li broom challenge")</f>
        <v>Li broom challenge</v>
      </c>
      <c r="D2118" s="4" t="s">
        <v>3495</v>
      </c>
      <c r="E2118" s="4">
        <v>7944376.0</v>
      </c>
      <c r="F2118" s="4">
        <v>17.0</v>
      </c>
      <c r="G2118" s="4" t="s">
        <v>3496</v>
      </c>
    </row>
    <row r="2119">
      <c r="A2119" s="1">
        <v>2117.0</v>
      </c>
      <c r="B2119" s="4" t="s">
        <v>3567</v>
      </c>
      <c r="C2119" s="4" t="str">
        <f>IFERROR(__xludf.DUMMYFUNCTION("GOOGLETRANSLATE(D:D,""auto"",""en"")"),"Bryant and his body had been buried Gigi")</f>
        <v>Bryant and his body had been buried Gigi</v>
      </c>
      <c r="D2119" s="4" t="s">
        <v>3594</v>
      </c>
      <c r="E2119" s="4">
        <v>7914970.0</v>
      </c>
      <c r="F2119" s="4">
        <v>18.0</v>
      </c>
      <c r="G2119" s="4" t="s">
        <v>3595</v>
      </c>
    </row>
    <row r="2120">
      <c r="A2120" s="1">
        <v>2118.0</v>
      </c>
      <c r="B2120" s="4" t="s">
        <v>3567</v>
      </c>
      <c r="C2120" s="4" t="str">
        <f>IFERROR(__xludf.DUMMYFUNCTION("GOOGLETRANSLATE(D:D,""auto"",""en"")"),"Hubei new confirmed cases 1638 cases")</f>
        <v>Hubei new confirmed cases 1638 cases</v>
      </c>
      <c r="D2120" s="4" t="s">
        <v>3596</v>
      </c>
      <c r="E2120" s="4">
        <v>7849334.0</v>
      </c>
      <c r="F2120" s="4">
        <v>19.0</v>
      </c>
      <c r="G2120" s="4" t="s">
        <v>3597</v>
      </c>
    </row>
    <row r="2121">
      <c r="A2121" s="1">
        <v>2119.0</v>
      </c>
      <c r="B2121" s="4" t="s">
        <v>3567</v>
      </c>
      <c r="C2121" s="4" t="str">
        <f>IFERROR(__xludf.DUMMYFUNCTION("GOOGLETRANSLATE(D:D,""auto"",""en"")"),"Vulcan Hill Hospital patients admitted over 900 people")</f>
        <v>Vulcan Hill Hospital patients admitted over 900 people</v>
      </c>
      <c r="D2121" s="4" t="s">
        <v>3598</v>
      </c>
      <c r="E2121" s="4">
        <v>7735608.0</v>
      </c>
      <c r="F2121" s="4">
        <v>20.0</v>
      </c>
      <c r="G2121" s="4" t="s">
        <v>3599</v>
      </c>
    </row>
    <row r="2122">
      <c r="A2122" s="1">
        <v>2120.0</v>
      </c>
      <c r="B2122" s="4" t="s">
        <v>3567</v>
      </c>
      <c r="C2122" s="4" t="str">
        <f>IFERROR(__xludf.DUMMYFUNCTION("GOOGLETRANSLATE(D:D,""auto"",""en"")"),"The new crown pneumonia epidemic is expected to close by April")</f>
        <v>The new crown pneumonia epidemic is expected to close by April</v>
      </c>
      <c r="D2122" s="4" t="s">
        <v>3600</v>
      </c>
      <c r="E2122" s="4">
        <v>7679928.0</v>
      </c>
      <c r="F2122" s="4">
        <v>21.0</v>
      </c>
      <c r="G2122" s="4" t="s">
        <v>3601</v>
      </c>
    </row>
    <row r="2123">
      <c r="A2123" s="1">
        <v>2121.0</v>
      </c>
      <c r="B2123" s="4" t="s">
        <v>3567</v>
      </c>
      <c r="C2123" s="4" t="str">
        <f>IFERROR(__xludf.DUMMYFUNCTION("GOOGLETRANSLATE(D:D,""auto"",""en"")"),"Lanzhou beef noodles get that feeling of imperial examinations")</f>
        <v>Lanzhou beef noodles get that feeling of imperial examinations</v>
      </c>
      <c r="D2123" s="4" t="s">
        <v>3513</v>
      </c>
      <c r="E2123" s="4">
        <v>7565151.0</v>
      </c>
      <c r="F2123" s="4">
        <v>22.0</v>
      </c>
      <c r="G2123" s="4" t="s">
        <v>3514</v>
      </c>
    </row>
    <row r="2124">
      <c r="A2124" s="1">
        <v>2122.0</v>
      </c>
      <c r="B2124" s="4" t="s">
        <v>3567</v>
      </c>
      <c r="C2124" s="4" t="str">
        <f>IFERROR(__xludf.DUMMYFUNCTION("GOOGLETRANSLATE(D:D,""auto"",""en"")"),"My parents might have been laid off")</f>
        <v>My parents might have been laid off</v>
      </c>
      <c r="D2124" s="4" t="s">
        <v>3602</v>
      </c>
      <c r="E2124" s="4">
        <v>7552602.0</v>
      </c>
      <c r="F2124" s="4">
        <v>23.0</v>
      </c>
      <c r="G2124" s="4" t="s">
        <v>3603</v>
      </c>
    </row>
    <row r="2125">
      <c r="A2125" s="1">
        <v>2123.0</v>
      </c>
      <c r="B2125" s="4" t="s">
        <v>3567</v>
      </c>
      <c r="C2125" s="4" t="str">
        <f>IFERROR(__xludf.DUMMYFUNCTION("GOOGLETRANSLATE(D:D,""auto"",""en"")"),"Not forcing students to punch a day online")</f>
        <v>Not forcing students to punch a day online</v>
      </c>
      <c r="D2125" s="4" t="s">
        <v>3604</v>
      </c>
      <c r="E2125" s="4">
        <v>7480632.0</v>
      </c>
      <c r="F2125" s="4">
        <v>24.0</v>
      </c>
      <c r="G2125" s="4" t="s">
        <v>3605</v>
      </c>
    </row>
    <row r="2126">
      <c r="A2126" s="1">
        <v>2124.0</v>
      </c>
      <c r="B2126" s="4" t="s">
        <v>3567</v>
      </c>
      <c r="C2126" s="4" t="str">
        <f>IFERROR(__xludf.DUMMYFUNCTION("GOOGLETRANSLATE(D:D,""auto"",""en"")"),"Wang Yibo Cover")</f>
        <v>Wang Yibo Cover</v>
      </c>
      <c r="D2126" s="4" t="s">
        <v>3606</v>
      </c>
      <c r="E2126" s="4">
        <v>7359294.0</v>
      </c>
      <c r="F2126" s="4">
        <v>25.0</v>
      </c>
      <c r="G2126" s="4" t="s">
        <v>3607</v>
      </c>
    </row>
    <row r="2127">
      <c r="A2127" s="1">
        <v>2125.0</v>
      </c>
      <c r="B2127" s="4" t="s">
        <v>3567</v>
      </c>
      <c r="C2127" s="4" t="str">
        <f>IFERROR(__xludf.DUMMYFUNCTION("GOOGLETRANSLATE(D:D,""auto"",""en"")"),"Zhong Nanshan incubation period of up to 24 days to respond")</f>
        <v>Zhong Nanshan incubation period of up to 24 days to respond</v>
      </c>
      <c r="D2127" s="4" t="s">
        <v>3608</v>
      </c>
      <c r="E2127" s="4">
        <v>7267226.0</v>
      </c>
      <c r="F2127" s="4">
        <v>26.0</v>
      </c>
      <c r="G2127" s="4" t="s">
        <v>3609</v>
      </c>
    </row>
    <row r="2128">
      <c r="A2128" s="1">
        <v>2126.0</v>
      </c>
      <c r="B2128" s="4" t="s">
        <v>3567</v>
      </c>
      <c r="C2128" s="4" t="str">
        <f>IFERROR(__xludf.DUMMYFUNCTION("GOOGLETRANSLATE(D:D,""auto"",""en"")"),"Yi Xi smelt one thousand nominated for Academy Awards for best actor")</f>
        <v>Yi Xi smelt one thousand nominated for Academy Awards for best actor</v>
      </c>
      <c r="D2128" s="4" t="s">
        <v>3610</v>
      </c>
      <c r="E2128" s="4">
        <v>7266367.0</v>
      </c>
      <c r="F2128" s="4">
        <v>27.0</v>
      </c>
      <c r="G2128" s="4" t="s">
        <v>3611</v>
      </c>
    </row>
    <row r="2129">
      <c r="A2129" s="1">
        <v>2127.0</v>
      </c>
      <c r="B2129" s="4" t="s">
        <v>3567</v>
      </c>
      <c r="C2129" s="4" t="str">
        <f>IFERROR(__xludf.DUMMYFUNCTION("GOOGLETRANSLATE(D:D,""auto"",""en"")"),"National proportion of 10.6% cure")</f>
        <v>National proportion of 10.6% cure</v>
      </c>
      <c r="D2129" s="4" t="s">
        <v>3612</v>
      </c>
      <c r="E2129" s="4">
        <v>7203503.0</v>
      </c>
      <c r="F2129" s="4">
        <v>28.0</v>
      </c>
      <c r="G2129" s="4" t="s">
        <v>3613</v>
      </c>
    </row>
    <row r="2130">
      <c r="A2130" s="1">
        <v>2128.0</v>
      </c>
      <c r="B2130" s="4" t="s">
        <v>3567</v>
      </c>
      <c r="C2130" s="4" t="str">
        <f>IFERROR(__xludf.DUMMYFUNCTION("GOOGLETRANSLATE(D:D,""auto"",""en"")"),"Zhejiang, the couple donated 500,000 cost of fighting the epidemic wedding")</f>
        <v>Zhejiang, the couple donated 500,000 cost of fighting the epidemic wedding</v>
      </c>
      <c r="D2130" s="4" t="s">
        <v>3547</v>
      </c>
      <c r="E2130" s="4">
        <v>7197230.0</v>
      </c>
      <c r="F2130" s="4">
        <v>29.0</v>
      </c>
      <c r="G2130" s="4" t="s">
        <v>3548</v>
      </c>
    </row>
    <row r="2131">
      <c r="A2131" s="1">
        <v>2129.0</v>
      </c>
      <c r="B2131" s="4" t="s">
        <v>3567</v>
      </c>
      <c r="C2131" s="4" t="str">
        <f>IFERROR(__xludf.DUMMYFUNCTION("GOOGLETRANSLATE(D:D,""auto"",""en"")"),"Zhong Nanshan said Li Wenliang hero")</f>
        <v>Zhong Nanshan said Li Wenliang hero</v>
      </c>
      <c r="D2131" s="4" t="s">
        <v>3614</v>
      </c>
      <c r="E2131" s="4">
        <v>7119899.0</v>
      </c>
      <c r="F2131" s="4">
        <v>30.0</v>
      </c>
      <c r="G2131" s="4" t="s">
        <v>3615</v>
      </c>
    </row>
    <row r="2132">
      <c r="A2132" s="1">
        <v>2130.0</v>
      </c>
      <c r="B2132" s="4" t="s">
        <v>3567</v>
      </c>
      <c r="C2132" s="4" t="str">
        <f>IFERROR(__xludf.DUMMYFUNCTION("GOOGLETRANSLATE(D:D,""auto"",""en"")"),"Wang source for hot pot boiled noodles")</f>
        <v>Wang source for hot pot boiled noodles</v>
      </c>
      <c r="D2132" s="4" t="s">
        <v>3519</v>
      </c>
      <c r="E2132" s="4">
        <v>7073543.0</v>
      </c>
      <c r="F2132" s="4">
        <v>31.0</v>
      </c>
      <c r="G2132" s="4" t="s">
        <v>3520</v>
      </c>
    </row>
    <row r="2133">
      <c r="A2133" s="1">
        <v>2131.0</v>
      </c>
      <c r="B2133" s="4" t="s">
        <v>3567</v>
      </c>
      <c r="C2133" s="4" t="str">
        <f>IFERROR(__xludf.DUMMYFUNCTION("GOOGLETRANSLATE(D:D,""auto"",""en"")"),"Conceal the patient's condition was just discharged from hospital detention")</f>
        <v>Conceal the patient's condition was just discharged from hospital detention</v>
      </c>
      <c r="D2133" s="4" t="s">
        <v>3616</v>
      </c>
      <c r="E2133" s="4">
        <v>7031683.0</v>
      </c>
      <c r="F2133" s="4">
        <v>32.0</v>
      </c>
      <c r="G2133" s="4" t="s">
        <v>3617</v>
      </c>
    </row>
    <row r="2134">
      <c r="A2134" s="1">
        <v>2132.0</v>
      </c>
      <c r="B2134" s="4" t="s">
        <v>3567</v>
      </c>
      <c r="C2134" s="4" t="str">
        <f>IFERROR(__xludf.DUMMYFUNCTION("GOOGLETRANSLATE(D:D,""auto"",""en"")"),"Wang Yibo back cover")</f>
        <v>Wang Yibo back cover</v>
      </c>
      <c r="D2134" s="4" t="s">
        <v>3533</v>
      </c>
      <c r="E2134" s="4">
        <v>7011141.0</v>
      </c>
      <c r="F2134" s="4">
        <v>33.0</v>
      </c>
      <c r="G2134" s="4" t="s">
        <v>3534</v>
      </c>
    </row>
    <row r="2135">
      <c r="A2135" s="1">
        <v>2133.0</v>
      </c>
      <c r="B2135" s="4" t="s">
        <v>3567</v>
      </c>
      <c r="C2135" s="4" t="str">
        <f>IFERROR(__xludf.DUMMYFUNCTION("GOOGLETRANSLATE(D:D,""auto"",""en"")"),"Huanggang investigation found 13,000 patients with fever")</f>
        <v>Huanggang investigation found 13,000 patients with fever</v>
      </c>
      <c r="D2135" s="4" t="s">
        <v>3618</v>
      </c>
      <c r="E2135" s="4">
        <v>6948331.0</v>
      </c>
      <c r="F2135" s="4">
        <v>34.0</v>
      </c>
      <c r="G2135" s="4" t="s">
        <v>3619</v>
      </c>
    </row>
    <row r="2136">
      <c r="A2136" s="1">
        <v>2134.0</v>
      </c>
      <c r="B2136" s="4" t="s">
        <v>3567</v>
      </c>
      <c r="C2136" s="4" t="str">
        <f>IFERROR(__xludf.DUMMYFUNCTION("GOOGLETRANSLATE(D:D,""auto"",""en"")"),"Huanggang comprehensive investigation found that 13,000 patients with fever")</f>
        <v>Huanggang comprehensive investigation found that 13,000 patients with fever</v>
      </c>
      <c r="D2136" s="4" t="s">
        <v>3620</v>
      </c>
      <c r="E2136" s="4">
        <v>6928525.0</v>
      </c>
      <c r="F2136" s="4">
        <v>35.0</v>
      </c>
      <c r="G2136" s="4" t="s">
        <v>3621</v>
      </c>
    </row>
    <row r="2137">
      <c r="A2137" s="1">
        <v>2135.0</v>
      </c>
      <c r="B2137" s="4" t="s">
        <v>3567</v>
      </c>
      <c r="C2137" s="4" t="str">
        <f>IFERROR(__xludf.DUMMYFUNCTION("GOOGLETRANSLATE(D:D,""auto"",""en"")"),"I on behalf of the hometown folks to take a bow")</f>
        <v>I on behalf of the hometown folks to take a bow</v>
      </c>
      <c r="D2137" s="4" t="s">
        <v>3622</v>
      </c>
      <c r="E2137" s="4">
        <v>6896063.0</v>
      </c>
      <c r="F2137" s="4">
        <v>36.0</v>
      </c>
      <c r="G2137" s="4" t="s">
        <v>3623</v>
      </c>
    </row>
    <row r="2138">
      <c r="A2138" s="1">
        <v>2136.0</v>
      </c>
      <c r="B2138" s="4" t="s">
        <v>3567</v>
      </c>
      <c r="C2138" s="4" t="str">
        <f>IFERROR(__xludf.DUMMYFUNCTION("GOOGLETRANSLATE(D:D,""auto"",""en"")"),"Wang Yuan with the money pot of instant noodles")</f>
        <v>Wang Yuan with the money pot of instant noodles</v>
      </c>
      <c r="D2138" s="4" t="s">
        <v>3624</v>
      </c>
      <c r="E2138" s="4">
        <v>6864633.0</v>
      </c>
      <c r="F2138" s="4">
        <v>37.0</v>
      </c>
      <c r="G2138" s="4" t="s">
        <v>3625</v>
      </c>
    </row>
    <row r="2139">
      <c r="A2139" s="1">
        <v>2137.0</v>
      </c>
      <c r="B2139" s="4" t="s">
        <v>3567</v>
      </c>
      <c r="C2139" s="4" t="str">
        <f>IFERROR(__xludf.DUMMYFUNCTION("GOOGLETRANSLATE(D:D,""auto"",""en"")"),"When I go out and I can go like this")</f>
        <v>When I go out and I can go like this</v>
      </c>
      <c r="D2139" s="4" t="s">
        <v>3626</v>
      </c>
      <c r="E2139" s="4">
        <v>6840846.0</v>
      </c>
      <c r="F2139" s="4">
        <v>38.0</v>
      </c>
      <c r="G2139" s="4" t="s">
        <v>3627</v>
      </c>
    </row>
    <row r="2140">
      <c r="A2140" s="1">
        <v>2138.0</v>
      </c>
      <c r="B2140" s="4" t="s">
        <v>3567</v>
      </c>
      <c r="C2140" s="4" t="str">
        <f>IFERROR(__xludf.DUMMYFUNCTION("GOOGLETRANSLATE(D:D,""auto"",""en"")"),"He stars Yuansonghudui")</f>
        <v>He stars Yuansonghudui</v>
      </c>
      <c r="D2140" s="4" t="s">
        <v>3628</v>
      </c>
      <c r="E2140" s="4">
        <v>6623720.0</v>
      </c>
      <c r="F2140" s="4">
        <v>39.0</v>
      </c>
      <c r="G2140" s="4" t="s">
        <v>3629</v>
      </c>
    </row>
    <row r="2141">
      <c r="A2141" s="1">
        <v>2139.0</v>
      </c>
      <c r="B2141" s="4" t="s">
        <v>3567</v>
      </c>
      <c r="C2141" s="4" t="str">
        <f>IFERROR(__xludf.DUMMYFUNCTION("GOOGLETRANSLATE(D:D,""auto"",""en"")"),"Ling Xiao Su Tang Fei to send medical staff dinner")</f>
        <v>Ling Xiao Su Tang Fei to send medical staff dinner</v>
      </c>
      <c r="D2141" s="4" t="s">
        <v>3551</v>
      </c>
      <c r="E2141" s="4">
        <v>6557290.0</v>
      </c>
      <c r="F2141" s="4">
        <v>40.0</v>
      </c>
      <c r="G2141" s="4" t="s">
        <v>3552</v>
      </c>
    </row>
    <row r="2142">
      <c r="A2142" s="1">
        <v>2140.0</v>
      </c>
      <c r="B2142" s="4" t="s">
        <v>3567</v>
      </c>
      <c r="C2142" s="4" t="str">
        <f>IFERROR(__xludf.DUMMYFUNCTION("GOOGLETRANSLATE(D:D,""auto"",""en"")"),"Shandong Vice Governor of Hubei led aid")</f>
        <v>Shandong Vice Governor of Hubei led aid</v>
      </c>
      <c r="D2142" s="4" t="s">
        <v>3630</v>
      </c>
      <c r="E2142" s="4">
        <v>6485437.0</v>
      </c>
      <c r="F2142" s="4">
        <v>41.0</v>
      </c>
      <c r="G2142" s="4" t="s">
        <v>3631</v>
      </c>
    </row>
    <row r="2143">
      <c r="A2143" s="1">
        <v>2141.0</v>
      </c>
      <c r="B2143" s="4" t="s">
        <v>3567</v>
      </c>
      <c r="C2143" s="4" t="str">
        <f>IFERROR(__xludf.DUMMYFUNCTION("GOOGLETRANSLATE(D:D,""auto"",""en"")"),"After 95 male nurses with patient play ball")</f>
        <v>After 95 male nurses with patient play ball</v>
      </c>
      <c r="D2143" s="4" t="s">
        <v>3632</v>
      </c>
      <c r="E2143" s="4">
        <v>6477724.0</v>
      </c>
      <c r="F2143" s="4">
        <v>42.0</v>
      </c>
      <c r="G2143" s="4" t="s">
        <v>3633</v>
      </c>
    </row>
    <row r="2144">
      <c r="A2144" s="1">
        <v>2142.0</v>
      </c>
      <c r="B2144" s="4" t="s">
        <v>3567</v>
      </c>
      <c r="C2144" s="4" t="str">
        <f>IFERROR(__xludf.DUMMYFUNCTION("GOOGLETRANSLATE(D:D,""auto"",""en"")"),"National Development and Reform Commission urged not to hoard masks")</f>
        <v>National Development and Reform Commission urged not to hoard masks</v>
      </c>
      <c r="D2144" s="4" t="s">
        <v>3529</v>
      </c>
      <c r="E2144" s="4">
        <v>6460406.0</v>
      </c>
      <c r="F2144" s="4">
        <v>43.0</v>
      </c>
      <c r="G2144" s="4" t="s">
        <v>3530</v>
      </c>
    </row>
    <row r="2145">
      <c r="A2145" s="1">
        <v>2143.0</v>
      </c>
      <c r="B2145" s="4" t="s">
        <v>3567</v>
      </c>
      <c r="C2145" s="4" t="str">
        <f>IFERROR(__xludf.DUMMYFUNCTION("GOOGLETRANSLATE(D:D,""auto"",""en"")"),"Modern silk clothing under special episode")</f>
        <v>Modern silk clothing under special episode</v>
      </c>
      <c r="D2145" s="4" t="s">
        <v>3501</v>
      </c>
      <c r="E2145" s="4">
        <v>6385386.0</v>
      </c>
      <c r="F2145" s="4">
        <v>44.0</v>
      </c>
      <c r="G2145" s="4" t="s">
        <v>3502</v>
      </c>
    </row>
    <row r="2146">
      <c r="A2146" s="1">
        <v>2144.0</v>
      </c>
      <c r="B2146" s="4" t="s">
        <v>3567</v>
      </c>
      <c r="C2146" s="4" t="str">
        <f>IFERROR(__xludf.DUMMYFUNCTION("GOOGLETRANSLATE(D:D,""auto"",""en"")"),"Support teams starting first in Zhejiang Province Jingmen")</f>
        <v>Support teams starting first in Zhejiang Province Jingmen</v>
      </c>
      <c r="D2146" s="4" t="s">
        <v>3634</v>
      </c>
      <c r="E2146" s="4">
        <v>6354471.0</v>
      </c>
      <c r="F2146" s="4">
        <v>45.0</v>
      </c>
      <c r="G2146" s="4" t="s">
        <v>3635</v>
      </c>
    </row>
    <row r="2147">
      <c r="A2147" s="1">
        <v>2145.0</v>
      </c>
      <c r="B2147" s="4" t="s">
        <v>3567</v>
      </c>
      <c r="C2147" s="4" t="str">
        <f>IFERROR(__xludf.DUMMYFUNCTION("GOOGLETRANSLATE(D:D,""auto"",""en"")"),"Xie Na encourage Chinese medical aid")</f>
        <v>Xie Na encourage Chinese medical aid</v>
      </c>
      <c r="D2147" s="4" t="s">
        <v>3636</v>
      </c>
      <c r="E2147" s="4">
        <v>6328323.0</v>
      </c>
      <c r="F2147" s="4">
        <v>46.0</v>
      </c>
      <c r="G2147" s="4" t="s">
        <v>3637</v>
      </c>
    </row>
    <row r="2148">
      <c r="A2148" s="1">
        <v>2146.0</v>
      </c>
      <c r="B2148" s="4" t="s">
        <v>3567</v>
      </c>
      <c r="C2148" s="4" t="str">
        <f>IFERROR(__xludf.DUMMYFUNCTION("GOOGLETRANSLATE(D:D,""auto"",""en"")"),"All teachers must stop recording and broadcasting courses")</f>
        <v>All teachers must stop recording and broadcasting courses</v>
      </c>
      <c r="D2148" s="4" t="s">
        <v>3638</v>
      </c>
      <c r="E2148" s="4">
        <v>6304981.0</v>
      </c>
      <c r="F2148" s="4">
        <v>47.0</v>
      </c>
      <c r="G2148" s="4" t="s">
        <v>3639</v>
      </c>
    </row>
    <row r="2149">
      <c r="A2149" s="1">
        <v>2147.0</v>
      </c>
      <c r="B2149" s="4" t="s">
        <v>3567</v>
      </c>
      <c r="C2149" s="4" t="str">
        <f>IFERROR(__xludf.DUMMYFUNCTION("GOOGLETRANSLATE(D:D,""auto"",""en"")"),"Brothers spray under field mora")</f>
        <v>Brothers spray under field mora</v>
      </c>
      <c r="D2149" s="4" t="s">
        <v>3640</v>
      </c>
      <c r="E2149" s="4">
        <v>6262030.0</v>
      </c>
      <c r="F2149" s="4">
        <v>48.0</v>
      </c>
      <c r="G2149" s="4" t="s">
        <v>3641</v>
      </c>
    </row>
    <row r="2150">
      <c r="A2150" s="1">
        <v>2148.0</v>
      </c>
      <c r="B2150" s="4" t="s">
        <v>3567</v>
      </c>
      <c r="C2150" s="4" t="str">
        <f>IFERROR(__xludf.DUMMYFUNCTION("GOOGLETRANSLATE(D:D,""auto"",""en"")"),"Women roadside one by one to touch the door handle")</f>
        <v>Women roadside one by one to touch the door handle</v>
      </c>
      <c r="D2150" s="4" t="s">
        <v>3642</v>
      </c>
      <c r="E2150" s="4">
        <v>6209772.0</v>
      </c>
      <c r="F2150" s="4">
        <v>49.0</v>
      </c>
      <c r="G2150" s="4" t="s">
        <v>3643</v>
      </c>
    </row>
    <row r="2151">
      <c r="A2151" s="1">
        <v>2149.0</v>
      </c>
      <c r="B2151" s="4" t="s">
        <v>3567</v>
      </c>
      <c r="C2151" s="4" t="str">
        <f>IFERROR(__xludf.DUMMYFUNCTION("GOOGLETRANSLATE(D:D,""auto"",""en"")"),"Students need to return to school after the Hubei incommunicado")</f>
        <v>Students need to return to school after the Hubei incommunicado</v>
      </c>
      <c r="D2151" s="4" t="s">
        <v>3644</v>
      </c>
      <c r="E2151" s="4">
        <v>6144504.0</v>
      </c>
      <c r="F2151" s="4">
        <v>50.0</v>
      </c>
      <c r="G2151" s="4" t="s">
        <v>3645</v>
      </c>
    </row>
    <row r="2152">
      <c r="A2152" s="1">
        <v>2150.0</v>
      </c>
      <c r="B2152" s="4" t="s">
        <v>3646</v>
      </c>
      <c r="C2152" s="4" t="str">
        <f>IFERROR(__xludf.DUMMYFUNCTION("GOOGLETRANSLATE(D:D,""auto"",""en"")"),"Zhang Yu Jian live")</f>
        <v>Zhang Yu Jian live</v>
      </c>
      <c r="D2152" s="4" t="s">
        <v>3647</v>
      </c>
      <c r="E2152" s="4">
        <v>1.2488869E7</v>
      </c>
      <c r="F2152" s="4">
        <v>1.0</v>
      </c>
      <c r="G2152" s="4" t="s">
        <v>3648</v>
      </c>
    </row>
    <row r="2153">
      <c r="A2153" s="1">
        <v>2151.0</v>
      </c>
      <c r="B2153" s="4" t="s">
        <v>3646</v>
      </c>
      <c r="C2153" s="4" t="str">
        <f>IFERROR(__xludf.DUMMYFUNCTION("GOOGLETRANSLATE(D:D,""auto"",""en"")"),"Four tested negative fifth was diagnosed")</f>
        <v>Four tested negative fifth was diagnosed</v>
      </c>
      <c r="D2153" s="4" t="s">
        <v>3649</v>
      </c>
      <c r="E2153" s="4">
        <v>1.2126996E7</v>
      </c>
      <c r="F2153" s="4">
        <v>2.0</v>
      </c>
      <c r="G2153" s="4" t="s">
        <v>3650</v>
      </c>
    </row>
    <row r="2154">
      <c r="A2154" s="1">
        <v>2152.0</v>
      </c>
      <c r="B2154" s="4" t="s">
        <v>3646</v>
      </c>
      <c r="C2154" s="4" t="str">
        <f>IFERROR(__xludf.DUMMYFUNCTION("GOOGLETRANSLATE(D:D,""auto"",""en"")"),"The number of cases of clinically diagnosed Hubei incorporate new data")</f>
        <v>The number of cases of clinically diagnosed Hubei incorporate new data</v>
      </c>
      <c r="D2154" s="4" t="s">
        <v>3651</v>
      </c>
      <c r="E2154" s="4">
        <v>1.1819096E7</v>
      </c>
      <c r="F2154" s="4">
        <v>3.0</v>
      </c>
      <c r="G2154" s="4" t="s">
        <v>3652</v>
      </c>
    </row>
    <row r="2155">
      <c r="A2155" s="1">
        <v>2153.0</v>
      </c>
      <c r="B2155" s="4" t="s">
        <v>3646</v>
      </c>
      <c r="C2155" s="4" t="str">
        <f>IFERROR(__xludf.DUMMYFUNCTION("GOOGLETRANSLATE(D:D,""auto"",""en"")"),"Shandong Express dishes uncle won 20,000 yuan bonus")</f>
        <v>Shandong Express dishes uncle won 20,000 yuan bonus</v>
      </c>
      <c r="D2155" s="4" t="s">
        <v>3653</v>
      </c>
      <c r="E2155" s="4">
        <v>1.1587052E7</v>
      </c>
      <c r="F2155" s="4">
        <v>4.0</v>
      </c>
      <c r="G2155" s="4" t="s">
        <v>3654</v>
      </c>
    </row>
    <row r="2156">
      <c r="A2156" s="1">
        <v>2154.0</v>
      </c>
      <c r="B2156" s="4" t="s">
        <v>3646</v>
      </c>
      <c r="C2156" s="4" t="str">
        <f>IFERROR(__xludf.DUMMYFUNCTION("GOOGLETRANSLATE(D:D,""auto"",""en"")"),"Sichuan, Hubei people how to teach children to eat vegetables")</f>
        <v>Sichuan, Hubei people how to teach children to eat vegetables</v>
      </c>
      <c r="D2156" s="4" t="s">
        <v>3655</v>
      </c>
      <c r="E2156" s="4">
        <v>1.1283901E7</v>
      </c>
      <c r="F2156" s="4">
        <v>5.0</v>
      </c>
      <c r="G2156" s="4" t="s">
        <v>3656</v>
      </c>
    </row>
    <row r="2157">
      <c r="A2157" s="1">
        <v>2155.0</v>
      </c>
      <c r="B2157" s="4" t="s">
        <v>3646</v>
      </c>
      <c r="C2157" s="4" t="str">
        <f>IFERROR(__xludf.DUMMYFUNCTION("GOOGLETRANSLATE(D:D,""auto"",""en"")"),"Wang Yuan with the money pot of instant noodles")</f>
        <v>Wang Yuan with the money pot of instant noodles</v>
      </c>
      <c r="D2157" s="4" t="s">
        <v>3624</v>
      </c>
      <c r="E2157" s="4">
        <v>1.0961105E7</v>
      </c>
      <c r="F2157" s="4">
        <v>6.0</v>
      </c>
      <c r="G2157" s="4" t="s">
        <v>3625</v>
      </c>
    </row>
    <row r="2158">
      <c r="A2158" s="1">
        <v>2156.0</v>
      </c>
      <c r="B2158" s="4" t="s">
        <v>3646</v>
      </c>
      <c r="C2158" s="4" t="str">
        <f>IFERROR(__xludf.DUMMYFUNCTION("GOOGLETRANSLATE(D:D,""auto"",""en"")"),"The United States put the world's largest fireworks")</f>
        <v>The United States put the world's largest fireworks</v>
      </c>
      <c r="D2158" s="4" t="s">
        <v>3657</v>
      </c>
      <c r="E2158" s="4">
        <v>1.0718483E7</v>
      </c>
      <c r="F2158" s="4">
        <v>7.0</v>
      </c>
      <c r="G2158" s="4" t="s">
        <v>3658</v>
      </c>
    </row>
    <row r="2159">
      <c r="A2159" s="1">
        <v>2157.0</v>
      </c>
      <c r="B2159" s="4" t="s">
        <v>3646</v>
      </c>
      <c r="C2159" s="4" t="str">
        <f>IFERROR(__xludf.DUMMYFUNCTION("GOOGLETRANSLATE(D:D,""auto"",""en"")"),"Muzi foreign coax children live")</f>
        <v>Muzi foreign coax children live</v>
      </c>
      <c r="D2159" s="4" t="s">
        <v>3659</v>
      </c>
      <c r="E2159" s="4">
        <v>1.0561349E7</v>
      </c>
      <c r="F2159" s="4">
        <v>8.0</v>
      </c>
      <c r="G2159" s="4" t="s">
        <v>3660</v>
      </c>
    </row>
    <row r="2160">
      <c r="A2160" s="1">
        <v>2158.0</v>
      </c>
      <c r="B2160" s="4" t="s">
        <v>3646</v>
      </c>
      <c r="C2160" s="4" t="str">
        <f>IFERROR(__xludf.DUMMYFUNCTION("GOOGLETRANSLATE(D:D,""auto"",""en"")"),"Shanghai Mayor Ying Yong secretary of Hubei Provincial Committee")</f>
        <v>Shanghai Mayor Ying Yong secretary of Hubei Provincial Committee</v>
      </c>
      <c r="D2160" s="4" t="s">
        <v>3661</v>
      </c>
      <c r="E2160" s="4">
        <v>1.0427611E7</v>
      </c>
      <c r="F2160" s="4">
        <v>9.0</v>
      </c>
      <c r="G2160" s="4" t="s">
        <v>3662</v>
      </c>
    </row>
    <row r="2161">
      <c r="A2161" s="1">
        <v>2159.0</v>
      </c>
      <c r="B2161" s="4" t="s">
        <v>3646</v>
      </c>
      <c r="C2161" s="4" t="str">
        <f>IFERROR(__xludf.DUMMYFUNCTION("GOOGLETRANSLATE(D:D,""auto"",""en"")"),"A Rolex way back home")</f>
        <v>A Rolex way back home</v>
      </c>
      <c r="D2161" s="4" t="s">
        <v>3663</v>
      </c>
      <c r="E2161" s="4">
        <v>1.0215832E7</v>
      </c>
      <c r="F2161" s="4">
        <v>10.0</v>
      </c>
      <c r="G2161" s="4" t="s">
        <v>3664</v>
      </c>
    </row>
    <row r="2162">
      <c r="A2162" s="1">
        <v>2160.0</v>
      </c>
      <c r="B2162" s="4" t="s">
        <v>3646</v>
      </c>
      <c r="C2162" s="4" t="str">
        <f>IFERROR(__xludf.DUMMYFUNCTION("GOOGLETRANSLATE(D:D,""auto"",""en"")"),"A quick lesson on a network there are so many unreasonable demands")</f>
        <v>A quick lesson on a network there are so many unreasonable demands</v>
      </c>
      <c r="D2162" s="4" t="s">
        <v>3665</v>
      </c>
      <c r="E2162" s="4">
        <v>1.0215494E7</v>
      </c>
      <c r="F2162" s="4">
        <v>11.0</v>
      </c>
      <c r="G2162" s="4" t="s">
        <v>3666</v>
      </c>
    </row>
    <row r="2163">
      <c r="A2163" s="1">
        <v>2161.0</v>
      </c>
      <c r="B2163" s="4" t="s">
        <v>3646</v>
      </c>
      <c r="C2163" s="4" t="str">
        <f>IFERROR(__xludf.DUMMYFUNCTION("GOOGLETRANSLATE(D:D,""auto"",""en"")"),"High quality accompany baby")</f>
        <v>High quality accompany baby</v>
      </c>
      <c r="D2163" s="4" t="s">
        <v>3667</v>
      </c>
      <c r="E2163" s="4">
        <v>1.020427E7</v>
      </c>
      <c r="F2163" s="4">
        <v>12.0</v>
      </c>
      <c r="G2163" s="4" t="s">
        <v>3668</v>
      </c>
    </row>
    <row r="2164">
      <c r="A2164" s="1">
        <v>2162.0</v>
      </c>
      <c r="B2164" s="4" t="s">
        <v>3646</v>
      </c>
      <c r="C2164" s="4" t="str">
        <f>IFERROR(__xludf.DUMMYFUNCTION("GOOGLETRANSLATE(D:D,""auto"",""en"")"),"Hubei new cases diagnosed 14,840 cases")</f>
        <v>Hubei new cases diagnosed 14,840 cases</v>
      </c>
      <c r="D2164" s="4" t="s">
        <v>3669</v>
      </c>
      <c r="E2164" s="4">
        <v>9834046.0</v>
      </c>
      <c r="F2164" s="4">
        <v>13.0</v>
      </c>
      <c r="G2164" s="4" t="s">
        <v>3670</v>
      </c>
    </row>
    <row r="2165">
      <c r="A2165" s="1">
        <v>2163.0</v>
      </c>
      <c r="B2165" s="4" t="s">
        <v>3646</v>
      </c>
      <c r="C2165" s="4" t="str">
        <f>IFERROR(__xludf.DUMMYFUNCTION("GOOGLETRANSLATE(D:D,""auto"",""en"")"),"Police officers on duty Lingchen Jun warm body punches")</f>
        <v>Police officers on duty Lingchen Jun warm body punches</v>
      </c>
      <c r="D2165" s="4" t="s">
        <v>3671</v>
      </c>
      <c r="E2165" s="4">
        <v>9713416.0</v>
      </c>
      <c r="F2165" s="4">
        <v>14.0</v>
      </c>
      <c r="G2165" s="4" t="s">
        <v>3672</v>
      </c>
    </row>
    <row r="2166">
      <c r="A2166" s="1">
        <v>2164.0</v>
      </c>
      <c r="B2166" s="4" t="s">
        <v>3646</v>
      </c>
      <c r="C2166" s="4" t="str">
        <f>IFERROR(__xludf.DUMMYFUNCTION("GOOGLETRANSLATE(D:D,""auto"",""en"")"),"Japan Cruise soared to new cases of pneumonia, 44 cases of crown")</f>
        <v>Japan Cruise soared to new cases of pneumonia, 44 cases of crown</v>
      </c>
      <c r="D2166" s="4" t="s">
        <v>3673</v>
      </c>
      <c r="E2166" s="4">
        <v>9520959.0</v>
      </c>
      <c r="F2166" s="4">
        <v>15.0</v>
      </c>
      <c r="G2166" s="4" t="s">
        <v>3674</v>
      </c>
    </row>
    <row r="2167">
      <c r="A2167" s="1">
        <v>2165.0</v>
      </c>
      <c r="B2167" s="4" t="s">
        <v>3646</v>
      </c>
      <c r="C2167" s="4" t="str">
        <f>IFERROR(__xludf.DUMMYFUNCTION("GOOGLETRANSLATE(D:D,""auto"",""en"")"),"Du Jiang Wei Taixun jump on Long Sa")</f>
        <v>Du Jiang Wei Taixun jump on Long Sa</v>
      </c>
      <c r="D2167" s="4" t="s">
        <v>3675</v>
      </c>
      <c r="E2167" s="4">
        <v>9499140.0</v>
      </c>
      <c r="F2167" s="4">
        <v>16.0</v>
      </c>
      <c r="G2167" s="4" t="s">
        <v>3676</v>
      </c>
    </row>
    <row r="2168">
      <c r="A2168" s="1">
        <v>2166.0</v>
      </c>
      <c r="B2168" s="4" t="s">
        <v>3646</v>
      </c>
      <c r="C2168" s="4" t="str">
        <f>IFERROR(__xludf.DUMMYFUNCTION("GOOGLETRANSLATE(D:D,""auto"",""en"")"),"Yi Xi smelt one thousand nominated for Academy Awards for best actor")</f>
        <v>Yi Xi smelt one thousand nominated for Academy Awards for best actor</v>
      </c>
      <c r="D2168" s="4" t="s">
        <v>3610</v>
      </c>
      <c r="E2168" s="4">
        <v>9405391.0</v>
      </c>
      <c r="F2168" s="4">
        <v>17.0</v>
      </c>
      <c r="G2168" s="4" t="s">
        <v>3611</v>
      </c>
    </row>
    <row r="2169">
      <c r="A2169" s="1">
        <v>2167.0</v>
      </c>
      <c r="B2169" s="4" t="s">
        <v>3646</v>
      </c>
      <c r="C2169" s="4" t="str">
        <f>IFERROR(__xludf.DUMMYFUNCTION("GOOGLETRANSLATE(D:D,""auto"",""en"")"),"Bryant during his lifetime SMS")</f>
        <v>Bryant during his lifetime SMS</v>
      </c>
      <c r="D2169" s="4" t="s">
        <v>3677</v>
      </c>
      <c r="E2169" s="4">
        <v>9402865.0</v>
      </c>
      <c r="F2169" s="4">
        <v>18.0</v>
      </c>
      <c r="G2169" s="4" t="s">
        <v>3678</v>
      </c>
    </row>
    <row r="2170">
      <c r="A2170" s="1">
        <v>2168.0</v>
      </c>
      <c r="B2170" s="4" t="s">
        <v>3646</v>
      </c>
      <c r="C2170" s="4" t="str">
        <f>IFERROR(__xludf.DUMMYFUNCTION("GOOGLETRANSLATE(D:D,""auto"",""en"")"),"The national total of 59,804 cases of pneumonia diagnosed with the new crown")</f>
        <v>The national total of 59,804 cases of pneumonia diagnosed with the new crown</v>
      </c>
      <c r="D2170" s="4" t="s">
        <v>3679</v>
      </c>
      <c r="E2170" s="4">
        <v>9265762.0</v>
      </c>
      <c r="F2170" s="4">
        <v>19.0</v>
      </c>
      <c r="G2170" s="4" t="s">
        <v>3680</v>
      </c>
    </row>
    <row r="2171">
      <c r="A2171" s="1">
        <v>2169.0</v>
      </c>
      <c r="B2171" s="4" t="s">
        <v>3646</v>
      </c>
      <c r="C2171" s="4" t="str">
        <f>IFERROR(__xludf.DUMMYFUNCTION("GOOGLETRANSLATE(D:D,""auto"",""en"")"),"Beijing new confirmed cases 14 cases")</f>
        <v>Beijing new confirmed cases 14 cases</v>
      </c>
      <c r="D2171" s="4" t="s">
        <v>3681</v>
      </c>
      <c r="E2171" s="4">
        <v>9259235.0</v>
      </c>
      <c r="F2171" s="4">
        <v>20.0</v>
      </c>
      <c r="G2171" s="4" t="s">
        <v>3682</v>
      </c>
    </row>
    <row r="2172">
      <c r="A2172" s="1">
        <v>2170.0</v>
      </c>
      <c r="B2172" s="4" t="s">
        <v>3646</v>
      </c>
      <c r="C2172" s="4" t="str">
        <f>IFERROR(__xludf.DUMMYFUNCTION("GOOGLETRANSLATE(D:D,""auto"",""en"")"),"1485 new people rush to the rescue on the 12th Hubei")</f>
        <v>1485 new people rush to the rescue on the 12th Hubei</v>
      </c>
      <c r="D2172" s="4" t="s">
        <v>3683</v>
      </c>
      <c r="E2172" s="4">
        <v>9025525.0</v>
      </c>
      <c r="F2172" s="4">
        <v>21.0</v>
      </c>
      <c r="G2172" s="4" t="s">
        <v>3684</v>
      </c>
    </row>
    <row r="2173">
      <c r="A2173" s="1">
        <v>2171.0</v>
      </c>
      <c r="B2173" s="4" t="s">
        <v>3646</v>
      </c>
      <c r="C2173" s="4" t="str">
        <f>IFERROR(__xludf.DUMMYFUNCTION("GOOGLETRANSLATE(D:D,""auto"",""en"")"),"Guo Degang love ambulance donated to Wuhan")</f>
        <v>Guo Degang love ambulance donated to Wuhan</v>
      </c>
      <c r="D2173" s="4" t="s">
        <v>3685</v>
      </c>
      <c r="E2173" s="4">
        <v>9007373.0</v>
      </c>
      <c r="F2173" s="4">
        <v>22.0</v>
      </c>
      <c r="G2173" s="4" t="s">
        <v>3686</v>
      </c>
    </row>
    <row r="2174">
      <c r="A2174" s="1">
        <v>2172.0</v>
      </c>
      <c r="B2174" s="4" t="s">
        <v>3646</v>
      </c>
      <c r="C2174" s="4" t="str">
        <f>IFERROR(__xludf.DUMMYFUNCTION("GOOGLETRANSLATE(D:D,""auto"",""en"")"),"Wuhan is not to find out the number of infections")</f>
        <v>Wuhan is not to find out the number of infections</v>
      </c>
      <c r="D2174" s="4" t="s">
        <v>3687</v>
      </c>
      <c r="E2174" s="4">
        <v>8977465.0</v>
      </c>
      <c r="F2174" s="4">
        <v>23.0</v>
      </c>
      <c r="G2174" s="4" t="s">
        <v>3688</v>
      </c>
    </row>
    <row r="2175">
      <c r="A2175" s="1">
        <v>2173.0</v>
      </c>
      <c r="B2175" s="4" t="s">
        <v>3646</v>
      </c>
      <c r="C2175" s="4" t="str">
        <f>IFERROR(__xludf.DUMMYFUNCTION("GOOGLETRANSLATE(D:D,""auto"",""en"")"),"Hello lonely ah boy")</f>
        <v>Hello lonely ah boy</v>
      </c>
      <c r="D2175" s="4" t="s">
        <v>3689</v>
      </c>
      <c r="E2175" s="4">
        <v>8975383.0</v>
      </c>
      <c r="F2175" s="4">
        <v>24.0</v>
      </c>
      <c r="G2175" s="4" t="s">
        <v>3690</v>
      </c>
    </row>
    <row r="2176">
      <c r="A2176" s="1">
        <v>2174.0</v>
      </c>
      <c r="B2176" s="4" t="s">
        <v>3646</v>
      </c>
      <c r="C2176" s="4" t="str">
        <f>IFERROR(__xludf.DUMMYFUNCTION("GOOGLETRANSLATE(D:D,""auto"",""en"")"),"Hubei Jiangzai build a hospital emergency reserve")</f>
        <v>Hubei Jiangzai build a hospital emergency reserve</v>
      </c>
      <c r="D2176" s="4" t="s">
        <v>3691</v>
      </c>
      <c r="E2176" s="4">
        <v>8964627.0</v>
      </c>
      <c r="F2176" s="4">
        <v>25.0</v>
      </c>
      <c r="G2176" s="4" t="s">
        <v>3692</v>
      </c>
    </row>
    <row r="2177">
      <c r="A2177" s="1">
        <v>2175.0</v>
      </c>
      <c r="B2177" s="4" t="s">
        <v>3646</v>
      </c>
      <c r="C2177" s="4" t="str">
        <f>IFERROR(__xludf.DUMMYFUNCTION("GOOGLETRANSLATE(D:D,""auto"",""en"")"),"Send more troops to support 2,600 health care workers in Wuhan")</f>
        <v>Send more troops to support 2,600 health care workers in Wuhan</v>
      </c>
      <c r="D2177" s="4" t="s">
        <v>3693</v>
      </c>
      <c r="E2177" s="4">
        <v>8930756.0</v>
      </c>
      <c r="F2177" s="4">
        <v>26.0</v>
      </c>
      <c r="G2177" s="4" t="s">
        <v>3694</v>
      </c>
    </row>
    <row r="2178">
      <c r="A2178" s="1">
        <v>2176.0</v>
      </c>
      <c r="B2178" s="4" t="s">
        <v>3646</v>
      </c>
      <c r="C2178" s="4" t="str">
        <f>IFERROR(__xludf.DUMMYFUNCTION("GOOGLETRANSLATE(D:D,""auto"",""en"")"),"My grandfather was young is my ideal type")</f>
        <v>My grandfather was young is my ideal type</v>
      </c>
      <c r="D2178" s="4" t="s">
        <v>3695</v>
      </c>
      <c r="E2178" s="4">
        <v>8837245.0</v>
      </c>
      <c r="F2178" s="4">
        <v>27.0</v>
      </c>
      <c r="G2178" s="4" t="s">
        <v>3696</v>
      </c>
    </row>
    <row r="2179">
      <c r="A2179" s="1">
        <v>2177.0</v>
      </c>
      <c r="B2179" s="4" t="s">
        <v>3646</v>
      </c>
      <c r="C2179" s="4" t="str">
        <f>IFERROR(__xludf.DUMMYFUNCTION("GOOGLETRANSLATE(D:D,""auto"",""en"")"),"Teachers qualifying examination and identification postponed")</f>
        <v>Teachers qualifying examination and identification postponed</v>
      </c>
      <c r="D2179" s="4" t="s">
        <v>3697</v>
      </c>
      <c r="E2179" s="4">
        <v>8797046.0</v>
      </c>
      <c r="F2179" s="4">
        <v>28.0</v>
      </c>
      <c r="G2179" s="4" t="s">
        <v>3698</v>
      </c>
    </row>
    <row r="2180">
      <c r="A2180" s="1">
        <v>2178.0</v>
      </c>
      <c r="B2180" s="4" t="s">
        <v>3646</v>
      </c>
      <c r="C2180" s="4" t="str">
        <f>IFERROR(__xludf.DUMMYFUNCTION("GOOGLETRANSLATE(D:D,""auto"",""en"")"),"Xiaogan Huanggang, Wuhan and other places to take the same measures")</f>
        <v>Xiaogan Huanggang, Wuhan and other places to take the same measures</v>
      </c>
      <c r="D2180" s="4" t="s">
        <v>3699</v>
      </c>
      <c r="E2180" s="4">
        <v>8768315.0</v>
      </c>
      <c r="F2180" s="4">
        <v>29.0</v>
      </c>
      <c r="G2180" s="4" t="s">
        <v>3700</v>
      </c>
    </row>
    <row r="2181">
      <c r="A2181" s="1">
        <v>2179.0</v>
      </c>
      <c r="B2181" s="4" t="s">
        <v>3646</v>
      </c>
      <c r="C2181" s="4" t="str">
        <f>IFERROR(__xludf.DUMMYFUNCTION("GOOGLETRANSLATE(D:D,""auto"",""en"")"),"Shiyan Zhang Wan implementation of wartime control")</f>
        <v>Shiyan Zhang Wan implementation of wartime control</v>
      </c>
      <c r="D2181" s="4" t="s">
        <v>3701</v>
      </c>
      <c r="E2181" s="4">
        <v>8759157.0</v>
      </c>
      <c r="F2181" s="4">
        <v>30.0</v>
      </c>
      <c r="G2181" s="4" t="s">
        <v>3702</v>
      </c>
    </row>
    <row r="2182">
      <c r="A2182" s="1">
        <v>2180.0</v>
      </c>
      <c r="B2182" s="4" t="s">
        <v>3646</v>
      </c>
      <c r="C2182" s="4" t="str">
        <f>IFERROR(__xludf.DUMMYFUNCTION("GOOGLETRANSLATE(D:D,""auto"",""en"")"),"Blizzard blue warning")</f>
        <v>Blizzard blue warning</v>
      </c>
      <c r="D2182" s="4" t="s">
        <v>3703</v>
      </c>
      <c r="E2182" s="4">
        <v>8733741.0</v>
      </c>
      <c r="F2182" s="4">
        <v>31.0</v>
      </c>
      <c r="G2182" s="4" t="s">
        <v>3704</v>
      </c>
    </row>
    <row r="2183">
      <c r="A2183" s="1">
        <v>2181.0</v>
      </c>
      <c r="B2183" s="4" t="s">
        <v>3646</v>
      </c>
      <c r="C2183" s="4" t="str">
        <f>IFERROR(__xludf.DUMMYFUNCTION("GOOGLETRANSLATE(D:D,""auto"",""en"")"),"Guangdong new confirmed cases in 22 cases")</f>
        <v>Guangdong new confirmed cases in 22 cases</v>
      </c>
      <c r="D2183" s="4" t="s">
        <v>3705</v>
      </c>
      <c r="E2183" s="4">
        <v>8618283.0</v>
      </c>
      <c r="F2183" s="4">
        <v>32.0</v>
      </c>
      <c r="G2183" s="4" t="s">
        <v>3706</v>
      </c>
    </row>
    <row r="2184">
      <c r="A2184" s="1">
        <v>2182.0</v>
      </c>
      <c r="B2184" s="4" t="s">
        <v>3646</v>
      </c>
      <c r="C2184" s="4" t="str">
        <f>IFERROR(__xludf.DUMMYFUNCTION("GOOGLETRANSLATE(D:D,""auto"",""en"")"),"Shandong new confirmed cases in 9 cases")</f>
        <v>Shandong new confirmed cases in 9 cases</v>
      </c>
      <c r="D2184" s="4" t="s">
        <v>3707</v>
      </c>
      <c r="E2184" s="4">
        <v>8530769.0</v>
      </c>
      <c r="F2184" s="4">
        <v>33.0</v>
      </c>
      <c r="G2184" s="4" t="s">
        <v>3708</v>
      </c>
    </row>
    <row r="2185">
      <c r="A2185" s="1">
        <v>2183.0</v>
      </c>
      <c r="B2185" s="4" t="s">
        <v>3646</v>
      </c>
      <c r="C2185" s="4" t="str">
        <f>IFERROR(__xludf.DUMMYFUNCTION("GOOGLETRANSLATE(D:D,""auto"",""en"")"),"Heilongjiang new confirmed cases 17 cases")</f>
        <v>Heilongjiang new confirmed cases 17 cases</v>
      </c>
      <c r="D2185" s="4" t="s">
        <v>3709</v>
      </c>
      <c r="E2185" s="4">
        <v>8526888.0</v>
      </c>
      <c r="F2185" s="4">
        <v>34.0</v>
      </c>
      <c r="G2185" s="4" t="s">
        <v>3710</v>
      </c>
    </row>
    <row r="2186">
      <c r="A2186" s="1">
        <v>2184.0</v>
      </c>
      <c r="B2186" s="4" t="s">
        <v>3646</v>
      </c>
      <c r="C2186" s="4" t="str">
        <f>IFERROR(__xludf.DUMMYFUNCTION("GOOGLETRANSLATE(D:D,""auto"",""en"")"),"Henan new confirmed cases 34 cases")</f>
        <v>Henan new confirmed cases 34 cases</v>
      </c>
      <c r="D2186" s="4" t="s">
        <v>3711</v>
      </c>
      <c r="E2186" s="4">
        <v>8392614.0</v>
      </c>
      <c r="F2186" s="4">
        <v>35.0</v>
      </c>
      <c r="G2186" s="4" t="s">
        <v>3712</v>
      </c>
    </row>
    <row r="2187">
      <c r="A2187" s="1">
        <v>2185.0</v>
      </c>
      <c r="B2187" s="4" t="s">
        <v>3646</v>
      </c>
      <c r="C2187" s="4" t="str">
        <f>IFERROR(__xludf.DUMMYFUNCTION("GOOGLETRANSLATE(D:D,""auto"",""en"")"),"Wang Yibo coquetry")</f>
        <v>Wang Yibo coquetry</v>
      </c>
      <c r="D2187" s="4" t="s">
        <v>3713</v>
      </c>
      <c r="E2187" s="4">
        <v>8367644.0</v>
      </c>
      <c r="F2187" s="4">
        <v>36.0</v>
      </c>
      <c r="G2187" s="4" t="s">
        <v>3714</v>
      </c>
    </row>
    <row r="2188">
      <c r="A2188" s="1">
        <v>2186.0</v>
      </c>
      <c r="B2188" s="4" t="s">
        <v>3646</v>
      </c>
      <c r="C2188" s="4" t="str">
        <f>IFERROR(__xludf.DUMMYFUNCTION("GOOGLETRANSLATE(D:D,""auto"",""en"")"),"The new crown pneumonia ill treatment of plasma 11")</f>
        <v>The new crown pneumonia ill treatment of plasma 11</v>
      </c>
      <c r="D2188" s="4" t="s">
        <v>3715</v>
      </c>
      <c r="E2188" s="4">
        <v>8340077.0</v>
      </c>
      <c r="F2188" s="4">
        <v>37.0</v>
      </c>
      <c r="G2188" s="4" t="s">
        <v>3716</v>
      </c>
    </row>
    <row r="2189">
      <c r="A2189" s="1">
        <v>2187.0</v>
      </c>
      <c r="B2189" s="4" t="s">
        <v>3646</v>
      </c>
      <c r="C2189" s="4" t="str">
        <f>IFERROR(__xludf.DUMMYFUNCTION("GOOGLETRANSLATE(D:D,""auto"",""en"")"),"Zeng Yin final show")</f>
        <v>Zeng Yin final show</v>
      </c>
      <c r="D2189" s="4" t="s">
        <v>3578</v>
      </c>
      <c r="E2189" s="4">
        <v>8285878.0</v>
      </c>
      <c r="F2189" s="4">
        <v>38.0</v>
      </c>
      <c r="G2189" s="4" t="s">
        <v>3579</v>
      </c>
    </row>
    <row r="2190">
      <c r="A2190" s="1">
        <v>2188.0</v>
      </c>
      <c r="B2190" s="4" t="s">
        <v>3646</v>
      </c>
      <c r="C2190" s="4" t="str">
        <f>IFERROR(__xludf.DUMMYFUNCTION("GOOGLETRANSLATE(D:D,""auto"",""en"")"),"My parents might have been laid off")</f>
        <v>My parents might have been laid off</v>
      </c>
      <c r="D2190" s="4" t="s">
        <v>3602</v>
      </c>
      <c r="E2190" s="4">
        <v>8220542.0</v>
      </c>
      <c r="F2190" s="4">
        <v>39.0</v>
      </c>
      <c r="G2190" s="4" t="s">
        <v>3603</v>
      </c>
    </row>
    <row r="2191">
      <c r="A2191" s="1">
        <v>2189.0</v>
      </c>
      <c r="B2191" s="4" t="s">
        <v>3646</v>
      </c>
      <c r="C2191" s="4" t="str">
        <f>IFERROR(__xludf.DUMMYFUNCTION("GOOGLETRANSLATE(D:D,""auto"",""en"")"),"Indonesia is still the market selling bat")</f>
        <v>Indonesia is still the market selling bat</v>
      </c>
      <c r="D2191" s="4" t="s">
        <v>3717</v>
      </c>
      <c r="E2191" s="4">
        <v>8179994.0</v>
      </c>
      <c r="F2191" s="4">
        <v>40.0</v>
      </c>
      <c r="G2191" s="4" t="s">
        <v>3718</v>
      </c>
    </row>
    <row r="2192">
      <c r="A2192" s="1">
        <v>2190.0</v>
      </c>
      <c r="B2192" s="4" t="s">
        <v>3646</v>
      </c>
      <c r="C2192" s="4" t="str">
        <f>IFERROR(__xludf.DUMMYFUNCTION("GOOGLETRANSLATE(D:D,""auto"",""en"")"),"ZhouDongYu nominated for Best Actress Award")</f>
        <v>ZhouDongYu nominated for Best Actress Award</v>
      </c>
      <c r="D2192" s="4" t="s">
        <v>3719</v>
      </c>
      <c r="E2192" s="4">
        <v>8119912.0</v>
      </c>
      <c r="F2192" s="4">
        <v>41.0</v>
      </c>
      <c r="G2192" s="4" t="s">
        <v>3720</v>
      </c>
    </row>
    <row r="2193">
      <c r="A2193" s="1">
        <v>2191.0</v>
      </c>
      <c r="B2193" s="4" t="s">
        <v>3646</v>
      </c>
      <c r="C2193" s="4" t="str">
        <f>IFERROR(__xludf.DUMMYFUNCTION("GOOGLETRANSLATE(D:D,""auto"",""en"")"),"All disinfectants are effective against the new virus crown")</f>
        <v>All disinfectants are effective against the new virus crown</v>
      </c>
      <c r="D2193" s="4" t="s">
        <v>3721</v>
      </c>
      <c r="E2193" s="4">
        <v>7996338.0</v>
      </c>
      <c r="F2193" s="4">
        <v>42.0</v>
      </c>
      <c r="G2193" s="4" t="s">
        <v>3722</v>
      </c>
    </row>
    <row r="2194">
      <c r="A2194" s="1">
        <v>2192.0</v>
      </c>
      <c r="B2194" s="4" t="s">
        <v>3646</v>
      </c>
      <c r="C2194" s="4" t="str">
        <f>IFERROR(__xludf.DUMMYFUNCTION("GOOGLETRANSLATE(D:D,""auto"",""en"")"),"2020 college graduates had 8.74 million")</f>
        <v>2020 college graduates had 8.74 million</v>
      </c>
      <c r="D2194" s="4" t="s">
        <v>3723</v>
      </c>
      <c r="E2194" s="4">
        <v>7984722.0</v>
      </c>
      <c r="F2194" s="4">
        <v>43.0</v>
      </c>
      <c r="G2194" s="4" t="s">
        <v>3724</v>
      </c>
    </row>
    <row r="2195">
      <c r="A2195" s="1">
        <v>2193.0</v>
      </c>
      <c r="B2195" s="4" t="s">
        <v>3646</v>
      </c>
      <c r="C2195" s="4" t="str">
        <f>IFERROR(__xludf.DUMMYFUNCTION("GOOGLETRANSLATE(D:D,""auto"",""en"")"),"Teacher misunderstanding child crying pneumonia infection")</f>
        <v>Teacher misunderstanding child crying pneumonia infection</v>
      </c>
      <c r="D2195" s="4" t="s">
        <v>3725</v>
      </c>
      <c r="E2195" s="4">
        <v>7977386.0</v>
      </c>
      <c r="F2195" s="4">
        <v>44.0</v>
      </c>
      <c r="G2195" s="4" t="s">
        <v>3726</v>
      </c>
    </row>
    <row r="2196">
      <c r="A2196" s="1">
        <v>2194.0</v>
      </c>
      <c r="B2196" s="4" t="s">
        <v>3646</v>
      </c>
      <c r="C2196" s="4" t="str">
        <f>IFERROR(__xludf.DUMMYFUNCTION("GOOGLETRANSLATE(D:D,""auto"",""en"")"),"Large network roll-class site")</f>
        <v>Large network roll-class site</v>
      </c>
      <c r="D2196" s="4" t="s">
        <v>3727</v>
      </c>
      <c r="E2196" s="4">
        <v>7958065.0</v>
      </c>
      <c r="F2196" s="4">
        <v>45.0</v>
      </c>
      <c r="G2196" s="4" t="s">
        <v>3728</v>
      </c>
    </row>
    <row r="2197">
      <c r="A2197" s="1">
        <v>2195.0</v>
      </c>
      <c r="B2197" s="4" t="s">
        <v>3646</v>
      </c>
      <c r="C2197" s="4" t="str">
        <f>IFERROR(__xludf.DUMMYFUNCTION("GOOGLETRANSLATE(D:D,""auto"",""en"")"),"Women roadside one by one to touch the door handle")</f>
        <v>Women roadside one by one to touch the door handle</v>
      </c>
      <c r="D2197" s="4" t="s">
        <v>3642</v>
      </c>
      <c r="E2197" s="4">
        <v>7829220.0</v>
      </c>
      <c r="F2197" s="4">
        <v>46.0</v>
      </c>
      <c r="G2197" s="4" t="s">
        <v>3643</v>
      </c>
    </row>
    <row r="2198">
      <c r="A2198" s="1">
        <v>2196.0</v>
      </c>
      <c r="B2198" s="4" t="s">
        <v>3646</v>
      </c>
      <c r="C2198" s="4" t="str">
        <f>IFERROR(__xludf.DUMMYFUNCTION("GOOGLETRANSLATE(D:D,""auto"",""en"")"),"Beijing playing cards a sick old man infected family")</f>
        <v>Beijing playing cards a sick old man infected family</v>
      </c>
      <c r="D2198" s="4" t="s">
        <v>3729</v>
      </c>
      <c r="E2198" s="4">
        <v>7796227.0</v>
      </c>
      <c r="F2198" s="4">
        <v>47.0</v>
      </c>
      <c r="G2198" s="4" t="s">
        <v>3730</v>
      </c>
    </row>
    <row r="2199">
      <c r="A2199" s="1">
        <v>2197.0</v>
      </c>
      <c r="B2199" s="4" t="s">
        <v>3646</v>
      </c>
      <c r="C2199" s="4" t="str">
        <f>IFERROR(__xludf.DUMMYFUNCTION("GOOGLETRANSLATE(D:D,""auto"",""en"")"),"Donors sons and daughters")</f>
        <v>Donors sons and daughters</v>
      </c>
      <c r="D2199" s="4" t="s">
        <v>3731</v>
      </c>
      <c r="E2199" s="4">
        <v>7737250.0</v>
      </c>
      <c r="F2199" s="4">
        <v>48.0</v>
      </c>
      <c r="G2199" s="4" t="s">
        <v>3732</v>
      </c>
    </row>
    <row r="2200">
      <c r="A2200" s="1">
        <v>2198.0</v>
      </c>
      <c r="B2200" s="4" t="s">
        <v>3646</v>
      </c>
      <c r="C2200" s="4" t="str">
        <f>IFERROR(__xludf.DUMMYFUNCTION("GOOGLETRANSLATE(D:D,""auto"",""en"")"),"Physical education teacher is how online courses")</f>
        <v>Physical education teacher is how online courses</v>
      </c>
      <c r="D2200" s="4" t="s">
        <v>3574</v>
      </c>
      <c r="E2200" s="4">
        <v>7633223.0</v>
      </c>
      <c r="F2200" s="4">
        <v>49.0</v>
      </c>
      <c r="G2200" s="4" t="s">
        <v>3575</v>
      </c>
    </row>
    <row r="2201">
      <c r="A2201" s="1">
        <v>2199.0</v>
      </c>
      <c r="B2201" s="4" t="s">
        <v>3646</v>
      </c>
      <c r="C2201" s="4" t="str">
        <f>IFERROR(__xludf.DUMMYFUNCTION("GOOGLETRANSLATE(D:D,""auto"",""en"")"),"Jinyintan hospital rehabilitation of patients kindly donated plasma")</f>
        <v>Jinyintan hospital rehabilitation of patients kindly donated plasma</v>
      </c>
      <c r="D2201" s="4" t="s">
        <v>3733</v>
      </c>
      <c r="E2201" s="4">
        <v>7600849.0</v>
      </c>
      <c r="F2201" s="4">
        <v>50.0</v>
      </c>
      <c r="G2201" s="4" t="s">
        <v>3734</v>
      </c>
    </row>
    <row r="2202">
      <c r="A2202" s="1">
        <v>2200.0</v>
      </c>
      <c r="B2202" s="4" t="s">
        <v>3735</v>
      </c>
      <c r="C2202" s="4" t="str">
        <f>IFERROR(__xludf.DUMMYFUNCTION("GOOGLETRANSLATE(D:D,""auto"",""en"")"),"Chinese doctors Xu Ye")</f>
        <v>Chinese doctors Xu Ye</v>
      </c>
      <c r="D2202" s="4" t="s">
        <v>3736</v>
      </c>
      <c r="E2202" s="4">
        <v>1.687753E7</v>
      </c>
      <c r="F2202" s="4">
        <v>1.0</v>
      </c>
      <c r="G2202" s="4" t="s">
        <v>3737</v>
      </c>
    </row>
    <row r="2203">
      <c r="A2203" s="1">
        <v>2201.0</v>
      </c>
      <c r="B2203" s="4" t="s">
        <v>3735</v>
      </c>
      <c r="C2203" s="4" t="str">
        <f>IFERROR(__xludf.DUMMYFUNCTION("GOOGLETRANSLATE(D:D,""auto"",""en"")"),"Xuyesongyin")</f>
        <v>Xuyesongyin</v>
      </c>
      <c r="D2203" s="4" t="s">
        <v>3738</v>
      </c>
      <c r="E2203" s="4">
        <v>1.1019281E7</v>
      </c>
      <c r="F2203" s="4">
        <v>2.0</v>
      </c>
      <c r="G2203" s="4" t="s">
        <v>3739</v>
      </c>
    </row>
    <row r="2204">
      <c r="A2204" s="1">
        <v>2202.0</v>
      </c>
      <c r="B2204" s="4" t="s">
        <v>3735</v>
      </c>
      <c r="C2204" s="4" t="str">
        <f>IFERROR(__xludf.DUMMYFUNCTION("GOOGLETRANSLATE(D:D,""auto"",""en"")"),"Three operators to open the user 14 days visit to inquiries")</f>
        <v>Three operators to open the user 14 days visit to inquiries</v>
      </c>
      <c r="D2204" s="4" t="s">
        <v>3740</v>
      </c>
      <c r="E2204" s="4">
        <v>1.0700143E7</v>
      </c>
      <c r="F2204" s="4">
        <v>3.0</v>
      </c>
      <c r="G2204" s="4" t="s">
        <v>3741</v>
      </c>
    </row>
    <row r="2205">
      <c r="A2205" s="1">
        <v>2203.0</v>
      </c>
      <c r="B2205" s="4" t="s">
        <v>3735</v>
      </c>
      <c r="C2205" s="4" t="str">
        <f>IFERROR(__xludf.DUMMYFUNCTION("GOOGLETRANSLATE(D:D,""auto"",""en"")"),"WHO Director-General Tan Deux response to Western reporters")</f>
        <v>WHO Director-General Tan Deux response to Western reporters</v>
      </c>
      <c r="D2205" s="4" t="s">
        <v>3742</v>
      </c>
      <c r="E2205" s="4">
        <v>1.0433297E7</v>
      </c>
      <c r="F2205" s="4">
        <v>4.0</v>
      </c>
      <c r="G2205" s="4" t="s">
        <v>3743</v>
      </c>
    </row>
    <row r="2206">
      <c r="A2206" s="1">
        <v>2204.0</v>
      </c>
      <c r="B2206" s="4" t="s">
        <v>3735</v>
      </c>
      <c r="C2206" s="4" t="str">
        <f>IFERROR(__xludf.DUMMYFUNCTION("GOOGLETRANSLATE(D:D,""auto"",""en"")"),"Small seven successful Starchaser Bieber")</f>
        <v>Small seven successful Starchaser Bieber</v>
      </c>
      <c r="D2206" s="4" t="s">
        <v>3744</v>
      </c>
      <c r="E2206" s="4">
        <v>1.0017103E7</v>
      </c>
      <c r="F2206" s="4">
        <v>5.0</v>
      </c>
      <c r="G2206" s="4" t="s">
        <v>3745</v>
      </c>
    </row>
    <row r="2207">
      <c r="A2207" s="1">
        <v>2205.0</v>
      </c>
      <c r="B2207" s="4" t="s">
        <v>3735</v>
      </c>
      <c r="C2207" s="4" t="str">
        <f>IFERROR(__xludf.DUMMYFUNCTION("GOOGLETRANSLATE(D:D,""auto"",""en"")"),"Wang Yibo abdominal cover")</f>
        <v>Wang Yibo abdominal cover</v>
      </c>
      <c r="D2207" s="4" t="s">
        <v>3746</v>
      </c>
      <c r="E2207" s="4">
        <v>9921929.0</v>
      </c>
      <c r="F2207" s="4">
        <v>6.0</v>
      </c>
      <c r="G2207" s="4" t="s">
        <v>3747</v>
      </c>
    </row>
    <row r="2208">
      <c r="A2208" s="1">
        <v>2206.0</v>
      </c>
      <c r="B2208" s="4" t="s">
        <v>3735</v>
      </c>
      <c r="C2208" s="4" t="str">
        <f>IFERROR(__xludf.DUMMYFUNCTION("GOOGLETRANSLATE(D:D,""auto"",""en"")"),"Korea Chamber of Commerce Tong Yan Valentine's Day Dog Food")</f>
        <v>Korea Chamber of Commerce Tong Yan Valentine's Day Dog Food</v>
      </c>
      <c r="D2208" s="4" t="s">
        <v>3748</v>
      </c>
      <c r="E2208" s="4">
        <v>9878028.0</v>
      </c>
      <c r="F2208" s="4">
        <v>7.0</v>
      </c>
      <c r="G2208" s="4" t="s">
        <v>3749</v>
      </c>
    </row>
    <row r="2209">
      <c r="A2209" s="1">
        <v>2207.0</v>
      </c>
      <c r="B2209" s="4" t="s">
        <v>3735</v>
      </c>
      <c r="C2209" s="4" t="str">
        <f>IFERROR(__xludf.DUMMYFUNCTION("GOOGLETRANSLATE(D:D,""auto"",""en"")"),"The national total of 63,851 cases of pneumonia diagnosed with the new crown")</f>
        <v>The national total of 63,851 cases of pneumonia diagnosed with the new crown</v>
      </c>
      <c r="D2209" s="4" t="s">
        <v>3750</v>
      </c>
      <c r="E2209" s="4">
        <v>9791112.0</v>
      </c>
      <c r="F2209" s="4">
        <v>8.0</v>
      </c>
      <c r="G2209" s="4" t="s">
        <v>3751</v>
      </c>
    </row>
    <row r="2210">
      <c r="A2210" s="1">
        <v>2208.0</v>
      </c>
      <c r="B2210" s="4" t="s">
        <v>3735</v>
      </c>
      <c r="C2210" s="4" t="str">
        <f>IFERROR(__xludf.DUMMYFUNCTION("GOOGLETRANSLATE(D:D,""auto"",""en"")"),"National medical staff diagnosed pneumonia in 1716 cases of new crown")</f>
        <v>National medical staff diagnosed pneumonia in 1716 cases of new crown</v>
      </c>
      <c r="D2210" s="4" t="s">
        <v>3752</v>
      </c>
      <c r="E2210" s="4">
        <v>9767423.0</v>
      </c>
      <c r="F2210" s="4">
        <v>9.0</v>
      </c>
      <c r="G2210" s="4" t="s">
        <v>3753</v>
      </c>
    </row>
    <row r="2211">
      <c r="A2211" s="1">
        <v>2209.0</v>
      </c>
      <c r="B2211" s="4" t="s">
        <v>3735</v>
      </c>
      <c r="C2211" s="4" t="str">
        <f>IFERROR(__xludf.DUMMYFUNCTION("GOOGLETRANSLATE(D:D,""auto"",""en"")"),"Hubei new confirmed cases 4823 cases")</f>
        <v>Hubei new confirmed cases 4823 cases</v>
      </c>
      <c r="D2211" s="4" t="s">
        <v>3754</v>
      </c>
      <c r="E2211" s="4">
        <v>9652309.0</v>
      </c>
      <c r="F2211" s="4">
        <v>10.0</v>
      </c>
      <c r="G2211" s="4" t="s">
        <v>3755</v>
      </c>
    </row>
    <row r="2212">
      <c r="A2212" s="1">
        <v>2210.0</v>
      </c>
      <c r="B2212" s="4" t="s">
        <v>3735</v>
      </c>
      <c r="C2212" s="4" t="str">
        <f>IFERROR(__xludf.DUMMYFUNCTION("GOOGLETRANSLATE(D:D,""auto"",""en"")"),"Sun Wenbin second instance upheld the death sentence case")</f>
        <v>Sun Wenbin second instance upheld the death sentence case</v>
      </c>
      <c r="D2212" s="4" t="s">
        <v>3756</v>
      </c>
      <c r="E2212" s="4">
        <v>9603185.0</v>
      </c>
      <c r="F2212" s="4">
        <v>11.0</v>
      </c>
      <c r="G2212" s="4" t="s">
        <v>3757</v>
      </c>
    </row>
    <row r="2213">
      <c r="A2213" s="1">
        <v>2211.0</v>
      </c>
      <c r="B2213" s="4" t="s">
        <v>3735</v>
      </c>
      <c r="C2213" s="4" t="str">
        <f>IFERROR(__xludf.DUMMYFUNCTION("GOOGLETRANSLATE(D:D,""auto"",""en"")"),"Russia's new crown of Chinese nationality pneumonia patients discharged from hospital")</f>
        <v>Russia's new crown of Chinese nationality pneumonia patients discharged from hospital</v>
      </c>
      <c r="D2213" s="4" t="s">
        <v>3758</v>
      </c>
      <c r="E2213" s="4">
        <v>9574628.0</v>
      </c>
      <c r="F2213" s="4">
        <v>12.0</v>
      </c>
      <c r="G2213" s="4" t="s">
        <v>3759</v>
      </c>
    </row>
    <row r="2214">
      <c r="A2214" s="1">
        <v>2212.0</v>
      </c>
      <c r="B2214" s="4" t="s">
        <v>3735</v>
      </c>
      <c r="C2214" s="4" t="str">
        <f>IFERROR(__xludf.DUMMYFUNCTION("GOOGLETRANSLATE(D:D,""auto"",""en"")"),"Lee now teach you how to save masks science")</f>
        <v>Lee now teach you how to save masks science</v>
      </c>
      <c r="D2214" s="4" t="s">
        <v>3760</v>
      </c>
      <c r="E2214" s="4">
        <v>9481154.0</v>
      </c>
      <c r="F2214" s="4">
        <v>13.0</v>
      </c>
      <c r="G2214" s="4" t="s">
        <v>3761</v>
      </c>
    </row>
    <row r="2215">
      <c r="A2215" s="1">
        <v>2213.0</v>
      </c>
      <c r="B2215" s="4" t="s">
        <v>3735</v>
      </c>
      <c r="C2215" s="4" t="str">
        <f>IFERROR(__xludf.DUMMYFUNCTION("GOOGLETRANSLATE(D:D,""auto"",""en"")"),"Valentine's Day")</f>
        <v>Valentine's Day</v>
      </c>
      <c r="D2215" s="4" t="s">
        <v>3762</v>
      </c>
      <c r="E2215" s="4">
        <v>9476752.0</v>
      </c>
      <c r="F2215" s="4">
        <v>14.0</v>
      </c>
      <c r="G2215" s="4" t="s">
        <v>3763</v>
      </c>
    </row>
    <row r="2216">
      <c r="A2216" s="1">
        <v>2214.0</v>
      </c>
      <c r="B2216" s="4" t="s">
        <v>3735</v>
      </c>
      <c r="C2216" s="4" t="str">
        <f>IFERROR(__xludf.DUMMYFUNCTION("GOOGLETRANSLATE(D:D,""auto"",""en"")"),"Shanxi new crown no new confirmed cases of pneumonia")</f>
        <v>Shanxi new crown no new confirmed cases of pneumonia</v>
      </c>
      <c r="D2216" s="4" t="s">
        <v>3764</v>
      </c>
      <c r="E2216" s="4">
        <v>9194618.0</v>
      </c>
      <c r="F2216" s="4">
        <v>15.0</v>
      </c>
      <c r="G2216" s="4" t="s">
        <v>3765</v>
      </c>
    </row>
    <row r="2217">
      <c r="A2217" s="1">
        <v>2215.0</v>
      </c>
      <c r="B2217" s="4" t="s">
        <v>3735</v>
      </c>
      <c r="C2217" s="4" t="str">
        <f>IFERROR(__xludf.DUMMYFUNCTION("GOOGLETRANSLATE(D:D,""auto"",""en"")"),"On day 12 the city ban on vehicle line")</f>
        <v>On day 12 the city ban on vehicle line</v>
      </c>
      <c r="D2217" s="4" t="s">
        <v>3766</v>
      </c>
      <c r="E2217" s="4">
        <v>9173623.0</v>
      </c>
      <c r="F2217" s="4">
        <v>16.0</v>
      </c>
      <c r="G2217" s="4" t="s">
        <v>3767</v>
      </c>
    </row>
    <row r="2218">
      <c r="A2218" s="1">
        <v>2216.0</v>
      </c>
      <c r="B2218" s="4" t="s">
        <v>3735</v>
      </c>
      <c r="C2218" s="4" t="str">
        <f>IFERROR(__xludf.DUMMYFUNCTION("GOOGLETRANSLATE(D:D,""auto"",""en"")"),"Sound healing patients willing to donate plasma epidemic")</f>
        <v>Sound healing patients willing to donate plasma epidemic</v>
      </c>
      <c r="D2218" s="4" t="s">
        <v>3768</v>
      </c>
      <c r="E2218" s="4">
        <v>9070037.0</v>
      </c>
      <c r="F2218" s="4">
        <v>17.0</v>
      </c>
      <c r="G2218" s="4" t="s">
        <v>3769</v>
      </c>
    </row>
    <row r="2219">
      <c r="A2219" s="1">
        <v>2217.0</v>
      </c>
      <c r="B2219" s="4" t="s">
        <v>3735</v>
      </c>
      <c r="C2219" s="4" t="str">
        <f>IFERROR(__xludf.DUMMYFUNCTION("GOOGLETRANSLATE(D:D,""auto"",""en"")"),"High quality accompany baby")</f>
        <v>High quality accompany baby</v>
      </c>
      <c r="D2219" s="4" t="s">
        <v>3667</v>
      </c>
      <c r="E2219" s="4">
        <v>8956252.0</v>
      </c>
      <c r="F2219" s="4">
        <v>18.0</v>
      </c>
      <c r="G2219" s="4" t="s">
        <v>3668</v>
      </c>
    </row>
    <row r="2220">
      <c r="A2220" s="1">
        <v>2218.0</v>
      </c>
      <c r="B2220" s="4" t="s">
        <v>3735</v>
      </c>
      <c r="C2220" s="4" t="str">
        <f>IFERROR(__xludf.DUMMYFUNCTION("GOOGLETRANSLATE(D:D,""auto"",""en"")"),"Xiaozhan practice room version of Magic")</f>
        <v>Xiaozhan practice room version of Magic</v>
      </c>
      <c r="D2220" s="4" t="s">
        <v>3770</v>
      </c>
      <c r="E2220" s="4">
        <v>8947343.0</v>
      </c>
      <c r="F2220" s="4">
        <v>19.0</v>
      </c>
      <c r="G2220" s="4" t="s">
        <v>3771</v>
      </c>
    </row>
    <row r="2221">
      <c r="A2221" s="1">
        <v>2219.0</v>
      </c>
      <c r="B2221" s="4" t="s">
        <v>3735</v>
      </c>
      <c r="C2221" s="4" t="str">
        <f>IFERROR(__xludf.DUMMYFUNCTION("GOOGLETRANSLATE(D:D,""auto"",""en"")"),"Wang Yibo interview COSMO")</f>
        <v>Wang Yibo interview COSMO</v>
      </c>
      <c r="D2221" s="4" t="s">
        <v>3772</v>
      </c>
      <c r="E2221" s="4">
        <v>8891516.0</v>
      </c>
      <c r="F2221" s="4">
        <v>20.0</v>
      </c>
      <c r="G2221" s="4" t="s">
        <v>3773</v>
      </c>
    </row>
    <row r="2222">
      <c r="A2222" s="1">
        <v>2220.0</v>
      </c>
      <c r="B2222" s="4" t="s">
        <v>3735</v>
      </c>
      <c r="C2222" s="4" t="str">
        <f>IFERROR(__xludf.DUMMYFUNCTION("GOOGLETRANSLATE(D:D,""auto"",""en"")"),"Policewoman on duty overnight central collapsed road")</f>
        <v>Policewoman on duty overnight central collapsed road</v>
      </c>
      <c r="D2222" s="4" t="s">
        <v>3774</v>
      </c>
      <c r="E2222" s="4">
        <v>8699875.0</v>
      </c>
      <c r="F2222" s="4">
        <v>21.0</v>
      </c>
      <c r="G2222" s="4" t="s">
        <v>3775</v>
      </c>
    </row>
    <row r="2223">
      <c r="A2223" s="1">
        <v>2221.0</v>
      </c>
      <c r="B2223" s="4" t="s">
        <v>3735</v>
      </c>
      <c r="C2223" s="4" t="str">
        <f>IFERROR(__xludf.DUMMYFUNCTION("GOOGLETRANSLATE(D:D,""auto"",""en"")"),"Today I'm soldier")</f>
        <v>Today I'm soldier</v>
      </c>
      <c r="D2223" s="4" t="s">
        <v>3776</v>
      </c>
      <c r="E2223" s="4">
        <v>8690175.0</v>
      </c>
      <c r="F2223" s="4">
        <v>22.0</v>
      </c>
      <c r="G2223" s="4" t="s">
        <v>3777</v>
      </c>
    </row>
    <row r="2224">
      <c r="A2224" s="1">
        <v>2222.0</v>
      </c>
      <c r="B2224" s="4" t="s">
        <v>3735</v>
      </c>
      <c r="C2224" s="4" t="str">
        <f>IFERROR(__xludf.DUMMYFUNCTION("GOOGLETRANSLATE(D:D,""auto"",""en"")"),"Overseas Chinese netizens thumbs up fight against SARS")</f>
        <v>Overseas Chinese netizens thumbs up fight against SARS</v>
      </c>
      <c r="D2224" s="4" t="s">
        <v>3778</v>
      </c>
      <c r="E2224" s="4">
        <v>8687540.0</v>
      </c>
      <c r="F2224" s="4">
        <v>23.0</v>
      </c>
      <c r="G2224" s="4" t="s">
        <v>3779</v>
      </c>
    </row>
    <row r="2225">
      <c r="A2225" s="1">
        <v>2223.0</v>
      </c>
      <c r="B2225" s="4" t="s">
        <v>3735</v>
      </c>
      <c r="C2225" s="4" t="str">
        <f>IFERROR(__xludf.DUMMYFUNCTION("GOOGLETRANSLATE(D:D,""auto"",""en"")"),"Bryant wife announced Mamba fund was renamed")</f>
        <v>Bryant wife announced Mamba fund was renamed</v>
      </c>
      <c r="D2225" s="4" t="s">
        <v>3780</v>
      </c>
      <c r="E2225" s="4">
        <v>8479149.0</v>
      </c>
      <c r="F2225" s="4">
        <v>24.0</v>
      </c>
      <c r="G2225" s="4" t="s">
        <v>3781</v>
      </c>
    </row>
    <row r="2226">
      <c r="A2226" s="1">
        <v>2224.0</v>
      </c>
      <c r="B2226" s="4" t="s">
        <v>3735</v>
      </c>
      <c r="C2226" s="4" t="str">
        <f>IFERROR(__xludf.DUMMYFUNCTION("GOOGLETRANSLATE(D:D,""auto"",""en"")"),"The new crown pneumonia ill treatment of plasma 11")</f>
        <v>The new crown pneumonia ill treatment of plasma 11</v>
      </c>
      <c r="D2226" s="4" t="s">
        <v>3715</v>
      </c>
      <c r="E2226" s="4">
        <v>8473908.0</v>
      </c>
      <c r="F2226" s="4">
        <v>25.0</v>
      </c>
      <c r="G2226" s="4" t="s">
        <v>3716</v>
      </c>
    </row>
    <row r="2227">
      <c r="A2227" s="1">
        <v>2225.0</v>
      </c>
      <c r="B2227" s="4" t="s">
        <v>3735</v>
      </c>
      <c r="C2227" s="4" t="str">
        <f>IFERROR(__xludf.DUMMYFUNCTION("GOOGLETRANSLATE(D:D,""auto"",""en"")"),"Bieber contributions to China")</f>
        <v>Bieber contributions to China</v>
      </c>
      <c r="D2227" s="4" t="s">
        <v>3782</v>
      </c>
      <c r="E2227" s="4">
        <v>8465918.0</v>
      </c>
      <c r="F2227" s="4">
        <v>26.0</v>
      </c>
      <c r="G2227" s="4" t="s">
        <v>3783</v>
      </c>
    </row>
    <row r="2228">
      <c r="A2228" s="1">
        <v>2226.0</v>
      </c>
      <c r="B2228" s="4" t="s">
        <v>3735</v>
      </c>
      <c r="C2228" s="4" t="str">
        <f>IFERROR(__xludf.DUMMYFUNCTION("GOOGLETRANSLATE(D:D,""auto"",""en"")"),"Propaganda package a year housework husband of Valentine's Day")</f>
        <v>Propaganda package a year housework husband of Valentine's Day</v>
      </c>
      <c r="D2228" s="4" t="s">
        <v>3784</v>
      </c>
      <c r="E2228" s="4">
        <v>8447010.0</v>
      </c>
      <c r="F2228" s="4">
        <v>27.0</v>
      </c>
      <c r="G2228" s="4" t="s">
        <v>3785</v>
      </c>
    </row>
    <row r="2229">
      <c r="A2229" s="1">
        <v>2227.0</v>
      </c>
      <c r="B2229" s="4" t="s">
        <v>3735</v>
      </c>
      <c r="C2229" s="4" t="str">
        <f>IFERROR(__xludf.DUMMYFUNCTION("GOOGLETRANSLATE(D:D,""auto"",""en"")"),"Husband and wife beaten medical personnel were sentenced")</f>
        <v>Husband and wife beaten medical personnel were sentenced</v>
      </c>
      <c r="D2229" s="4" t="s">
        <v>3786</v>
      </c>
      <c r="E2229" s="4">
        <v>8301226.0</v>
      </c>
      <c r="F2229" s="4">
        <v>28.0</v>
      </c>
      <c r="G2229" s="4" t="s">
        <v>3787</v>
      </c>
    </row>
    <row r="2230">
      <c r="A2230" s="1">
        <v>2228.0</v>
      </c>
      <c r="B2230" s="4" t="s">
        <v>3735</v>
      </c>
      <c r="C2230" s="4" t="str">
        <f>IFERROR(__xludf.DUMMYFUNCTION("GOOGLETRANSLATE(D:D,""auto"",""en"")"),"Huang Zhibo")</f>
        <v>Huang Zhibo</v>
      </c>
      <c r="D2230" s="4" t="s">
        <v>3788</v>
      </c>
      <c r="E2230" s="4">
        <v>8299924.0</v>
      </c>
      <c r="F2230" s="4">
        <v>29.0</v>
      </c>
      <c r="G2230" s="4" t="s">
        <v>3789</v>
      </c>
    </row>
    <row r="2231">
      <c r="A2231" s="1">
        <v>2229.0</v>
      </c>
      <c r="B2231" s="4" t="s">
        <v>3735</v>
      </c>
      <c r="C2231" s="4" t="str">
        <f>IFERROR(__xludf.DUMMYFUNCTION("GOOGLETRANSLATE(D:D,""auto"",""en"")"),"The first time I saw a cat in plaster")</f>
        <v>The first time I saw a cat in plaster</v>
      </c>
      <c r="D2231" s="4" t="s">
        <v>3790</v>
      </c>
      <c r="E2231" s="4">
        <v>8282794.0</v>
      </c>
      <c r="F2231" s="4">
        <v>30.0</v>
      </c>
      <c r="G2231" s="4" t="s">
        <v>3791</v>
      </c>
    </row>
    <row r="2232">
      <c r="A2232" s="1">
        <v>2230.0</v>
      </c>
      <c r="B2232" s="4" t="s">
        <v>3735</v>
      </c>
      <c r="C2232" s="4" t="str">
        <f>IFERROR(__xludf.DUMMYFUNCTION("GOOGLETRANSLATE(D:D,""auto"",""en"")"),"Henan after March 1 opening")</f>
        <v>Henan after March 1 opening</v>
      </c>
      <c r="D2232" s="4" t="s">
        <v>3792</v>
      </c>
      <c r="E2232" s="4">
        <v>8263459.0</v>
      </c>
      <c r="F2232" s="4">
        <v>31.0</v>
      </c>
      <c r="G2232" s="4" t="s">
        <v>3793</v>
      </c>
    </row>
    <row r="2233">
      <c r="A2233" s="1">
        <v>2231.0</v>
      </c>
      <c r="B2233" s="4" t="s">
        <v>3735</v>
      </c>
      <c r="C2233" s="4" t="str">
        <f>IFERROR(__xludf.DUMMYFUNCTION("GOOGLETRANSLATE(D:D,""auto"",""en"")"),"Lou Yi Xiao Fei Hu farewell")</f>
        <v>Lou Yi Xiao Fei Hu farewell</v>
      </c>
      <c r="D2233" s="4" t="s">
        <v>3794</v>
      </c>
      <c r="E2233" s="4">
        <v>8139850.0</v>
      </c>
      <c r="F2233" s="4">
        <v>32.0</v>
      </c>
      <c r="G2233" s="4" t="s">
        <v>3795</v>
      </c>
    </row>
    <row r="2234">
      <c r="A2234" s="1">
        <v>2232.0</v>
      </c>
      <c r="B2234" s="4" t="s">
        <v>3735</v>
      </c>
      <c r="C2234" s="4" t="str">
        <f>IFERROR(__xludf.DUMMYFUNCTION("GOOGLETRANSLATE(D:D,""auto"",""en"")"),"Garnett Celtics will retire jersey No. 5")</f>
        <v>Garnett Celtics will retire jersey No. 5</v>
      </c>
      <c r="D2234" s="4" t="s">
        <v>3796</v>
      </c>
      <c r="E2234" s="4">
        <v>8139530.0</v>
      </c>
      <c r="F2234" s="4">
        <v>33.0</v>
      </c>
      <c r="G2234" s="4" t="s">
        <v>3797</v>
      </c>
    </row>
    <row r="2235">
      <c r="A2235" s="1">
        <v>2233.0</v>
      </c>
      <c r="B2235" s="4" t="s">
        <v>3735</v>
      </c>
      <c r="C2235" s="4" t="str">
        <f>IFERROR(__xludf.DUMMYFUNCTION("GOOGLETRANSLATE(D:D,""auto"",""en"")"),"Live Starchaser Huachen Yu Li Jiaqi")</f>
        <v>Live Starchaser Huachen Yu Li Jiaqi</v>
      </c>
      <c r="D2235" s="4" t="s">
        <v>3798</v>
      </c>
      <c r="E2235" s="4">
        <v>8127905.0</v>
      </c>
      <c r="F2235" s="4">
        <v>34.0</v>
      </c>
      <c r="G2235" s="4" t="s">
        <v>3799</v>
      </c>
    </row>
    <row r="2236">
      <c r="A2236" s="1">
        <v>2234.0</v>
      </c>
      <c r="B2236" s="4" t="s">
        <v>3735</v>
      </c>
      <c r="C2236" s="4" t="str">
        <f>IFERROR(__xludf.DUMMYFUNCTION("GOOGLETRANSLATE(D:D,""auto"",""en"")"),"Bryant during his lifetime SMS")</f>
        <v>Bryant during his lifetime SMS</v>
      </c>
      <c r="D2236" s="4" t="s">
        <v>3677</v>
      </c>
      <c r="E2236" s="4">
        <v>8126653.0</v>
      </c>
      <c r="F2236" s="4">
        <v>35.0</v>
      </c>
      <c r="G2236" s="4" t="s">
        <v>3678</v>
      </c>
    </row>
    <row r="2237">
      <c r="A2237" s="1">
        <v>2235.0</v>
      </c>
      <c r="B2237" s="4" t="s">
        <v>3735</v>
      </c>
      <c r="C2237" s="4" t="str">
        <f>IFERROR(__xludf.DUMMYFUNCTION("GOOGLETRANSLATE(D:D,""auto"",""en"")"),"There may be other ways to spread the virus appears")</f>
        <v>There may be other ways to spread the virus appears</v>
      </c>
      <c r="D2237" s="4" t="s">
        <v>3800</v>
      </c>
      <c r="E2237" s="4">
        <v>8109531.0</v>
      </c>
      <c r="F2237" s="4">
        <v>36.0</v>
      </c>
      <c r="G2237" s="4" t="s">
        <v>3801</v>
      </c>
    </row>
    <row r="2238">
      <c r="A2238" s="1">
        <v>2236.0</v>
      </c>
      <c r="B2238" s="4" t="s">
        <v>3735</v>
      </c>
      <c r="C2238" s="4" t="str">
        <f>IFERROR(__xludf.DUMMYFUNCTION("GOOGLETRANSLATE(D:D,""auto"",""en"")"),"Huanggang fully upgraded control measures")</f>
        <v>Huanggang fully upgraded control measures</v>
      </c>
      <c r="D2238" s="4" t="s">
        <v>3802</v>
      </c>
      <c r="E2238" s="4">
        <v>8107922.0</v>
      </c>
      <c r="F2238" s="4">
        <v>37.0</v>
      </c>
      <c r="G2238" s="4" t="s">
        <v>3803</v>
      </c>
    </row>
    <row r="2239">
      <c r="A2239" s="1">
        <v>2237.0</v>
      </c>
      <c r="B2239" s="4" t="s">
        <v>3735</v>
      </c>
      <c r="C2239" s="4" t="str">
        <f>IFERROR(__xludf.DUMMYFUNCTION("GOOGLETRANSLATE(D:D,""auto"",""en"")"),"Zion hit a career-high")</f>
        <v>Zion hit a career-high</v>
      </c>
      <c r="D2239" s="4" t="s">
        <v>3804</v>
      </c>
      <c r="E2239" s="4">
        <v>8068935.0</v>
      </c>
      <c r="F2239" s="4">
        <v>38.0</v>
      </c>
      <c r="G2239" s="4" t="s">
        <v>3805</v>
      </c>
    </row>
    <row r="2240">
      <c r="A2240" s="1">
        <v>2238.0</v>
      </c>
      <c r="B2240" s="4" t="s">
        <v>3735</v>
      </c>
      <c r="C2240" s="4" t="str">
        <f>IFERROR(__xludf.DUMMYFUNCTION("GOOGLETRANSLATE(D:D,""auto"",""en"")"),"There is no risk of breathing valve masks")</f>
        <v>There is no risk of breathing valve masks</v>
      </c>
      <c r="D2240" s="4" t="s">
        <v>3806</v>
      </c>
      <c r="E2240" s="4">
        <v>8067748.0</v>
      </c>
      <c r="F2240" s="4">
        <v>39.0</v>
      </c>
      <c r="G2240" s="4" t="s">
        <v>3807</v>
      </c>
    </row>
    <row r="2241">
      <c r="A2241" s="1">
        <v>2239.0</v>
      </c>
      <c r="B2241" s="4" t="s">
        <v>3735</v>
      </c>
      <c r="C2241" s="4" t="str">
        <f>IFERROR(__xludf.DUMMYFUNCTION("GOOGLETRANSLATE(D:D,""auto"",""en"")"),"Sichuan new cases of 12 cases")</f>
        <v>Sichuan new cases of 12 cases</v>
      </c>
      <c r="D2241" s="4" t="s">
        <v>3808</v>
      </c>
      <c r="E2241" s="4">
        <v>7973350.0</v>
      </c>
      <c r="F2241" s="4">
        <v>40.0</v>
      </c>
      <c r="G2241" s="4" t="s">
        <v>3809</v>
      </c>
    </row>
    <row r="2242">
      <c r="A2242" s="1">
        <v>2240.0</v>
      </c>
      <c r="B2242" s="4" t="s">
        <v>3735</v>
      </c>
      <c r="C2242" s="4" t="str">
        <f>IFERROR(__xludf.DUMMYFUNCTION("GOOGLETRANSLATE(D:D,""auto"",""en"")"),"Love Contagion period")</f>
        <v>Love Contagion period</v>
      </c>
      <c r="D2242" s="4" t="s">
        <v>3810</v>
      </c>
      <c r="E2242" s="4">
        <v>7892759.0</v>
      </c>
      <c r="F2242" s="4">
        <v>41.0</v>
      </c>
      <c r="G2242" s="4" t="s">
        <v>3811</v>
      </c>
    </row>
    <row r="2243">
      <c r="A2243" s="1">
        <v>2241.0</v>
      </c>
      <c r="B2243" s="4" t="s">
        <v>3735</v>
      </c>
      <c r="C2243" s="4" t="str">
        <f>IFERROR(__xludf.DUMMYFUNCTION("GOOGLETRANSLATE(D:D,""auto"",""en"")"),"Downtown Washington shooting incident")</f>
        <v>Downtown Washington shooting incident</v>
      </c>
      <c r="D2243" s="4" t="s">
        <v>3812</v>
      </c>
      <c r="E2243" s="4">
        <v>7889142.0</v>
      </c>
      <c r="F2243" s="4">
        <v>42.0</v>
      </c>
      <c r="G2243" s="4" t="s">
        <v>3813</v>
      </c>
    </row>
    <row r="2244">
      <c r="A2244" s="1">
        <v>2242.0</v>
      </c>
      <c r="B2244" s="4" t="s">
        <v>3735</v>
      </c>
      <c r="C2244" s="4" t="str">
        <f>IFERROR(__xludf.DUMMYFUNCTION("GOOGLETRANSLATE(D:D,""auto"",""en"")"),"Yuan Longping donated 200 tons of rice arrived in Wuhan")</f>
        <v>Yuan Longping donated 200 tons of rice arrived in Wuhan</v>
      </c>
      <c r="D2244" s="4" t="s">
        <v>3814</v>
      </c>
      <c r="E2244" s="4">
        <v>7882263.0</v>
      </c>
      <c r="F2244" s="4">
        <v>43.0</v>
      </c>
      <c r="G2244" s="4" t="s">
        <v>3815</v>
      </c>
    </row>
    <row r="2245">
      <c r="A2245" s="1">
        <v>2243.0</v>
      </c>
      <c r="B2245" s="4" t="s">
        <v>3735</v>
      </c>
      <c r="C2245" s="4" t="str">
        <f>IFERROR(__xludf.DUMMYFUNCTION("GOOGLETRANSLATE(D:D,""auto"",""en"")"),"When released from quarantine can be")</f>
        <v>When released from quarantine can be</v>
      </c>
      <c r="D2245" s="4" t="s">
        <v>3816</v>
      </c>
      <c r="E2245" s="4">
        <v>7880164.0</v>
      </c>
      <c r="F2245" s="4">
        <v>44.0</v>
      </c>
      <c r="G2245" s="4" t="s">
        <v>3817</v>
      </c>
    </row>
    <row r="2246">
      <c r="A2246" s="1">
        <v>2244.0</v>
      </c>
      <c r="B2246" s="4" t="s">
        <v>3735</v>
      </c>
      <c r="C2246" s="4" t="str">
        <f>IFERROR(__xludf.DUMMYFUNCTION("GOOGLETRANSLATE(D:D,""auto"",""en"")"),"Jinyintan hospital rehabilitation of patients kindly donated plasma")</f>
        <v>Jinyintan hospital rehabilitation of patients kindly donated plasma</v>
      </c>
      <c r="D2246" s="4" t="s">
        <v>3733</v>
      </c>
      <c r="E2246" s="4">
        <v>7784334.0</v>
      </c>
      <c r="F2246" s="4">
        <v>45.0</v>
      </c>
      <c r="G2246" s="4" t="s">
        <v>3734</v>
      </c>
    </row>
    <row r="2247">
      <c r="A2247" s="1">
        <v>2245.0</v>
      </c>
      <c r="B2247" s="4" t="s">
        <v>3735</v>
      </c>
      <c r="C2247" s="4" t="str">
        <f>IFERROR(__xludf.DUMMYFUNCTION("GOOGLETRANSLATE(D:D,""auto"",""en"")"),"Russian thousands of people shouting in Chinese Chinese refueling")</f>
        <v>Russian thousands of people shouting in Chinese Chinese refueling</v>
      </c>
      <c r="D2247" s="4" t="s">
        <v>3818</v>
      </c>
      <c r="E2247" s="4">
        <v>7728327.0</v>
      </c>
      <c r="F2247" s="4">
        <v>46.0</v>
      </c>
      <c r="G2247" s="4" t="s">
        <v>3819</v>
      </c>
    </row>
    <row r="2248">
      <c r="A2248" s="1">
        <v>2246.0</v>
      </c>
      <c r="B2248" s="4" t="s">
        <v>3735</v>
      </c>
      <c r="C2248" s="4" t="str">
        <f>IFERROR(__xludf.DUMMYFUNCTION("GOOGLETRANSLATE(D:D,""auto"",""en"")"),"The national total of 59,804 cases of pneumonia diagnosed with the new crown")</f>
        <v>The national total of 59,804 cases of pneumonia diagnosed with the new crown</v>
      </c>
      <c r="D2248" s="4" t="s">
        <v>3679</v>
      </c>
      <c r="E2248" s="4">
        <v>7723678.0</v>
      </c>
      <c r="F2248" s="4">
        <v>47.0</v>
      </c>
      <c r="G2248" s="4" t="s">
        <v>3680</v>
      </c>
    </row>
    <row r="2249">
      <c r="A2249" s="1">
        <v>2247.0</v>
      </c>
      <c r="B2249" s="4" t="s">
        <v>3735</v>
      </c>
      <c r="C2249" s="4" t="str">
        <f>IFERROR(__xludf.DUMMYFUNCTION("GOOGLETRANSLATE(D:D,""auto"",""en"")"),"Jiangsu new confirmed cases in 23 cases")</f>
        <v>Jiangsu new confirmed cases in 23 cases</v>
      </c>
      <c r="D2249" s="4" t="s">
        <v>3820</v>
      </c>
      <c r="E2249" s="4">
        <v>7699158.0</v>
      </c>
      <c r="F2249" s="4">
        <v>48.0</v>
      </c>
      <c r="G2249" s="4" t="s">
        <v>3821</v>
      </c>
    </row>
    <row r="2250">
      <c r="A2250" s="1">
        <v>2248.0</v>
      </c>
      <c r="B2250" s="4" t="s">
        <v>3735</v>
      </c>
      <c r="C2250" s="4" t="str">
        <f>IFERROR(__xludf.DUMMYFUNCTION("GOOGLETRANSLATE(D:D,""auto"",""en"")"),"A seven relatives do not care about all diagnosed infections")</f>
        <v>A seven relatives do not care about all diagnosed infections</v>
      </c>
      <c r="D2250" s="4" t="s">
        <v>3822</v>
      </c>
      <c r="E2250" s="4">
        <v>7695574.0</v>
      </c>
      <c r="F2250" s="4">
        <v>49.0</v>
      </c>
      <c r="G2250" s="4" t="s">
        <v>3823</v>
      </c>
    </row>
    <row r="2251">
      <c r="A2251" s="1">
        <v>2249.0</v>
      </c>
      <c r="B2251" s="4" t="s">
        <v>3735</v>
      </c>
      <c r="C2251" s="4" t="str">
        <f>IFERROR(__xludf.DUMMYFUNCTION("GOOGLETRANSLATE(D:D,""auto"",""en"")"),"Hunan launched the emergency response to meteorological disasters")</f>
        <v>Hunan launched the emergency response to meteorological disasters</v>
      </c>
      <c r="D2251" s="4" t="s">
        <v>3824</v>
      </c>
      <c r="E2251" s="4">
        <v>7672072.0</v>
      </c>
      <c r="F2251" s="4">
        <v>50.0</v>
      </c>
      <c r="G2251" s="4" t="s">
        <v>3825</v>
      </c>
    </row>
    <row r="2252">
      <c r="A2252" s="1">
        <v>2250.0</v>
      </c>
      <c r="B2252" s="4" t="s">
        <v>3826</v>
      </c>
      <c r="C2252" s="4" t="str">
        <f>IFERROR(__xludf.DUMMYFUNCTION("GOOGLETRANSLATE(D:D,""auto"",""en"")"),"National new confirmed cases 2641 cases")</f>
        <v>National new confirmed cases 2641 cases</v>
      </c>
      <c r="D2252" s="4" t="s">
        <v>3827</v>
      </c>
      <c r="E2252" s="4">
        <v>1.1499252E7</v>
      </c>
      <c r="F2252" s="4">
        <v>1.0</v>
      </c>
      <c r="G2252" s="4" t="s">
        <v>3828</v>
      </c>
    </row>
    <row r="2253">
      <c r="A2253" s="1">
        <v>2251.0</v>
      </c>
      <c r="B2253" s="4" t="s">
        <v>3826</v>
      </c>
      <c r="C2253" s="4" t="str">
        <f>IFERROR(__xludf.DUMMYFUNCTION("GOOGLETRANSLATE(D:D,""auto"",""en"")"),"Mercedes-Benz uniformed man forced to pass through the follow-up event")</f>
        <v>Mercedes-Benz uniformed man forced to pass through the follow-up event</v>
      </c>
      <c r="D2253" s="4" t="s">
        <v>3829</v>
      </c>
      <c r="E2253" s="4">
        <v>1.1322223E7</v>
      </c>
      <c r="F2253" s="4">
        <v>2.0</v>
      </c>
      <c r="G2253" s="4" t="s">
        <v>3830</v>
      </c>
    </row>
    <row r="2254">
      <c r="A2254" s="1">
        <v>2252.0</v>
      </c>
      <c r="B2254" s="4" t="s">
        <v>3826</v>
      </c>
      <c r="C2254" s="4" t="str">
        <f>IFERROR(__xludf.DUMMYFUNCTION("GOOGLETRANSLATE(D:D,""auto"",""en"")"),"Zhangjiajie CDC chief to hide the epidemic was dismissed")</f>
        <v>Zhangjiajie CDC chief to hide the epidemic was dismissed</v>
      </c>
      <c r="D2254" s="4" t="s">
        <v>3831</v>
      </c>
      <c r="E2254" s="4">
        <v>1.120693E7</v>
      </c>
      <c r="F2254" s="4">
        <v>3.0</v>
      </c>
      <c r="G2254" s="4" t="s">
        <v>3832</v>
      </c>
    </row>
    <row r="2255">
      <c r="A2255" s="1">
        <v>2253.0</v>
      </c>
      <c r="B2255" s="4" t="s">
        <v>3826</v>
      </c>
      <c r="C2255" s="4" t="str">
        <f>IFERROR(__xludf.DUMMYFUNCTION("GOOGLETRANSLATE(D:D,""auto"",""en"")"),"China does not appear massive inflation")</f>
        <v>China does not appear massive inflation</v>
      </c>
      <c r="D2255" s="4" t="s">
        <v>3833</v>
      </c>
      <c r="E2255" s="4">
        <v>1.1071955E7</v>
      </c>
      <c r="F2255" s="4">
        <v>4.0</v>
      </c>
      <c r="G2255" s="4" t="s">
        <v>3834</v>
      </c>
    </row>
    <row r="2256">
      <c r="A2256" s="1">
        <v>2254.0</v>
      </c>
      <c r="B2256" s="4" t="s">
        <v>3826</v>
      </c>
      <c r="C2256" s="4" t="str">
        <f>IFERROR(__xludf.DUMMYFUNCTION("GOOGLETRANSLATE(D:D,""auto"",""en"")"),"Zhong Nanshan guidance and develop a rapid detection kit")</f>
        <v>Zhong Nanshan guidance and develop a rapid detection kit</v>
      </c>
      <c r="D2256" s="4" t="s">
        <v>3835</v>
      </c>
      <c r="E2256" s="4">
        <v>1.0961317E7</v>
      </c>
      <c r="F2256" s="4">
        <v>5.0</v>
      </c>
      <c r="G2256" s="4" t="s">
        <v>3836</v>
      </c>
    </row>
    <row r="2257">
      <c r="A2257" s="1">
        <v>2255.0</v>
      </c>
      <c r="B2257" s="4" t="s">
        <v>3826</v>
      </c>
      <c r="C2257" s="4" t="str">
        <f>IFERROR(__xludf.DUMMYFUNCTION("GOOGLETRANSLATE(D:D,""auto"",""en"")"),"Mao is not easy to eliminate")</f>
        <v>Mao is not easy to eliminate</v>
      </c>
      <c r="D2257" s="4" t="s">
        <v>3837</v>
      </c>
      <c r="E2257" s="4">
        <v>1.0827972E7</v>
      </c>
      <c r="F2257" s="4">
        <v>6.0</v>
      </c>
      <c r="G2257" s="4" t="s">
        <v>3838</v>
      </c>
    </row>
    <row r="2258">
      <c r="A2258" s="1">
        <v>2256.0</v>
      </c>
      <c r="B2258" s="4" t="s">
        <v>3826</v>
      </c>
      <c r="C2258" s="4" t="str">
        <f>IFERROR(__xludf.DUMMYFUNCTION("GOOGLETRANSLATE(D:D,""auto"",""en"")"),"Plasma treatment of nine cases of critically ill patients was significantly antibody")</f>
        <v>Plasma treatment of nine cases of critically ill patients was significantly antibody</v>
      </c>
      <c r="D2258" s="4" t="s">
        <v>3839</v>
      </c>
      <c r="E2258" s="4">
        <v>1.0396225E7</v>
      </c>
      <c r="F2258" s="4">
        <v>7.0</v>
      </c>
      <c r="G2258" s="4" t="s">
        <v>3840</v>
      </c>
    </row>
    <row r="2259">
      <c r="A2259" s="1">
        <v>2257.0</v>
      </c>
      <c r="B2259" s="4" t="s">
        <v>3826</v>
      </c>
      <c r="C2259" s="4" t="str">
        <f>IFERROR(__xludf.DUMMYFUNCTION("GOOGLETRANSLATE(D:D,""auto"",""en"")"),"High school seniors preparing for college entrance in the shelter hospital")</f>
        <v>High school seniors preparing for college entrance in the shelter hospital</v>
      </c>
      <c r="D2259" s="4" t="s">
        <v>3841</v>
      </c>
      <c r="E2259" s="4">
        <v>1.0179396E7</v>
      </c>
      <c r="F2259" s="4">
        <v>8.0</v>
      </c>
      <c r="G2259" s="4" t="s">
        <v>3842</v>
      </c>
    </row>
    <row r="2260">
      <c r="A2260" s="1">
        <v>2258.0</v>
      </c>
      <c r="B2260" s="4" t="s">
        <v>3826</v>
      </c>
      <c r="C2260" s="4" t="str">
        <f>IFERROR(__xludf.DUMMYFUNCTION("GOOGLETRANSLATE(D:D,""auto"",""en"")"),"Mercedes-Benz M")</f>
        <v>Mercedes-Benz M</v>
      </c>
      <c r="D2260" s="4" t="s">
        <v>3843</v>
      </c>
      <c r="E2260" s="4">
        <v>1.0085769E7</v>
      </c>
      <c r="F2260" s="4">
        <v>9.0</v>
      </c>
      <c r="G2260" s="4" t="s">
        <v>3844</v>
      </c>
    </row>
    <row r="2261">
      <c r="A2261" s="1">
        <v>2259.0</v>
      </c>
      <c r="B2261" s="4" t="s">
        <v>3826</v>
      </c>
      <c r="C2261" s="4" t="str">
        <f>IFERROR(__xludf.DUMMYFUNCTION("GOOGLETRANSLATE(D:D,""auto"",""en"")"),"Guangdong first batch of donated plasma ill")</f>
        <v>Guangdong first batch of donated plasma ill</v>
      </c>
      <c r="D2261" s="4" t="s">
        <v>3845</v>
      </c>
      <c r="E2261" s="4">
        <v>9608525.0</v>
      </c>
      <c r="F2261" s="4">
        <v>10.0</v>
      </c>
      <c r="G2261" s="4" t="s">
        <v>3846</v>
      </c>
    </row>
    <row r="2262">
      <c r="A2262" s="1">
        <v>2260.0</v>
      </c>
      <c r="B2262" s="4" t="s">
        <v>3826</v>
      </c>
      <c r="C2262" s="4" t="str">
        <f>IFERROR(__xludf.DUMMYFUNCTION("GOOGLETRANSLATE(D:D,""auto"",""en"")"),"Some vaccines varieties have entered the stage of animal testing")</f>
        <v>Some vaccines varieties have entered the stage of animal testing</v>
      </c>
      <c r="D2262" s="4" t="s">
        <v>3847</v>
      </c>
      <c r="E2262" s="4">
        <v>9511366.0</v>
      </c>
      <c r="F2262" s="4">
        <v>11.0</v>
      </c>
      <c r="G2262" s="4" t="s">
        <v>3848</v>
      </c>
    </row>
    <row r="2263">
      <c r="A2263" s="1">
        <v>2261.0</v>
      </c>
      <c r="B2263" s="4" t="s">
        <v>3826</v>
      </c>
      <c r="C2263" s="4" t="str">
        <f>IFERROR(__xludf.DUMMYFUNCTION("GOOGLETRANSLATE(D:D,""auto"",""en"")"),"France 1 appears deaths")</f>
        <v>France 1 appears deaths</v>
      </c>
      <c r="D2263" s="4" t="s">
        <v>3849</v>
      </c>
      <c r="E2263" s="4">
        <v>9400535.0</v>
      </c>
      <c r="F2263" s="4">
        <v>12.0</v>
      </c>
      <c r="G2263" s="4" t="s">
        <v>3850</v>
      </c>
    </row>
    <row r="2264">
      <c r="A2264" s="1">
        <v>2262.0</v>
      </c>
      <c r="B2264" s="4" t="s">
        <v>3826</v>
      </c>
      <c r="C2264" s="4" t="str">
        <f>IFERROR(__xludf.DUMMYFUNCTION("GOOGLETRANSLATE(D:D,""auto"",""en"")"),"Wuhan snow")</f>
        <v>Wuhan snow</v>
      </c>
      <c r="D2264" s="4" t="s">
        <v>3851</v>
      </c>
      <c r="E2264" s="4">
        <v>9219935.0</v>
      </c>
      <c r="F2264" s="4">
        <v>13.0</v>
      </c>
      <c r="G2264" s="4" t="s">
        <v>3852</v>
      </c>
    </row>
    <row r="2265">
      <c r="A2265" s="1">
        <v>2263.0</v>
      </c>
      <c r="B2265" s="4" t="s">
        <v>3826</v>
      </c>
      <c r="C2265" s="4" t="str">
        <f>IFERROR(__xludf.DUMMYFUNCTION("GOOGLETRANSLATE(D:D,""auto"",""en"")"),"Shelter hospital patients real shot")</f>
        <v>Shelter hospital patients real shot</v>
      </c>
      <c r="D2265" s="4" t="s">
        <v>3853</v>
      </c>
      <c r="E2265" s="4">
        <v>9125820.0</v>
      </c>
      <c r="F2265" s="4">
        <v>14.0</v>
      </c>
      <c r="G2265" s="4" t="s">
        <v>3854</v>
      </c>
    </row>
    <row r="2266">
      <c r="A2266" s="1">
        <v>2264.0</v>
      </c>
      <c r="B2266" s="4" t="s">
        <v>3826</v>
      </c>
      <c r="C2266" s="4" t="str">
        <f>IFERROR(__xludf.DUMMYFUNCTION("GOOGLETRANSLATE(D:D,""auto"",""en"")"),"15-year-old alone abroad back back 15,000 masks")</f>
        <v>15-year-old alone abroad back back 15,000 masks</v>
      </c>
      <c r="D2266" s="4" t="s">
        <v>3855</v>
      </c>
      <c r="E2266" s="4">
        <v>8935154.0</v>
      </c>
      <c r="F2266" s="4">
        <v>15.0</v>
      </c>
      <c r="G2266" s="4" t="s">
        <v>3856</v>
      </c>
    </row>
    <row r="2267">
      <c r="A2267" s="1">
        <v>2265.0</v>
      </c>
      <c r="B2267" s="4" t="s">
        <v>3826</v>
      </c>
      <c r="C2267" s="4" t="str">
        <f>IFERROR(__xludf.DUMMYFUNCTION("GOOGLETRANSLATE(D:D,""auto"",""en"")"),"When the elephant and the car filled with sugar cane with a red light")</f>
        <v>When the elephant and the car filled with sugar cane with a red light</v>
      </c>
      <c r="D2267" s="4" t="s">
        <v>3857</v>
      </c>
      <c r="E2267" s="4">
        <v>8838842.0</v>
      </c>
      <c r="F2267" s="4">
        <v>16.0</v>
      </c>
      <c r="G2267" s="4" t="s">
        <v>3858</v>
      </c>
    </row>
    <row r="2268">
      <c r="A2268" s="1">
        <v>2266.0</v>
      </c>
      <c r="B2268" s="4" t="s">
        <v>3826</v>
      </c>
      <c r="C2268" s="4" t="str">
        <f>IFERROR(__xludf.DUMMYFUNCTION("GOOGLETRANSLATE(D:D,""auto"",""en"")"),"Hubei new confirmed cases 2420 cases")</f>
        <v>Hubei new confirmed cases 2420 cases</v>
      </c>
      <c r="D2268" s="4" t="s">
        <v>3859</v>
      </c>
      <c r="E2268" s="4">
        <v>8747376.0</v>
      </c>
      <c r="F2268" s="4">
        <v>17.0</v>
      </c>
      <c r="G2268" s="4" t="s">
        <v>3860</v>
      </c>
    </row>
    <row r="2269">
      <c r="A2269" s="1">
        <v>2267.0</v>
      </c>
      <c r="B2269" s="4" t="s">
        <v>3826</v>
      </c>
      <c r="C2269" s="4" t="str">
        <f>IFERROR(__xludf.DUMMYFUNCTION("GOOGLETRANSLATE(D:D,""auto"",""en"")"),"Three operators to open the user 14 days visit to inquiries")</f>
        <v>Three operators to open the user 14 days visit to inquiries</v>
      </c>
      <c r="D2269" s="4" t="s">
        <v>3740</v>
      </c>
      <c r="E2269" s="4">
        <v>8688556.0</v>
      </c>
      <c r="F2269" s="4">
        <v>18.0</v>
      </c>
      <c r="G2269" s="4" t="s">
        <v>3741</v>
      </c>
    </row>
    <row r="2270">
      <c r="A2270" s="1">
        <v>2268.0</v>
      </c>
      <c r="B2270" s="4" t="s">
        <v>3826</v>
      </c>
      <c r="C2270" s="4" t="str">
        <f>IFERROR(__xludf.DUMMYFUNCTION("GOOGLETRANSLATE(D:D,""auto"",""en"")"),"Beijing family of ten people live due to infection caused nine people")</f>
        <v>Beijing family of ten people live due to infection caused nine people</v>
      </c>
      <c r="D2270" s="4" t="s">
        <v>3861</v>
      </c>
      <c r="E2270" s="4">
        <v>8629189.0</v>
      </c>
      <c r="F2270" s="4">
        <v>19.0</v>
      </c>
      <c r="G2270" s="4" t="s">
        <v>3862</v>
      </c>
    </row>
    <row r="2271">
      <c r="A2271" s="1">
        <v>2269.0</v>
      </c>
      <c r="B2271" s="4" t="s">
        <v>3826</v>
      </c>
      <c r="C2271" s="4" t="str">
        <f>IFERROR(__xludf.DUMMYFUNCTION("GOOGLETRANSLATE(D:D,""auto"",""en"")"),"Han")</f>
        <v>Han</v>
      </c>
      <c r="D2271" s="4" t="s">
        <v>3863</v>
      </c>
      <c r="E2271" s="4">
        <v>8541410.0</v>
      </c>
      <c r="F2271" s="4">
        <v>20.0</v>
      </c>
      <c r="G2271" s="4" t="s">
        <v>3864</v>
      </c>
    </row>
    <row r="2272">
      <c r="A2272" s="1">
        <v>2270.0</v>
      </c>
      <c r="B2272" s="4" t="s">
        <v>3826</v>
      </c>
      <c r="C2272" s="4" t="str">
        <f>IFERROR(__xludf.DUMMYFUNCTION("GOOGLETRANSLATE(D:D,""auto"",""en"")"),"National cured youngest patients")</f>
        <v>National cured youngest patients</v>
      </c>
      <c r="D2272" s="4" t="s">
        <v>3865</v>
      </c>
      <c r="E2272" s="4">
        <v>8514632.0</v>
      </c>
      <c r="F2272" s="4">
        <v>21.0</v>
      </c>
      <c r="G2272" s="4" t="s">
        <v>3866</v>
      </c>
    </row>
    <row r="2273">
      <c r="A2273" s="1">
        <v>2271.0</v>
      </c>
      <c r="B2273" s="4" t="s">
        <v>3826</v>
      </c>
      <c r="C2273" s="4" t="str">
        <f>IFERROR(__xludf.DUMMYFUNCTION("GOOGLETRANSLATE(D:D,""auto"",""en"")"),"Call girl diagnosed father passed away I did not father")</f>
        <v>Call girl diagnosed father passed away I did not father</v>
      </c>
      <c r="D2273" s="4" t="s">
        <v>3867</v>
      </c>
      <c r="E2273" s="4">
        <v>8465589.0</v>
      </c>
      <c r="F2273" s="4">
        <v>22.0</v>
      </c>
      <c r="G2273" s="4" t="s">
        <v>3868</v>
      </c>
    </row>
    <row r="2274">
      <c r="A2274" s="1">
        <v>2272.0</v>
      </c>
      <c r="B2274" s="4" t="s">
        <v>3826</v>
      </c>
      <c r="C2274" s="4" t="str">
        <f>IFERROR(__xludf.DUMMYFUNCTION("GOOGLETRANSLATE(D:D,""auto"",""en"")"),"Pillow book fox dance")</f>
        <v>Pillow book fox dance</v>
      </c>
      <c r="D2274" s="4" t="s">
        <v>3869</v>
      </c>
      <c r="E2274" s="4">
        <v>8439029.0</v>
      </c>
      <c r="F2274" s="4">
        <v>23.0</v>
      </c>
      <c r="G2274" s="4" t="s">
        <v>3870</v>
      </c>
    </row>
    <row r="2275">
      <c r="A2275" s="1">
        <v>2273.0</v>
      </c>
      <c r="B2275" s="4" t="s">
        <v>3826</v>
      </c>
      <c r="C2275" s="4" t="str">
        <f>IFERROR(__xludf.DUMMYFUNCTION("GOOGLETRANSLATE(D:D,""auto"",""en"")"),"Prince Stephy")</f>
        <v>Prince Stephy</v>
      </c>
      <c r="D2275" s="4" t="s">
        <v>3871</v>
      </c>
      <c r="E2275" s="4">
        <v>8359383.0</v>
      </c>
      <c r="F2275" s="4">
        <v>24.0</v>
      </c>
      <c r="G2275" s="4" t="s">
        <v>3872</v>
      </c>
    </row>
    <row r="2276">
      <c r="A2276" s="1">
        <v>2274.0</v>
      </c>
      <c r="B2276" s="4" t="s">
        <v>3826</v>
      </c>
      <c r="C2276" s="4" t="str">
        <f>IFERROR(__xludf.DUMMYFUNCTION("GOOGLETRANSLATE(D:D,""auto"",""en"")"),"Jiangsu Wuhan medical aid received 17 roses")</f>
        <v>Jiangsu Wuhan medical aid received 17 roses</v>
      </c>
      <c r="D2276" s="4" t="s">
        <v>3873</v>
      </c>
      <c r="E2276" s="4">
        <v>8276376.0</v>
      </c>
      <c r="F2276" s="4">
        <v>25.0</v>
      </c>
      <c r="G2276" s="4" t="s">
        <v>3874</v>
      </c>
    </row>
    <row r="2277">
      <c r="A2277" s="1">
        <v>2275.0</v>
      </c>
      <c r="B2277" s="4" t="s">
        <v>3826</v>
      </c>
      <c r="C2277" s="4" t="str">
        <f>IFERROR(__xludf.DUMMYFUNCTION("GOOGLETRANSLATE(D:D,""auto"",""en"")"),"Cancel the country in March IELTS")</f>
        <v>Cancel the country in March IELTS</v>
      </c>
      <c r="D2277" s="4" t="s">
        <v>3875</v>
      </c>
      <c r="E2277" s="4">
        <v>8236327.0</v>
      </c>
      <c r="F2277" s="4">
        <v>26.0</v>
      </c>
      <c r="G2277" s="4" t="s">
        <v>3876</v>
      </c>
    </row>
    <row r="2278">
      <c r="A2278" s="1">
        <v>2276.0</v>
      </c>
      <c r="B2278" s="4" t="s">
        <v>3826</v>
      </c>
      <c r="C2278" s="4" t="str">
        <f>IFERROR(__xludf.DUMMYFUNCTION("GOOGLETRANSLATE(D:D,""auto"",""en"")"),"Chongzhou auxiliary register is not fit to be dismissed")</f>
        <v>Chongzhou auxiliary register is not fit to be dismissed</v>
      </c>
      <c r="D2278" s="4" t="s">
        <v>3877</v>
      </c>
      <c r="E2278" s="4">
        <v>8177246.0</v>
      </c>
      <c r="F2278" s="4">
        <v>27.0</v>
      </c>
      <c r="G2278" s="4" t="s">
        <v>3878</v>
      </c>
    </row>
    <row r="2279">
      <c r="A2279" s="1">
        <v>2277.0</v>
      </c>
      <c r="B2279" s="4" t="s">
        <v>3826</v>
      </c>
      <c r="C2279" s="4" t="str">
        <f>IFERROR(__xludf.DUMMYFUNCTION("GOOGLETRANSLATE(D:D,""auto"",""en"")"),"Chinese medicine has sent three national teams 2220 people")</f>
        <v>Chinese medicine has sent three national teams 2220 people</v>
      </c>
      <c r="D2279" s="4" t="s">
        <v>3879</v>
      </c>
      <c r="E2279" s="4">
        <v>8127261.0</v>
      </c>
      <c r="F2279" s="4">
        <v>28.0</v>
      </c>
      <c r="G2279" s="4" t="s">
        <v>3880</v>
      </c>
    </row>
    <row r="2280">
      <c r="A2280" s="1">
        <v>2278.0</v>
      </c>
      <c r="B2280" s="4" t="s">
        <v>3826</v>
      </c>
      <c r="C2280" s="4" t="str">
        <f>IFERROR(__xludf.DUMMYFUNCTION("GOOGLETRANSLATE(D:D,""auto"",""en"")"),"Propaganda package a year housework husband of Valentine's Day")</f>
        <v>Propaganda package a year housework husband of Valentine's Day</v>
      </c>
      <c r="D2280" s="4" t="s">
        <v>3784</v>
      </c>
      <c r="E2280" s="4">
        <v>8069011.0</v>
      </c>
      <c r="F2280" s="4">
        <v>29.0</v>
      </c>
      <c r="G2280" s="4" t="s">
        <v>3785</v>
      </c>
    </row>
    <row r="2281">
      <c r="A2281" s="1">
        <v>2279.0</v>
      </c>
      <c r="B2281" s="4" t="s">
        <v>3826</v>
      </c>
      <c r="C2281" s="4" t="str">
        <f>IFERROR(__xludf.DUMMYFUNCTION("GOOGLETRANSLATE(D:D,""auto"",""en"")"),"Hsiao MV shooting accident")</f>
        <v>Hsiao MV shooting accident</v>
      </c>
      <c r="D2281" s="4" t="s">
        <v>3881</v>
      </c>
      <c r="E2281" s="4">
        <v>8040967.0</v>
      </c>
      <c r="F2281" s="4">
        <v>30.0</v>
      </c>
      <c r="G2281" s="4" t="s">
        <v>3882</v>
      </c>
    </row>
    <row r="2282">
      <c r="A2282" s="1">
        <v>2280.0</v>
      </c>
      <c r="B2282" s="4" t="s">
        <v>3826</v>
      </c>
      <c r="C2282" s="4" t="str">
        <f>IFERROR(__xludf.DUMMYFUNCTION("GOOGLETRANSLATE(D:D,""auto"",""en"")"),"Lou Yi Xiao Fei Hu farewell")</f>
        <v>Lou Yi Xiao Fei Hu farewell</v>
      </c>
      <c r="D2282" s="4" t="s">
        <v>3794</v>
      </c>
      <c r="E2282" s="4">
        <v>8025592.0</v>
      </c>
      <c r="F2282" s="4">
        <v>31.0</v>
      </c>
      <c r="G2282" s="4" t="s">
        <v>3795</v>
      </c>
    </row>
    <row r="2283">
      <c r="A2283" s="1">
        <v>2281.0</v>
      </c>
      <c r="B2283" s="4" t="s">
        <v>3826</v>
      </c>
      <c r="C2283" s="4" t="str">
        <f>IFERROR(__xludf.DUMMYFUNCTION("GOOGLETRANSLATE(D:D,""auto"",""en"")"),"National couples in a long distance relationship")</f>
        <v>National couples in a long distance relationship</v>
      </c>
      <c r="D2283" s="4" t="s">
        <v>3883</v>
      </c>
      <c r="E2283" s="4">
        <v>8016817.0</v>
      </c>
      <c r="F2283" s="4">
        <v>32.0</v>
      </c>
      <c r="G2283" s="4" t="s">
        <v>3884</v>
      </c>
    </row>
    <row r="2284">
      <c r="A2284" s="1">
        <v>2282.0</v>
      </c>
      <c r="B2284" s="4" t="s">
        <v>3826</v>
      </c>
      <c r="C2284" s="4" t="str">
        <f>IFERROR(__xludf.DUMMYFUNCTION("GOOGLETRANSLATE(D:D,""auto"",""en"")"),"Elva Huang Hao Valentine's Day blockbuster")</f>
        <v>Elva Huang Hao Valentine's Day blockbuster</v>
      </c>
      <c r="D2284" s="4" t="s">
        <v>3885</v>
      </c>
      <c r="E2284" s="4">
        <v>8008814.0</v>
      </c>
      <c r="F2284" s="4">
        <v>33.0</v>
      </c>
      <c r="G2284" s="4" t="s">
        <v>3886</v>
      </c>
    </row>
    <row r="2285">
      <c r="A2285" s="1">
        <v>2283.0</v>
      </c>
      <c r="B2285" s="4" t="s">
        <v>3826</v>
      </c>
      <c r="C2285" s="4" t="str">
        <f>IFERROR(__xludf.DUMMYFUNCTION("GOOGLETRANSLATE(D:D,""auto"",""en"")"),"Hubei launched a major weather disaster response three")</f>
        <v>Hubei launched a major weather disaster response three</v>
      </c>
      <c r="D2285" s="4" t="s">
        <v>3887</v>
      </c>
      <c r="E2285" s="4">
        <v>7978733.0</v>
      </c>
      <c r="F2285" s="4">
        <v>34.0</v>
      </c>
      <c r="G2285" s="4" t="s">
        <v>3888</v>
      </c>
    </row>
    <row r="2286">
      <c r="A2286" s="1">
        <v>2284.0</v>
      </c>
      <c r="B2286" s="4" t="s">
        <v>3826</v>
      </c>
      <c r="C2286" s="4" t="str">
        <f>IFERROR(__xludf.DUMMYFUNCTION("GOOGLETRANSLATE(D:D,""auto"",""en"")"),"Wang Yibo abdominal cover")</f>
        <v>Wang Yibo abdominal cover</v>
      </c>
      <c r="D2286" s="4" t="s">
        <v>3746</v>
      </c>
      <c r="E2286" s="4">
        <v>7960875.0</v>
      </c>
      <c r="F2286" s="4">
        <v>35.0</v>
      </c>
      <c r="G2286" s="4" t="s">
        <v>3747</v>
      </c>
    </row>
    <row r="2287">
      <c r="A2287" s="1">
        <v>2285.0</v>
      </c>
      <c r="B2287" s="4" t="s">
        <v>3826</v>
      </c>
      <c r="C2287" s="4" t="str">
        <f>IFERROR(__xludf.DUMMYFUNCTION("GOOGLETRANSLATE(D:D,""auto"",""en"")"),"The central bank allocated 4 billion yuan banknotes to Wuhan")</f>
        <v>The central bank allocated 4 billion yuan banknotes to Wuhan</v>
      </c>
      <c r="D2287" s="4" t="s">
        <v>3889</v>
      </c>
      <c r="E2287" s="4">
        <v>7943241.0</v>
      </c>
      <c r="F2287" s="4">
        <v>36.0</v>
      </c>
      <c r="G2287" s="4" t="s">
        <v>3890</v>
      </c>
    </row>
    <row r="2288">
      <c r="A2288" s="1">
        <v>2286.0</v>
      </c>
      <c r="B2288" s="4" t="s">
        <v>3826</v>
      </c>
      <c r="C2288" s="4" t="str">
        <f>IFERROR(__xludf.DUMMYFUNCTION("GOOGLETRANSLATE(D:D,""auto"",""en"")"),"Korea Chamber of Commerce Tong Yan Valentine's Day Dog Food")</f>
        <v>Korea Chamber of Commerce Tong Yan Valentine's Day Dog Food</v>
      </c>
      <c r="D2288" s="4" t="s">
        <v>3748</v>
      </c>
      <c r="E2288" s="4">
        <v>7920881.0</v>
      </c>
      <c r="F2288" s="4">
        <v>37.0</v>
      </c>
      <c r="G2288" s="4" t="s">
        <v>3749</v>
      </c>
    </row>
    <row r="2289">
      <c r="A2289" s="1">
        <v>2287.0</v>
      </c>
      <c r="B2289" s="4" t="s">
        <v>3826</v>
      </c>
      <c r="C2289" s="4" t="str">
        <f>IFERROR(__xludf.DUMMYFUNCTION("GOOGLETRANSLATE(D:D,""auto"",""en"")"),"He Jiong make a cake")</f>
        <v>He Jiong make a cake</v>
      </c>
      <c r="D2289" s="4" t="s">
        <v>3891</v>
      </c>
      <c r="E2289" s="4">
        <v>7802354.0</v>
      </c>
      <c r="F2289" s="4">
        <v>38.0</v>
      </c>
      <c r="G2289" s="4" t="s">
        <v>3892</v>
      </c>
    </row>
    <row r="2290">
      <c r="A2290" s="1">
        <v>2288.0</v>
      </c>
      <c r="B2290" s="4" t="s">
        <v>3826</v>
      </c>
      <c r="C2290" s="4" t="str">
        <f>IFERROR(__xludf.DUMMYFUNCTION("GOOGLETRANSLATE(D:D,""auto"",""en"")"),"During the Spring Festival railway refund a total of 115 million")</f>
        <v>During the Spring Festival railway refund a total of 115 million</v>
      </c>
      <c r="D2290" s="4" t="s">
        <v>3893</v>
      </c>
      <c r="E2290" s="4">
        <v>7797401.0</v>
      </c>
      <c r="F2290" s="4">
        <v>39.0</v>
      </c>
      <c r="G2290" s="4" t="s">
        <v>3894</v>
      </c>
    </row>
    <row r="2291">
      <c r="A2291" s="1">
        <v>2289.0</v>
      </c>
      <c r="B2291" s="4" t="s">
        <v>3826</v>
      </c>
      <c r="C2291" s="4" t="str">
        <f>IFERROR(__xludf.DUMMYFUNCTION("GOOGLETRANSLATE(D:D,""auto"",""en"")"),"Xuyesongyin")</f>
        <v>Xuyesongyin</v>
      </c>
      <c r="D2291" s="4" t="s">
        <v>3738</v>
      </c>
      <c r="E2291" s="4">
        <v>7731723.0</v>
      </c>
      <c r="F2291" s="4">
        <v>40.0</v>
      </c>
      <c r="G2291" s="4" t="s">
        <v>3739</v>
      </c>
    </row>
    <row r="2292">
      <c r="A2292" s="1">
        <v>2290.0</v>
      </c>
      <c r="B2292" s="4" t="s">
        <v>3826</v>
      </c>
      <c r="C2292" s="4" t="str">
        <f>IFERROR(__xludf.DUMMYFUNCTION("GOOGLETRANSLATE(D:D,""auto"",""en"")"),"Battle of Wuhan, Hubei Battle comprehensive offensive")</f>
        <v>Battle of Wuhan, Hubei Battle comprehensive offensive</v>
      </c>
      <c r="D2292" s="4" t="s">
        <v>3895</v>
      </c>
      <c r="E2292" s="4">
        <v>7644294.0</v>
      </c>
      <c r="F2292" s="4">
        <v>41.0</v>
      </c>
      <c r="G2292" s="4" t="s">
        <v>3896</v>
      </c>
    </row>
    <row r="2293">
      <c r="A2293" s="1">
        <v>2291.0</v>
      </c>
      <c r="B2293" s="4" t="s">
        <v>3826</v>
      </c>
      <c r="C2293" s="4" t="str">
        <f>IFERROR(__xludf.DUMMYFUNCTION("GOOGLETRANSLATE(D:D,""auto"",""en"")"),"Ancient secret funny Valentine's Day gift")</f>
        <v>Ancient secret funny Valentine's Day gift</v>
      </c>
      <c r="D2293" s="4" t="s">
        <v>3897</v>
      </c>
      <c r="E2293" s="4">
        <v>7602690.0</v>
      </c>
      <c r="F2293" s="4">
        <v>42.0</v>
      </c>
      <c r="G2293" s="4" t="s">
        <v>3898</v>
      </c>
    </row>
    <row r="2294">
      <c r="A2294" s="1">
        <v>2292.0</v>
      </c>
      <c r="B2294" s="4" t="s">
        <v>3826</v>
      </c>
      <c r="C2294" s="4" t="str">
        <f>IFERROR(__xludf.DUMMYFUNCTION("GOOGLETRANSLATE(D:D,""auto"",""en"")"),"He Jiong, Xie Na Yi Xi smelt one thousand Chorus")</f>
        <v>He Jiong, Xie Na Yi Xi smelt one thousand Chorus</v>
      </c>
      <c r="D2294" s="4" t="s">
        <v>3899</v>
      </c>
      <c r="E2294" s="4">
        <v>7579215.0</v>
      </c>
      <c r="F2294" s="4">
        <v>43.0</v>
      </c>
      <c r="G2294" s="4" t="s">
        <v>3900</v>
      </c>
    </row>
    <row r="2295">
      <c r="A2295" s="1">
        <v>2293.0</v>
      </c>
      <c r="B2295" s="4" t="s">
        <v>3826</v>
      </c>
      <c r="C2295" s="4" t="str">
        <f>IFERROR(__xludf.DUMMYFUNCTION("GOOGLETRANSLATE(D:D,""auto"",""en"")"),"Itaewon class")</f>
        <v>Itaewon class</v>
      </c>
      <c r="D2295" s="4" t="s">
        <v>3901</v>
      </c>
      <c r="E2295" s="4">
        <v>7540303.0</v>
      </c>
      <c r="F2295" s="4">
        <v>44.0</v>
      </c>
      <c r="G2295" s="4" t="s">
        <v>3902</v>
      </c>
    </row>
    <row r="2296">
      <c r="A2296" s="1">
        <v>2294.0</v>
      </c>
      <c r="B2296" s="4" t="s">
        <v>3826</v>
      </c>
      <c r="C2296" s="4" t="str">
        <f>IFERROR(__xludf.DUMMYFUNCTION("GOOGLETRANSLATE(D:D,""auto"",""en"")"),"Issued a document that was received suspended Jingzhou man father")</f>
        <v>Issued a document that was received suspended Jingzhou man father</v>
      </c>
      <c r="D2296" s="4" t="s">
        <v>3903</v>
      </c>
      <c r="E2296" s="4">
        <v>7479963.0</v>
      </c>
      <c r="F2296" s="4">
        <v>45.0</v>
      </c>
      <c r="G2296" s="4" t="s">
        <v>3904</v>
      </c>
    </row>
    <row r="2297">
      <c r="A2297" s="1">
        <v>2295.0</v>
      </c>
      <c r="B2297" s="4" t="s">
        <v>3826</v>
      </c>
      <c r="C2297" s="4" t="str">
        <f>IFERROR(__xludf.DUMMYFUNCTION("GOOGLETRANSLATE(D:D,""auto"",""en"")"),"Wuxue comprehensive domain-wide ban on the limit line")</f>
        <v>Wuxue comprehensive domain-wide ban on the limit line</v>
      </c>
      <c r="D2297" s="4" t="s">
        <v>3905</v>
      </c>
      <c r="E2297" s="4">
        <v>7371233.0</v>
      </c>
      <c r="F2297" s="4">
        <v>46.0</v>
      </c>
      <c r="G2297" s="4" t="s">
        <v>3906</v>
      </c>
    </row>
    <row r="2298">
      <c r="A2298" s="1">
        <v>2296.0</v>
      </c>
      <c r="B2298" s="4" t="s">
        <v>3826</v>
      </c>
      <c r="C2298" s="4" t="str">
        <f>IFERROR(__xludf.DUMMYFUNCTION("GOOGLETRANSLATE(D:D,""auto"",""en"")"),"2020 Basketball Hall of Fame shortlist")</f>
        <v>2020 Basketball Hall of Fame shortlist</v>
      </c>
      <c r="D2298" s="4" t="s">
        <v>3907</v>
      </c>
      <c r="E2298" s="4">
        <v>7345862.0</v>
      </c>
      <c r="F2298" s="4">
        <v>47.0</v>
      </c>
      <c r="G2298" s="4" t="s">
        <v>3908</v>
      </c>
    </row>
    <row r="2299">
      <c r="A2299" s="1">
        <v>2297.0</v>
      </c>
      <c r="B2299" s="4" t="s">
        <v>3826</v>
      </c>
      <c r="C2299" s="4" t="str">
        <f>IFERROR(__xludf.DUMMYFUNCTION("GOOGLETRANSLATE(D:D,""auto"",""en"")"),"Zhang Dingyu mobilization wife plasma donations")</f>
        <v>Zhang Dingyu mobilization wife plasma donations</v>
      </c>
      <c r="D2299" s="4" t="s">
        <v>3909</v>
      </c>
      <c r="E2299" s="4">
        <v>7320798.0</v>
      </c>
      <c r="F2299" s="4">
        <v>48.0</v>
      </c>
      <c r="G2299" s="4" t="s">
        <v>3910</v>
      </c>
    </row>
    <row r="2300">
      <c r="A2300" s="1">
        <v>2298.0</v>
      </c>
      <c r="B2300" s="4" t="s">
        <v>3826</v>
      </c>
      <c r="C2300" s="4" t="str">
        <f>IFERROR(__xludf.DUMMYFUNCTION("GOOGLETRANSLATE(D:D,""auto"",""en"")"),"Hardcore Wuling converting masks only three days to")</f>
        <v>Hardcore Wuling converting masks only three days to</v>
      </c>
      <c r="D2300" s="4" t="s">
        <v>3911</v>
      </c>
      <c r="E2300" s="4">
        <v>7240504.0</v>
      </c>
      <c r="F2300" s="4">
        <v>49.0</v>
      </c>
      <c r="G2300" s="4" t="s">
        <v>3912</v>
      </c>
    </row>
    <row r="2301">
      <c r="A2301" s="1">
        <v>2299.0</v>
      </c>
      <c r="B2301" s="4" t="s">
        <v>3826</v>
      </c>
      <c r="C2301" s="4" t="str">
        <f>IFERROR(__xludf.DUMMYFUNCTION("GOOGLETRANSLATE(D:D,""auto"",""en"")"),"Epidemic of national toll roads free")</f>
        <v>Epidemic of national toll roads free</v>
      </c>
      <c r="D2301" s="4" t="s">
        <v>3913</v>
      </c>
      <c r="E2301" s="4">
        <v>7158615.0</v>
      </c>
      <c r="F2301" s="4">
        <v>50.0</v>
      </c>
      <c r="G2301" s="4" t="s">
        <v>3914</v>
      </c>
    </row>
    <row r="2302">
      <c r="A2302" s="1">
        <v>2300.0</v>
      </c>
      <c r="B2302" s="4" t="s">
        <v>3915</v>
      </c>
      <c r="C2302" s="4" t="str">
        <f>IFERROR(__xludf.DUMMYFUNCTION("GOOGLETRANSLATE(D:D,""auto"",""en"")"),"Li praised him for his handsome now respond dumplings")</f>
        <v>Li praised him for his handsome now respond dumplings</v>
      </c>
      <c r="D2302" s="4" t="s">
        <v>3916</v>
      </c>
      <c r="E2302" s="4">
        <v>1.6561209E7</v>
      </c>
      <c r="F2302" s="4">
        <v>1.0</v>
      </c>
      <c r="G2302" s="4" t="s">
        <v>3917</v>
      </c>
    </row>
    <row r="2303">
      <c r="A2303" s="1">
        <v>2301.0</v>
      </c>
      <c r="B2303" s="4" t="s">
        <v>3915</v>
      </c>
      <c r="C2303" s="4" t="str">
        <f>IFERROR(__xludf.DUMMYFUNCTION("GOOGLETRANSLATE(D:D,""auto"",""en"")"),"The country's first new crown remains anatomy in patients with pneumonia")</f>
        <v>The country's first new crown remains anatomy in patients with pneumonia</v>
      </c>
      <c r="D2303" s="4" t="s">
        <v>3918</v>
      </c>
      <c r="E2303" s="4">
        <v>1.5081279E7</v>
      </c>
      <c r="F2303" s="4">
        <v>2.0</v>
      </c>
      <c r="G2303" s="4" t="s">
        <v>3919</v>
      </c>
    </row>
    <row r="2304">
      <c r="A2304" s="1">
        <v>2302.0</v>
      </c>
      <c r="B2304" s="4" t="s">
        <v>3915</v>
      </c>
      <c r="C2304" s="4" t="str">
        <f>IFERROR(__xludf.DUMMYFUNCTION("GOOGLETRANSLATE(D:D,""auto"",""en"")"),"Li Jiaqi Amway cousin")</f>
        <v>Li Jiaqi Amway cousin</v>
      </c>
      <c r="D2304" s="4" t="s">
        <v>3920</v>
      </c>
      <c r="E2304" s="4">
        <v>1.43993E7</v>
      </c>
      <c r="F2304" s="4">
        <v>3.0</v>
      </c>
      <c r="G2304" s="4" t="s">
        <v>3921</v>
      </c>
    </row>
    <row r="2305">
      <c r="A2305" s="1">
        <v>2303.0</v>
      </c>
      <c r="B2305" s="4" t="s">
        <v>3915</v>
      </c>
      <c r="C2305" s="4" t="str">
        <f>IFERROR(__xludf.DUMMYFUNCTION("GOOGLETRANSLATE(D:D,""auto"",""en"")"),"Angela Aaron chorus")</f>
        <v>Angela Aaron chorus</v>
      </c>
      <c r="D2305" s="4" t="s">
        <v>3922</v>
      </c>
      <c r="E2305" s="4">
        <v>1.4022393E7</v>
      </c>
      <c r="F2305" s="4">
        <v>4.0</v>
      </c>
      <c r="G2305" s="4" t="s">
        <v>3923</v>
      </c>
    </row>
    <row r="2306">
      <c r="A2306" s="1">
        <v>2304.0</v>
      </c>
      <c r="B2306" s="4" t="s">
        <v>3915</v>
      </c>
      <c r="C2306" s="4" t="str">
        <f>IFERROR(__xludf.DUMMYFUNCTION("GOOGLETRANSLATE(D:D,""auto"",""en"")"),"Elva Huang Hao Valentine's Day blockbuster")</f>
        <v>Elva Huang Hao Valentine's Day blockbuster</v>
      </c>
      <c r="D2306" s="4" t="s">
        <v>3885</v>
      </c>
      <c r="E2306" s="4">
        <v>1.3622766E7</v>
      </c>
      <c r="F2306" s="4">
        <v>5.0</v>
      </c>
      <c r="G2306" s="4" t="s">
        <v>3886</v>
      </c>
    </row>
    <row r="2307">
      <c r="A2307" s="1">
        <v>2305.0</v>
      </c>
      <c r="B2307" s="4" t="s">
        <v>3915</v>
      </c>
      <c r="C2307" s="4" t="str">
        <f>IFERROR(__xludf.DUMMYFUNCTION("GOOGLETRANSLATE(D:D,""auto"",""en"")"),"Vulcan Hill Hospital ICU sleepless night")</f>
        <v>Vulcan Hill Hospital ICU sleepless night</v>
      </c>
      <c r="D2307" s="4" t="s">
        <v>3924</v>
      </c>
      <c r="E2307" s="4">
        <v>1.3245764E7</v>
      </c>
      <c r="F2307" s="4">
        <v>6.0</v>
      </c>
      <c r="G2307" s="4" t="s">
        <v>3925</v>
      </c>
    </row>
    <row r="2308">
      <c r="A2308" s="1">
        <v>2306.0</v>
      </c>
      <c r="B2308" s="4" t="s">
        <v>3915</v>
      </c>
      <c r="C2308" s="4" t="str">
        <f>IFERROR(__xludf.DUMMYFUNCTION("GOOGLETRANSLATE(D:D,""auto"",""en"")"),"Sa Dingding Ding Tai Shing reviews")</f>
        <v>Sa Dingding Ding Tai Shing reviews</v>
      </c>
      <c r="D2308" s="4" t="s">
        <v>3926</v>
      </c>
      <c r="E2308" s="4">
        <v>1.2928704E7</v>
      </c>
      <c r="F2308" s="4">
        <v>7.0</v>
      </c>
      <c r="G2308" s="4" t="s">
        <v>3927</v>
      </c>
    </row>
    <row r="2309">
      <c r="A2309" s="1">
        <v>2307.0</v>
      </c>
      <c r="B2309" s="4" t="s">
        <v>3915</v>
      </c>
      <c r="C2309" s="4" t="str">
        <f>IFERROR(__xludf.DUMMYFUNCTION("GOOGLETRANSLATE(D:D,""auto"",""en"")"),"Mercedes-Benz M")</f>
        <v>Mercedes-Benz M</v>
      </c>
      <c r="D2309" s="4" t="s">
        <v>3843</v>
      </c>
      <c r="E2309" s="4">
        <v>1.2625793E7</v>
      </c>
      <c r="F2309" s="4">
        <v>8.0</v>
      </c>
      <c r="G2309" s="4" t="s">
        <v>3844</v>
      </c>
    </row>
    <row r="2310">
      <c r="A2310" s="1">
        <v>2308.0</v>
      </c>
      <c r="B2310" s="4" t="s">
        <v>3915</v>
      </c>
      <c r="C2310" s="4" t="str">
        <f>IFERROR(__xludf.DUMMYFUNCTION("GOOGLETRANSLATE(D:D,""auto"",""en"")"),"Wang Sa Dingding fate of a bridge")</f>
        <v>Wang Sa Dingding fate of a bridge</v>
      </c>
      <c r="D2310" s="4" t="s">
        <v>3928</v>
      </c>
      <c r="E2310" s="4">
        <v>1.2427153E7</v>
      </c>
      <c r="F2310" s="4">
        <v>9.0</v>
      </c>
      <c r="G2310" s="4" t="s">
        <v>3929</v>
      </c>
    </row>
    <row r="2311">
      <c r="A2311" s="1">
        <v>2309.0</v>
      </c>
      <c r="B2311" s="4" t="s">
        <v>3915</v>
      </c>
      <c r="C2311" s="4" t="str">
        <f>IFERROR(__xludf.DUMMYFUNCTION("GOOGLETRANSLATE(D:D,""auto"",""en"")"),"National new confirmed cases 2009 cases")</f>
        <v>National new confirmed cases 2009 cases</v>
      </c>
      <c r="D2311" s="4" t="s">
        <v>3930</v>
      </c>
      <c r="E2311" s="4">
        <v>1.2125591E7</v>
      </c>
      <c r="F2311" s="4">
        <v>10.0</v>
      </c>
      <c r="G2311" s="4" t="s">
        <v>3931</v>
      </c>
    </row>
    <row r="2312">
      <c r="A2312" s="1">
        <v>2310.0</v>
      </c>
      <c r="B2312" s="4" t="s">
        <v>3915</v>
      </c>
      <c r="C2312" s="4" t="str">
        <f>IFERROR(__xludf.DUMMYFUNCTION("GOOGLETRANSLATE(D:D,""auto"",""en"")"),"Pillow book fox dance")</f>
        <v>Pillow book fox dance</v>
      </c>
      <c r="D2312" s="4" t="s">
        <v>3869</v>
      </c>
      <c r="E2312" s="4">
        <v>1.2023306E7</v>
      </c>
      <c r="F2312" s="4">
        <v>11.0</v>
      </c>
      <c r="G2312" s="4" t="s">
        <v>3870</v>
      </c>
    </row>
    <row r="2313">
      <c r="A2313" s="1">
        <v>2311.0</v>
      </c>
      <c r="B2313" s="4" t="s">
        <v>3915</v>
      </c>
      <c r="C2313" s="4" t="str">
        <f>IFERROR(__xludf.DUMMYFUNCTION("GOOGLETRANSLATE(D:D,""auto"",""en"")"),"Wuhan Institute of Virology currently zero infection")</f>
        <v>Wuhan Institute of Virology currently zero infection</v>
      </c>
      <c r="D2313" s="4" t="s">
        <v>3932</v>
      </c>
      <c r="E2313" s="4">
        <v>1.2013044E7</v>
      </c>
      <c r="F2313" s="4">
        <v>12.0</v>
      </c>
      <c r="G2313" s="4" t="s">
        <v>3933</v>
      </c>
    </row>
    <row r="2314">
      <c r="A2314" s="1">
        <v>2312.0</v>
      </c>
      <c r="B2314" s="4" t="s">
        <v>3915</v>
      </c>
      <c r="C2314" s="4" t="str">
        <f>IFERROR(__xludf.DUMMYFUNCTION("GOOGLETRANSLATE(D:D,""auto"",""en"")"),"Guo Kirin reverse dubbing SEVEN months I")</f>
        <v>Guo Kirin reverse dubbing SEVEN months I</v>
      </c>
      <c r="D2314" s="4" t="s">
        <v>3934</v>
      </c>
      <c r="E2314" s="4">
        <v>1.1719982E7</v>
      </c>
      <c r="F2314" s="4">
        <v>13.0</v>
      </c>
      <c r="G2314" s="4" t="s">
        <v>3935</v>
      </c>
    </row>
    <row r="2315">
      <c r="A2315" s="1">
        <v>2313.0</v>
      </c>
      <c r="B2315" s="4" t="s">
        <v>3915</v>
      </c>
      <c r="C2315" s="4" t="str">
        <f>IFERROR(__xludf.DUMMYFUNCTION("GOOGLETRANSLATE(D:D,""auto"",""en"")"),"Hunan, Hubei cumulative aid medical team 1059 people")</f>
        <v>Hunan, Hubei cumulative aid medical team 1059 people</v>
      </c>
      <c r="D2315" s="4" t="s">
        <v>3936</v>
      </c>
      <c r="E2315" s="4">
        <v>1.1474699E7</v>
      </c>
      <c r="F2315" s="4">
        <v>14.0</v>
      </c>
      <c r="G2315" s="4" t="s">
        <v>3937</v>
      </c>
    </row>
    <row r="2316">
      <c r="A2316" s="1">
        <v>2314.0</v>
      </c>
      <c r="B2316" s="4" t="s">
        <v>3915</v>
      </c>
      <c r="C2316" s="4" t="str">
        <f>IFERROR(__xludf.DUMMYFUNCTION("GOOGLETRANSLATE(D:D,""auto"",""en"")"),"Wang Yaoqing dubbing Legend of White Snake")</f>
        <v>Wang Yaoqing dubbing Legend of White Snake</v>
      </c>
      <c r="D2316" s="4" t="s">
        <v>3938</v>
      </c>
      <c r="E2316" s="4">
        <v>1.123262E7</v>
      </c>
      <c r="F2316" s="4">
        <v>15.0</v>
      </c>
      <c r="G2316" s="4" t="s">
        <v>3939</v>
      </c>
    </row>
    <row r="2317">
      <c r="A2317" s="1">
        <v>2315.0</v>
      </c>
      <c r="B2317" s="4" t="s">
        <v>3915</v>
      </c>
      <c r="C2317" s="4" t="str">
        <f>IFERROR(__xludf.DUMMYFUNCTION("GOOGLETRANSLATE(D:D,""auto"",""en"")"),"World Day pangolin")</f>
        <v>World Day pangolin</v>
      </c>
      <c r="D2317" s="4" t="s">
        <v>3940</v>
      </c>
      <c r="E2317" s="4">
        <v>1.0995376E7</v>
      </c>
      <c r="F2317" s="4">
        <v>16.0</v>
      </c>
      <c r="G2317" s="4" t="s">
        <v>3941</v>
      </c>
    </row>
    <row r="2318">
      <c r="A2318" s="1">
        <v>2316.0</v>
      </c>
      <c r="B2318" s="4" t="s">
        <v>3915</v>
      </c>
      <c r="C2318" s="4" t="str">
        <f>IFERROR(__xludf.DUMMYFUNCTION("GOOGLETRANSLATE(D:D,""auto"",""en"")"),"And one thousand Xi with box")</f>
        <v>And one thousand Xi with box</v>
      </c>
      <c r="D2318" s="4" t="s">
        <v>3942</v>
      </c>
      <c r="E2318" s="4">
        <v>1.0875972E7</v>
      </c>
      <c r="F2318" s="4">
        <v>17.0</v>
      </c>
      <c r="G2318" s="4" t="s">
        <v>3943</v>
      </c>
    </row>
    <row r="2319">
      <c r="A2319" s="1">
        <v>2317.0</v>
      </c>
      <c r="B2319" s="4" t="s">
        <v>3915</v>
      </c>
      <c r="C2319" s="4" t="str">
        <f>IFERROR(__xludf.DUMMYFUNCTION("GOOGLETRANSLATE(D:D,""auto"",""en"")"),"Semporna fire")</f>
        <v>Semporna fire</v>
      </c>
      <c r="D2319" s="4" t="s">
        <v>3944</v>
      </c>
      <c r="E2319" s="4">
        <v>1.0772614E7</v>
      </c>
      <c r="F2319" s="4">
        <v>18.0</v>
      </c>
      <c r="G2319" s="4" t="s">
        <v>3945</v>
      </c>
    </row>
    <row r="2320">
      <c r="A2320" s="1">
        <v>2318.0</v>
      </c>
      <c r="B2320" s="4" t="s">
        <v>3915</v>
      </c>
      <c r="C2320" s="4" t="str">
        <f>IFERROR(__xludf.DUMMYFUNCTION("GOOGLETRANSLATE(D:D,""auto"",""en"")"),"Omission of information caused the patient to be treated people hanging Wuhan")</f>
        <v>Omission of information caused the patient to be treated people hanging Wuhan</v>
      </c>
      <c r="D2320" s="4" t="s">
        <v>3946</v>
      </c>
      <c r="E2320" s="4">
        <v>1.0748484E7</v>
      </c>
      <c r="F2320" s="4">
        <v>19.0</v>
      </c>
      <c r="G2320" s="4" t="s">
        <v>3947</v>
      </c>
    </row>
    <row r="2321">
      <c r="A2321" s="1">
        <v>2319.0</v>
      </c>
      <c r="B2321" s="4" t="s">
        <v>3915</v>
      </c>
      <c r="C2321" s="4" t="str">
        <f>IFERROR(__xludf.DUMMYFUNCTION("GOOGLETRANSLATE(D:D,""auto"",""en"")"),"Doctors Jiangsu married the next day expedition")</f>
        <v>Doctors Jiangsu married the next day expedition</v>
      </c>
      <c r="D2321" s="4" t="s">
        <v>3948</v>
      </c>
      <c r="E2321" s="4">
        <v>1.0747634E7</v>
      </c>
      <c r="F2321" s="4">
        <v>20.0</v>
      </c>
      <c r="G2321" s="4" t="s">
        <v>3949</v>
      </c>
    </row>
    <row r="2322">
      <c r="A2322" s="1">
        <v>2320.0</v>
      </c>
      <c r="B2322" s="4" t="s">
        <v>3915</v>
      </c>
      <c r="C2322" s="4" t="str">
        <f>IFERROR(__xludf.DUMMYFUNCTION("GOOGLETRANSLATE(D:D,""auto"",""en"")"),"In reality dumplings Lee handsome")</f>
        <v>In reality dumplings Lee handsome</v>
      </c>
      <c r="D2322" s="4" t="s">
        <v>3950</v>
      </c>
      <c r="E2322" s="4">
        <v>1.0725239E7</v>
      </c>
      <c r="F2322" s="4">
        <v>21.0</v>
      </c>
      <c r="G2322" s="4" t="s">
        <v>3951</v>
      </c>
    </row>
    <row r="2323">
      <c r="A2323" s="1">
        <v>2321.0</v>
      </c>
      <c r="B2323" s="4" t="s">
        <v>3915</v>
      </c>
      <c r="C2323" s="4" t="str">
        <f>IFERROR(__xludf.DUMMYFUNCTION("GOOGLETRANSLATE(D:D,""auto"",""en"")"),"Beijing caused a patient diagnosed with dozens of colleagues isolated")</f>
        <v>Beijing caused a patient diagnosed with dozens of colleagues isolated</v>
      </c>
      <c r="D2323" s="4" t="s">
        <v>3952</v>
      </c>
      <c r="E2323" s="4">
        <v>1.0598899E7</v>
      </c>
      <c r="F2323" s="4">
        <v>22.0</v>
      </c>
      <c r="G2323" s="4" t="s">
        <v>3953</v>
      </c>
    </row>
    <row r="2324">
      <c r="A2324" s="1">
        <v>2322.0</v>
      </c>
      <c r="B2324" s="4" t="s">
        <v>3915</v>
      </c>
      <c r="C2324" s="4" t="str">
        <f>IFERROR(__xludf.DUMMYFUNCTION("GOOGLETRANSLATE(D:D,""auto"",""en"")"),"Taking a hug Vulcan Mountain discharged patients care")</f>
        <v>Taking a hug Vulcan Mountain discharged patients care</v>
      </c>
      <c r="D2324" s="4" t="s">
        <v>3954</v>
      </c>
      <c r="E2324" s="4">
        <v>1.0460328E7</v>
      </c>
      <c r="F2324" s="4">
        <v>23.0</v>
      </c>
      <c r="G2324" s="4" t="s">
        <v>3955</v>
      </c>
    </row>
    <row r="2325">
      <c r="A2325" s="1">
        <v>2323.0</v>
      </c>
      <c r="B2325" s="4" t="s">
        <v>3915</v>
      </c>
      <c r="C2325" s="4" t="str">
        <f>IFERROR(__xludf.DUMMYFUNCTION("GOOGLETRANSLATE(D:D,""auto"",""en"")"),"Prince Stephy")</f>
        <v>Prince Stephy</v>
      </c>
      <c r="D2325" s="4" t="s">
        <v>3871</v>
      </c>
      <c r="E2325" s="4">
        <v>1.0377068E7</v>
      </c>
      <c r="F2325" s="4">
        <v>24.0</v>
      </c>
      <c r="G2325" s="4" t="s">
        <v>3872</v>
      </c>
    </row>
    <row r="2326">
      <c r="A2326" s="1">
        <v>2324.0</v>
      </c>
      <c r="B2326" s="4" t="s">
        <v>3915</v>
      </c>
      <c r="C2326" s="4" t="str">
        <f>IFERROR(__xludf.DUMMYFUNCTION("GOOGLETRANSLATE(D:D,""auto"",""en"")"),"Li Ruzhi your chicken came")</f>
        <v>Li Ruzhi your chicken came</v>
      </c>
      <c r="D2326" s="4" t="s">
        <v>3956</v>
      </c>
      <c r="E2326" s="4">
        <v>1.0316116E7</v>
      </c>
      <c r="F2326" s="4">
        <v>25.0</v>
      </c>
      <c r="G2326" s="4" t="s">
        <v>3957</v>
      </c>
    </row>
    <row r="2327">
      <c r="A2327" s="1">
        <v>2325.0</v>
      </c>
      <c r="B2327" s="4" t="s">
        <v>3915</v>
      </c>
      <c r="C2327" s="4" t="str">
        <f>IFERROR(__xludf.DUMMYFUNCTION("GOOGLETRANSLATE(D:D,""auto"",""en"")"),"Please grant the title of martyr killed medical staff")</f>
        <v>Please grant the title of martyr killed medical staff</v>
      </c>
      <c r="D2327" s="4" t="s">
        <v>3958</v>
      </c>
      <c r="E2327" s="4">
        <v>1.0258342E7</v>
      </c>
      <c r="F2327" s="4">
        <v>26.0</v>
      </c>
      <c r="G2327" s="4" t="s">
        <v>3959</v>
      </c>
    </row>
    <row r="2328">
      <c r="A2328" s="1">
        <v>2326.0</v>
      </c>
      <c r="B2328" s="4" t="s">
        <v>3915</v>
      </c>
      <c r="C2328" s="4" t="str">
        <f>IFERROR(__xludf.DUMMYFUNCTION("GOOGLETRANSLATE(D:D,""auto"",""en"")"),"African Desert Locust")</f>
        <v>African Desert Locust</v>
      </c>
      <c r="D2328" s="4" t="s">
        <v>3960</v>
      </c>
      <c r="E2328" s="4">
        <v>1.0107765E7</v>
      </c>
      <c r="F2328" s="4">
        <v>27.0</v>
      </c>
      <c r="G2328" s="4" t="s">
        <v>3961</v>
      </c>
    </row>
    <row r="2329">
      <c r="A2329" s="1">
        <v>2327.0</v>
      </c>
      <c r="B2329" s="4" t="s">
        <v>3915</v>
      </c>
      <c r="C2329" s="4" t="str">
        <f>IFERROR(__xludf.DUMMYFUNCTION("GOOGLETRANSLATE(D:D,""auto"",""en"")"),"Raytheon Dean Hill epidemic inflection point has arrived")</f>
        <v>Raytheon Dean Hill epidemic inflection point has arrived</v>
      </c>
      <c r="D2329" s="4" t="s">
        <v>3962</v>
      </c>
      <c r="E2329" s="4">
        <v>1.002477E7</v>
      </c>
      <c r="F2329" s="4">
        <v>28.0</v>
      </c>
      <c r="G2329" s="4" t="s">
        <v>3963</v>
      </c>
    </row>
    <row r="2330">
      <c r="A2330" s="1">
        <v>2328.0</v>
      </c>
      <c r="B2330" s="4" t="s">
        <v>3915</v>
      </c>
      <c r="C2330" s="4" t="str">
        <f>IFERROR(__xludf.DUMMYFUNCTION("GOOGLETRANSLATE(D:D,""auto"",""en"")"),"4 consecutive days cured over a thousand")</f>
        <v>4 consecutive days cured over a thousand</v>
      </c>
      <c r="D2330" s="4" t="s">
        <v>3964</v>
      </c>
      <c r="E2330" s="4">
        <v>9931698.0</v>
      </c>
      <c r="F2330" s="4">
        <v>29.0</v>
      </c>
      <c r="G2330" s="4" t="s">
        <v>3965</v>
      </c>
    </row>
    <row r="2331">
      <c r="A2331" s="1">
        <v>2329.0</v>
      </c>
      <c r="B2331" s="4" t="s">
        <v>3915</v>
      </c>
      <c r="C2331" s="4" t="str">
        <f>IFERROR(__xludf.DUMMYFUNCTION("GOOGLETRANSLATE(D:D,""auto"",""en"")"),"Cerebral palsy brother was small takeaway title")</f>
        <v>Cerebral palsy brother was small takeaway title</v>
      </c>
      <c r="D2331" s="4" t="s">
        <v>3966</v>
      </c>
      <c r="E2331" s="4">
        <v>9923928.0</v>
      </c>
      <c r="F2331" s="4">
        <v>30.0</v>
      </c>
      <c r="G2331" s="4" t="s">
        <v>3967</v>
      </c>
    </row>
    <row r="2332">
      <c r="A2332" s="1">
        <v>2330.0</v>
      </c>
      <c r="B2332" s="4" t="s">
        <v>3915</v>
      </c>
      <c r="C2332" s="4" t="str">
        <f>IFERROR(__xludf.DUMMYFUNCTION("GOOGLETRANSLATE(D:D,""auto"",""en"")"),"Wuhan airport tower warm heart talk")</f>
        <v>Wuhan airport tower warm heart talk</v>
      </c>
      <c r="D2332" s="4" t="s">
        <v>3968</v>
      </c>
      <c r="E2332" s="4">
        <v>9909270.0</v>
      </c>
      <c r="F2332" s="4">
        <v>31.0</v>
      </c>
      <c r="G2332" s="4" t="s">
        <v>3969</v>
      </c>
    </row>
    <row r="2333">
      <c r="A2333" s="1">
        <v>2331.0</v>
      </c>
      <c r="B2333" s="4" t="s">
        <v>3915</v>
      </c>
      <c r="C2333" s="4" t="str">
        <f>IFERROR(__xludf.DUMMYFUNCTION("GOOGLETRANSLATE(D:D,""auto"",""en"")"),"Sean Sun paper blowing the whole network game challenge")</f>
        <v>Sean Sun paper blowing the whole network game challenge</v>
      </c>
      <c r="D2333" s="4" t="s">
        <v>3970</v>
      </c>
      <c r="E2333" s="4">
        <v>9874570.0</v>
      </c>
      <c r="F2333" s="4">
        <v>32.0</v>
      </c>
      <c r="G2333" s="4" t="s">
        <v>3971</v>
      </c>
    </row>
    <row r="2334">
      <c r="A2334" s="1">
        <v>2332.0</v>
      </c>
      <c r="B2334" s="4" t="s">
        <v>3915</v>
      </c>
      <c r="C2334" s="4" t="str">
        <f>IFERROR(__xludf.DUMMYFUNCTION("GOOGLETRANSLATE(D:D,""auto"",""en"")"),"The new crown pneumonia has become popular in Japan")</f>
        <v>The new crown pneumonia has become popular in Japan</v>
      </c>
      <c r="D2334" s="4" t="s">
        <v>3972</v>
      </c>
      <c r="E2334" s="4">
        <v>9742957.0</v>
      </c>
      <c r="F2334" s="4">
        <v>33.0</v>
      </c>
      <c r="G2334" s="4" t="s">
        <v>3973</v>
      </c>
    </row>
    <row r="2335">
      <c r="A2335" s="1">
        <v>2333.0</v>
      </c>
      <c r="B2335" s="4" t="s">
        <v>3915</v>
      </c>
      <c r="C2335" s="4" t="str">
        <f>IFERROR(__xludf.DUMMYFUNCTION("GOOGLETRANSLATE(D:D,""auto"",""en"")"),"Provincial Commission for Discipline Inspection deputy director diagnosed refused to respond to retirement isolation")</f>
        <v>Provincial Commission for Discipline Inspection deputy director diagnosed refused to respond to retirement isolation</v>
      </c>
      <c r="D2335" s="4" t="s">
        <v>3974</v>
      </c>
      <c r="E2335" s="4">
        <v>9729725.0</v>
      </c>
      <c r="F2335" s="4">
        <v>34.0</v>
      </c>
      <c r="G2335" s="4" t="s">
        <v>3975</v>
      </c>
    </row>
    <row r="2336">
      <c r="A2336" s="1">
        <v>2334.0</v>
      </c>
      <c r="B2336" s="4" t="s">
        <v>3915</v>
      </c>
      <c r="C2336" s="4" t="str">
        <f>IFERROR(__xludf.DUMMYFUNCTION("GOOGLETRANSLATE(D:D,""auto"",""en"")"),"Jacky bag child home")</f>
        <v>Jacky bag child home</v>
      </c>
      <c r="D2336" s="4" t="s">
        <v>3976</v>
      </c>
      <c r="E2336" s="4">
        <v>9703841.0</v>
      </c>
      <c r="F2336" s="4">
        <v>35.0</v>
      </c>
      <c r="G2336" s="4" t="s">
        <v>3977</v>
      </c>
    </row>
    <row r="2337">
      <c r="A2337" s="1">
        <v>2335.0</v>
      </c>
      <c r="B2337" s="4" t="s">
        <v>3915</v>
      </c>
      <c r="C2337" s="4" t="str">
        <f>IFERROR(__xludf.DUMMYFUNCTION("GOOGLETRANSLATE(D:D,""auto"",""en"")"),"Mahjong masks handed awards")</f>
        <v>Mahjong masks handed awards</v>
      </c>
      <c r="D2337" s="4" t="s">
        <v>3978</v>
      </c>
      <c r="E2337" s="4">
        <v>9673578.0</v>
      </c>
      <c r="F2337" s="4">
        <v>36.0</v>
      </c>
      <c r="G2337" s="4" t="s">
        <v>3979</v>
      </c>
    </row>
    <row r="2338">
      <c r="A2338" s="1">
        <v>2336.0</v>
      </c>
      <c r="B2338" s="4" t="s">
        <v>3915</v>
      </c>
      <c r="C2338" s="4" t="str">
        <f>IFERROR(__xludf.DUMMYFUNCTION("GOOGLETRANSLATE(D:D,""auto"",""en"")"),"Or locust June soared to 500 times")</f>
        <v>Or locust June soared to 500 times</v>
      </c>
      <c r="D2338" s="4" t="s">
        <v>3980</v>
      </c>
      <c r="E2338" s="4">
        <v>9634079.0</v>
      </c>
      <c r="F2338" s="4">
        <v>37.0</v>
      </c>
      <c r="G2338" s="4" t="s">
        <v>3981</v>
      </c>
    </row>
    <row r="2339">
      <c r="A2339" s="1">
        <v>2337.0</v>
      </c>
      <c r="B2339" s="4" t="s">
        <v>3915</v>
      </c>
      <c r="C2339" s="4" t="str">
        <f>IFERROR(__xludf.DUMMYFUNCTION("GOOGLETRANSLATE(D:D,""auto"",""en"")"),"Song Weilong straight man operation")</f>
        <v>Song Weilong straight man operation</v>
      </c>
      <c r="D2339" s="4" t="s">
        <v>3982</v>
      </c>
      <c r="E2339" s="4">
        <v>9594350.0</v>
      </c>
      <c r="F2339" s="4">
        <v>38.0</v>
      </c>
      <c r="G2339" s="4" t="s">
        <v>3983</v>
      </c>
    </row>
    <row r="2340">
      <c r="A2340" s="1">
        <v>2338.0</v>
      </c>
      <c r="B2340" s="4" t="s">
        <v>3915</v>
      </c>
      <c r="C2340" s="4" t="str">
        <f>IFERROR(__xludf.DUMMYFUNCTION("GOOGLETRANSLATE(D:D,""auto"",""en"")"),"Snow in the epidemic checkpoint")</f>
        <v>Snow in the epidemic checkpoint</v>
      </c>
      <c r="D2340" s="4" t="s">
        <v>3984</v>
      </c>
      <c r="E2340" s="4">
        <v>9593664.0</v>
      </c>
      <c r="F2340" s="4">
        <v>39.0</v>
      </c>
      <c r="G2340" s="4" t="s">
        <v>3985</v>
      </c>
    </row>
    <row r="2341">
      <c r="A2341" s="1">
        <v>2339.0</v>
      </c>
      <c r="B2341" s="4" t="s">
        <v>3915</v>
      </c>
      <c r="C2341" s="4" t="str">
        <f>IFERROR(__xludf.DUMMYFUNCTION("GOOGLETRANSLATE(D:D,""auto"",""en"")"),"National epidemic prevention and control has yielded good results")</f>
        <v>National epidemic prevention and control has yielded good results</v>
      </c>
      <c r="D2341" s="4" t="s">
        <v>3986</v>
      </c>
      <c r="E2341" s="4">
        <v>9541460.0</v>
      </c>
      <c r="F2341" s="4">
        <v>40.0</v>
      </c>
      <c r="G2341" s="4" t="s">
        <v>3987</v>
      </c>
    </row>
    <row r="2342">
      <c r="A2342" s="1">
        <v>2340.0</v>
      </c>
      <c r="B2342" s="4" t="s">
        <v>3915</v>
      </c>
      <c r="C2342" s="4" t="str">
        <f>IFERROR(__xludf.DUMMYFUNCTION("GOOGLETRANSLATE(D:D,""auto"",""en"")"),"Hubei new confirmed cases 1843 cases")</f>
        <v>Hubei new confirmed cases 1843 cases</v>
      </c>
      <c r="D2342" s="4" t="s">
        <v>3988</v>
      </c>
      <c r="E2342" s="4">
        <v>9524326.0</v>
      </c>
      <c r="F2342" s="4">
        <v>41.0</v>
      </c>
      <c r="G2342" s="4" t="s">
        <v>3989</v>
      </c>
    </row>
    <row r="2343">
      <c r="A2343" s="1">
        <v>2341.0</v>
      </c>
      <c r="B2343" s="4" t="s">
        <v>3915</v>
      </c>
      <c r="C2343" s="4" t="str">
        <f>IFERROR(__xludf.DUMMYFUNCTION("GOOGLETRANSLATE(D:D,""auto"",""en"")"),"BLACKPINK VOGUE Cover")</f>
        <v>BLACKPINK VOGUE Cover</v>
      </c>
      <c r="D2343" s="4" t="s">
        <v>3990</v>
      </c>
      <c r="E2343" s="4">
        <v>9470057.0</v>
      </c>
      <c r="F2343" s="4">
        <v>42.0</v>
      </c>
      <c r="G2343" s="4" t="s">
        <v>3991</v>
      </c>
    </row>
    <row r="2344">
      <c r="A2344" s="1">
        <v>2342.0</v>
      </c>
      <c r="B2344" s="4" t="s">
        <v>3915</v>
      </c>
      <c r="C2344" s="4" t="str">
        <f>IFERROR(__xludf.DUMMYFUNCTION("GOOGLETRANSLATE(D:D,""auto"",""en"")"),"Free and open to all the scenic spots nationwide medical workers")</f>
        <v>Free and open to all the scenic spots nationwide medical workers</v>
      </c>
      <c r="D2344" s="4" t="s">
        <v>3992</v>
      </c>
      <c r="E2344" s="4">
        <v>9429752.0</v>
      </c>
      <c r="F2344" s="4">
        <v>43.0</v>
      </c>
      <c r="G2344" s="4" t="s">
        <v>3993</v>
      </c>
    </row>
    <row r="2345">
      <c r="A2345" s="1">
        <v>2343.0</v>
      </c>
      <c r="B2345" s="4" t="s">
        <v>3915</v>
      </c>
      <c r="C2345" s="4" t="str">
        <f>IFERROR(__xludf.DUMMYFUNCTION("GOOGLETRANSLATE(D:D,""auto"",""en"")"),"Gamma Knife inventor Duan Duan Cheng died academician")</f>
        <v>Gamma Knife inventor Duan Duan Cheng died academician</v>
      </c>
      <c r="D2345" s="4" t="s">
        <v>3994</v>
      </c>
      <c r="E2345" s="4">
        <v>9372915.0</v>
      </c>
      <c r="F2345" s="4">
        <v>44.0</v>
      </c>
      <c r="G2345" s="4" t="s">
        <v>3995</v>
      </c>
    </row>
    <row r="2346">
      <c r="A2346" s="1">
        <v>2344.0</v>
      </c>
      <c r="B2346" s="4" t="s">
        <v>3915</v>
      </c>
      <c r="C2346" s="4" t="str">
        <f>IFERROR(__xludf.DUMMYFUNCTION("GOOGLETRANSLATE(D:D,""auto"",""en"")"),"Wuhan severe cases share declined to 21.6%")</f>
        <v>Wuhan severe cases share declined to 21.6%</v>
      </c>
      <c r="D2346" s="4" t="s">
        <v>3996</v>
      </c>
      <c r="E2346" s="4">
        <v>9358282.0</v>
      </c>
      <c r="F2346" s="4">
        <v>45.0</v>
      </c>
      <c r="G2346" s="4" t="s">
        <v>3997</v>
      </c>
    </row>
    <row r="2347">
      <c r="A2347" s="1">
        <v>2345.0</v>
      </c>
      <c r="B2347" s="4" t="s">
        <v>3915</v>
      </c>
      <c r="C2347" s="4" t="str">
        <f>IFERROR(__xludf.DUMMYFUNCTION("GOOGLETRANSLATE(D:D,""auto"",""en"")"),"Gao Fu appeared to respond to false rumors")</f>
        <v>Gao Fu appeared to respond to false rumors</v>
      </c>
      <c r="D2347" s="4" t="s">
        <v>3998</v>
      </c>
      <c r="E2347" s="4">
        <v>9283786.0</v>
      </c>
      <c r="F2347" s="4">
        <v>46.0</v>
      </c>
      <c r="G2347" s="4" t="s">
        <v>3999</v>
      </c>
    </row>
    <row r="2348">
      <c r="A2348" s="1">
        <v>2346.0</v>
      </c>
      <c r="B2348" s="4" t="s">
        <v>3915</v>
      </c>
      <c r="C2348" s="4" t="str">
        <f>IFERROR(__xludf.DUMMYFUNCTION("GOOGLETRANSLATE(D:D,""auto"",""en"")"),"12 new cases even lower than the Hubei")</f>
        <v>12 new cases even lower than the Hubei</v>
      </c>
      <c r="D2348" s="4" t="s">
        <v>4000</v>
      </c>
      <c r="E2348" s="4">
        <v>9215559.0</v>
      </c>
      <c r="F2348" s="4">
        <v>47.0</v>
      </c>
      <c r="G2348" s="4" t="s">
        <v>4001</v>
      </c>
    </row>
    <row r="2349">
      <c r="A2349" s="1">
        <v>2347.0</v>
      </c>
      <c r="B2349" s="4" t="s">
        <v>3915</v>
      </c>
      <c r="C2349" s="4" t="str">
        <f>IFERROR(__xludf.DUMMYFUNCTION("GOOGLETRANSLATE(D:D,""auto"",""en"")"),"See you add a new ending shot")</f>
        <v>See you add a new ending shot</v>
      </c>
      <c r="D2349" s="4" t="s">
        <v>4002</v>
      </c>
      <c r="E2349" s="4">
        <v>9187304.0</v>
      </c>
      <c r="F2349" s="4">
        <v>48.0</v>
      </c>
      <c r="G2349" s="4" t="s">
        <v>4003</v>
      </c>
    </row>
    <row r="2350">
      <c r="A2350" s="1">
        <v>2348.0</v>
      </c>
      <c r="B2350" s="4" t="s">
        <v>3915</v>
      </c>
      <c r="C2350" s="4" t="str">
        <f>IFERROR(__xludf.DUMMYFUNCTION("GOOGLETRANSLATE(D:D,""auto"",""en"")"),"Medical team captain hardcore lecture")</f>
        <v>Medical team captain hardcore lecture</v>
      </c>
      <c r="D2350" s="4" t="s">
        <v>4004</v>
      </c>
      <c r="E2350" s="4">
        <v>8965197.0</v>
      </c>
      <c r="F2350" s="4">
        <v>49.0</v>
      </c>
      <c r="G2350" s="4" t="s">
        <v>4005</v>
      </c>
    </row>
    <row r="2351">
      <c r="A2351" s="1">
        <v>2349.0</v>
      </c>
      <c r="B2351" s="4" t="s">
        <v>3915</v>
      </c>
      <c r="C2351" s="4" t="str">
        <f>IFERROR(__xludf.DUMMYFUNCTION("GOOGLETRANSLATE(D:D,""auto"",""en"")"),"NBA Slam Dunk Contest")</f>
        <v>NBA Slam Dunk Contest</v>
      </c>
      <c r="D2351" s="4" t="s">
        <v>4006</v>
      </c>
      <c r="E2351" s="4">
        <v>8931608.0</v>
      </c>
      <c r="F2351" s="4">
        <v>50.0</v>
      </c>
      <c r="G2351" s="4" t="s">
        <v>4007</v>
      </c>
    </row>
    <row r="2352">
      <c r="A2352" s="1">
        <v>2350.0</v>
      </c>
      <c r="B2352" s="4" t="s">
        <v>4008</v>
      </c>
      <c r="C2352" s="4" t="str">
        <f>IFERROR(__xludf.DUMMYFUNCTION("GOOGLETRANSLATE(D:D,""auto"",""en"")"),"Li praised him for his handsome now respond dumplings")</f>
        <v>Li praised him for his handsome now respond dumplings</v>
      </c>
      <c r="D2352" s="4" t="s">
        <v>3916</v>
      </c>
      <c r="E2352" s="4">
        <v>1.5633806E7</v>
      </c>
      <c r="F2352" s="4">
        <v>1.0</v>
      </c>
      <c r="G2352" s="4" t="s">
        <v>3917</v>
      </c>
    </row>
    <row r="2353">
      <c r="A2353" s="1">
        <v>2351.0</v>
      </c>
      <c r="B2353" s="4" t="s">
        <v>4008</v>
      </c>
      <c r="C2353" s="4" t="str">
        <f>IFERROR(__xludf.DUMMYFUNCTION("GOOGLETRANSLATE(D:D,""auto"",""en"")"),"In reality dumplings Lee handsome")</f>
        <v>In reality dumplings Lee handsome</v>
      </c>
      <c r="D2353" s="4" t="s">
        <v>3950</v>
      </c>
      <c r="E2353" s="4">
        <v>1.3600878E7</v>
      </c>
      <c r="F2353" s="4">
        <v>2.0</v>
      </c>
      <c r="G2353" s="4" t="s">
        <v>3951</v>
      </c>
    </row>
    <row r="2354">
      <c r="A2354" s="1">
        <v>2352.0</v>
      </c>
      <c r="B2354" s="4" t="s">
        <v>4008</v>
      </c>
      <c r="C2354" s="4" t="str">
        <f>IFERROR(__xludf.DUMMYFUNCTION("GOOGLETRANSLATE(D:D,""auto"",""en"")"),"National new confirmed cases 2048 cases")</f>
        <v>National new confirmed cases 2048 cases</v>
      </c>
      <c r="D2354" s="4" t="s">
        <v>4009</v>
      </c>
      <c r="E2354" s="4">
        <v>1.3408843E7</v>
      </c>
      <c r="F2354" s="4">
        <v>3.0</v>
      </c>
      <c r="G2354" s="4" t="s">
        <v>4010</v>
      </c>
    </row>
    <row r="2355">
      <c r="A2355" s="1">
        <v>2353.0</v>
      </c>
      <c r="B2355" s="4" t="s">
        <v>4008</v>
      </c>
      <c r="C2355" s="4" t="str">
        <f>IFERROR(__xludf.DUMMYFUNCTION("GOOGLETRANSLATE(D:D,""auto"",""en"")"),"Xinyang, Henan appear two cases of extraordinary cases")</f>
        <v>Xinyang, Henan appear two cases of extraordinary cases</v>
      </c>
      <c r="D2355" s="4" t="s">
        <v>4011</v>
      </c>
      <c r="E2355" s="4">
        <v>1.3217228E7</v>
      </c>
      <c r="F2355" s="4">
        <v>4.0</v>
      </c>
      <c r="G2355" s="4" t="s">
        <v>4012</v>
      </c>
    </row>
    <row r="2356">
      <c r="A2356" s="1">
        <v>2354.0</v>
      </c>
      <c r="B2356" s="4" t="s">
        <v>4008</v>
      </c>
      <c r="C2356" s="4" t="str">
        <f>IFERROR(__xludf.DUMMYFUNCTION("GOOGLETRANSLATE(D:D,""auto"",""en"")"),"Happy Birthday child Vigo")</f>
        <v>Happy Birthday child Vigo</v>
      </c>
      <c r="D2356" s="4" t="s">
        <v>4013</v>
      </c>
      <c r="E2356" s="4">
        <v>1.2893983E7</v>
      </c>
      <c r="F2356" s="4">
        <v>5.0</v>
      </c>
      <c r="G2356" s="4" t="s">
        <v>4014</v>
      </c>
    </row>
    <row r="2357">
      <c r="A2357" s="1">
        <v>2355.0</v>
      </c>
      <c r="B2357" s="4" t="s">
        <v>4008</v>
      </c>
      <c r="C2357" s="4" t="str">
        <f>IFERROR(__xludf.DUMMYFUNCTION("GOOGLETRANSLATE(D:D,""auto"",""en"")"),"Li Ruzhi your chicken came")</f>
        <v>Li Ruzhi your chicken came</v>
      </c>
      <c r="D2357" s="4" t="s">
        <v>3956</v>
      </c>
      <c r="E2357" s="4">
        <v>1.2560214E7</v>
      </c>
      <c r="F2357" s="4">
        <v>6.0</v>
      </c>
      <c r="G2357" s="4" t="s">
        <v>3957</v>
      </c>
    </row>
    <row r="2358">
      <c r="A2358" s="1">
        <v>2356.0</v>
      </c>
      <c r="B2358" s="4" t="s">
        <v>4008</v>
      </c>
      <c r="C2358" s="4" t="str">
        <f>IFERROR(__xludf.DUMMYFUNCTION("GOOGLETRANSLATE(D:D,""auto"",""en"")"),"Of the total cases were cured broken million")</f>
        <v>Of the total cases were cured broken million</v>
      </c>
      <c r="D2358" s="4" t="s">
        <v>4015</v>
      </c>
      <c r="E2358" s="4">
        <v>1.2366362E7</v>
      </c>
      <c r="F2358" s="4">
        <v>7.0</v>
      </c>
      <c r="G2358" s="4" t="s">
        <v>4016</v>
      </c>
    </row>
    <row r="2359">
      <c r="A2359" s="1">
        <v>2357.0</v>
      </c>
      <c r="B2359" s="4" t="s">
        <v>4008</v>
      </c>
      <c r="C2359" s="4" t="str">
        <f>IFERROR(__xludf.DUMMYFUNCTION("GOOGLETRANSLATE(D:D,""auto"",""en"")"),"Tan Song Yun wants to see you sing")</f>
        <v>Tan Song Yun wants to see you sing</v>
      </c>
      <c r="D2359" s="4" t="s">
        <v>4017</v>
      </c>
      <c r="E2359" s="4">
        <v>1.2312008E7</v>
      </c>
      <c r="F2359" s="4">
        <v>8.0</v>
      </c>
      <c r="G2359" s="4" t="s">
        <v>4018</v>
      </c>
    </row>
    <row r="2360">
      <c r="A2360" s="1">
        <v>2358.0</v>
      </c>
      <c r="B2360" s="4" t="s">
        <v>4008</v>
      </c>
      <c r="C2360" s="4" t="str">
        <f>IFERROR(__xludf.DUMMYFUNCTION("GOOGLETRANSLATE(D:D,""auto"",""en"")"),"And one thousand Xi with box")</f>
        <v>And one thousand Xi with box</v>
      </c>
      <c r="D2360" s="4" t="s">
        <v>3942</v>
      </c>
      <c r="E2360" s="4">
        <v>1.2107376E7</v>
      </c>
      <c r="F2360" s="4">
        <v>9.0</v>
      </c>
      <c r="G2360" s="4" t="s">
        <v>3943</v>
      </c>
    </row>
    <row r="2361">
      <c r="A2361" s="1">
        <v>2359.0</v>
      </c>
      <c r="B2361" s="4" t="s">
        <v>4008</v>
      </c>
      <c r="C2361" s="4" t="str">
        <f>IFERROR(__xludf.DUMMYFUNCTION("GOOGLETRANSLATE(D:D,""auto"",""en"")"),"Desert Locust outbreaks in our country is very low risk")</f>
        <v>Desert Locust outbreaks in our country is very low risk</v>
      </c>
      <c r="D2361" s="4" t="s">
        <v>4019</v>
      </c>
      <c r="E2361" s="4">
        <v>1.1967951E7</v>
      </c>
      <c r="F2361" s="4">
        <v>10.0</v>
      </c>
      <c r="G2361" s="4" t="s">
        <v>4020</v>
      </c>
    </row>
    <row r="2362">
      <c r="A2362" s="1">
        <v>2360.0</v>
      </c>
      <c r="B2362" s="4" t="s">
        <v>4008</v>
      </c>
      <c r="C2362" s="4" t="str">
        <f>IFERROR(__xludf.DUMMYFUNCTION("GOOGLETRANSLATE(D:D,""auto"",""en"")"),"Remote control car trunk when the courier cabinet")</f>
        <v>Remote control car trunk when the courier cabinet</v>
      </c>
      <c r="D2362" s="4" t="s">
        <v>4021</v>
      </c>
      <c r="E2362" s="4">
        <v>1.1700802E7</v>
      </c>
      <c r="F2362" s="4">
        <v>11.0</v>
      </c>
      <c r="G2362" s="4" t="s">
        <v>4022</v>
      </c>
    </row>
    <row r="2363">
      <c r="A2363" s="1">
        <v>2361.0</v>
      </c>
      <c r="B2363" s="4" t="s">
        <v>4008</v>
      </c>
      <c r="C2363" s="4" t="str">
        <f>IFERROR(__xludf.DUMMYFUNCTION("GOOGLETRANSLATE(D:D,""auto"",""en"")"),"Huang Zhibo sister issued")</f>
        <v>Huang Zhibo sister issued</v>
      </c>
      <c r="D2363" s="4" t="s">
        <v>4023</v>
      </c>
      <c r="E2363" s="4">
        <v>1.1615668E7</v>
      </c>
      <c r="F2363" s="4">
        <v>12.0</v>
      </c>
      <c r="G2363" s="4" t="s">
        <v>4024</v>
      </c>
    </row>
    <row r="2364">
      <c r="A2364" s="1">
        <v>2362.0</v>
      </c>
      <c r="B2364" s="4" t="s">
        <v>4008</v>
      </c>
      <c r="C2364" s="4" t="str">
        <f>IFERROR(__xludf.DUMMYFUNCTION("GOOGLETRANSLATE(D:D,""auto"",""en"")"),"Japan 500 000 ginseng marathon")</f>
        <v>Japan 500 000 ginseng marathon</v>
      </c>
      <c r="D2364" s="4" t="s">
        <v>4025</v>
      </c>
      <c r="E2364" s="4">
        <v>1.1468899E7</v>
      </c>
      <c r="F2364" s="4">
        <v>13.0</v>
      </c>
      <c r="G2364" s="4" t="s">
        <v>4026</v>
      </c>
    </row>
    <row r="2365">
      <c r="A2365" s="1">
        <v>2363.0</v>
      </c>
      <c r="B2365" s="4" t="s">
        <v>4008</v>
      </c>
      <c r="C2365" s="4" t="str">
        <f>IFERROR(__xludf.DUMMYFUNCTION("GOOGLETRANSLATE(D:D,""auto"",""en"")"),"Song Yuan Ye Luming father threatened to take the money")</f>
        <v>Song Yuan Ye Luming father threatened to take the money</v>
      </c>
      <c r="D2365" s="4" t="s">
        <v>4027</v>
      </c>
      <c r="E2365" s="4">
        <v>1.1389911E7</v>
      </c>
      <c r="F2365" s="4">
        <v>14.0</v>
      </c>
      <c r="G2365" s="4" t="s">
        <v>4028</v>
      </c>
    </row>
    <row r="2366">
      <c r="A2366" s="1">
        <v>2364.0</v>
      </c>
      <c r="B2366" s="4" t="s">
        <v>4008</v>
      </c>
      <c r="C2366" s="4" t="str">
        <f>IFERROR(__xludf.DUMMYFUNCTION("GOOGLETRANSLATE(D:D,""auto"",""en"")"),"Hubei new crown the new 1933 cases of pneumonia")</f>
        <v>Hubei new crown the new 1933 cases of pneumonia</v>
      </c>
      <c r="D2366" s="4" t="s">
        <v>4029</v>
      </c>
      <c r="E2366" s="4">
        <v>1.1310598E7</v>
      </c>
      <c r="F2366" s="4">
        <v>15.0</v>
      </c>
      <c r="G2366" s="4" t="s">
        <v>4030</v>
      </c>
    </row>
    <row r="2367">
      <c r="A2367" s="1">
        <v>2365.0</v>
      </c>
      <c r="B2367" s="4" t="s">
        <v>4008</v>
      </c>
      <c r="C2367" s="4" t="str">
        <f>IFERROR(__xludf.DUMMYFUNCTION("GOOGLETRANSLATE(D:D,""auto"",""en"")"),"Diamond Princess 40 Americans diagnosed with infection")</f>
        <v>Diamond Princess 40 Americans diagnosed with infection</v>
      </c>
      <c r="D2367" s="4" t="s">
        <v>4031</v>
      </c>
      <c r="E2367" s="4">
        <v>1.1307751E7</v>
      </c>
      <c r="F2367" s="4">
        <v>16.0</v>
      </c>
      <c r="G2367" s="4" t="s">
        <v>4032</v>
      </c>
    </row>
    <row r="2368">
      <c r="A2368" s="1">
        <v>2366.0</v>
      </c>
      <c r="B2368" s="4" t="s">
        <v>4008</v>
      </c>
      <c r="C2368" s="4" t="str">
        <f>IFERROR(__xludf.DUMMYFUNCTION("GOOGLETRANSLATE(D:D,""auto"",""en"")"),"20 transport and other eight transport aircraft to fly again Wuhan")</f>
        <v>20 transport and other eight transport aircraft to fly again Wuhan</v>
      </c>
      <c r="D2368" s="4" t="s">
        <v>4033</v>
      </c>
      <c r="E2368" s="4">
        <v>1.1145359E7</v>
      </c>
      <c r="F2368" s="4">
        <v>17.0</v>
      </c>
      <c r="G2368" s="4" t="s">
        <v>4034</v>
      </c>
    </row>
    <row r="2369">
      <c r="A2369" s="1">
        <v>2367.0</v>
      </c>
      <c r="B2369" s="4" t="s">
        <v>4008</v>
      </c>
      <c r="C2369" s="4" t="str">
        <f>IFERROR(__xludf.DUMMYFUNCTION("GOOGLETRANSLATE(D:D,""auto"",""en"")"),"Chang Kai family of four have died within 12 days")</f>
        <v>Chang Kai family of four have died within 12 days</v>
      </c>
      <c r="D2369" s="4" t="s">
        <v>4035</v>
      </c>
      <c r="E2369" s="4">
        <v>1.0906966E7</v>
      </c>
      <c r="F2369" s="4">
        <v>18.0</v>
      </c>
      <c r="G2369" s="4" t="s">
        <v>4036</v>
      </c>
    </row>
    <row r="2370">
      <c r="A2370" s="1">
        <v>2368.0</v>
      </c>
      <c r="B2370" s="4" t="s">
        <v>4008</v>
      </c>
      <c r="C2370" s="4" t="str">
        <f>IFERROR(__xludf.DUMMYFUNCTION("GOOGLETRANSLATE(D:D,""auto"",""en"")"),"A retired deputy director of the Hubei after diagnosis reject isolation")</f>
        <v>A retired deputy director of the Hubei after diagnosis reject isolation</v>
      </c>
      <c r="D2370" s="4" t="s">
        <v>4037</v>
      </c>
      <c r="E2370" s="4">
        <v>1.088429E7</v>
      </c>
      <c r="F2370" s="4">
        <v>19.0</v>
      </c>
      <c r="G2370" s="4" t="s">
        <v>4038</v>
      </c>
    </row>
    <row r="2371">
      <c r="A2371" s="1">
        <v>2369.0</v>
      </c>
      <c r="B2371" s="4" t="s">
        <v>4008</v>
      </c>
      <c r="C2371" s="4" t="str">
        <f>IFERROR(__xludf.DUMMYFUNCTION("GOOGLETRANSLATE(D:D,""auto"",""en"")"),"A fall of 13 new cases outside Hubei")</f>
        <v>A fall of 13 new cases outside Hubei</v>
      </c>
      <c r="D2371" s="4" t="s">
        <v>4039</v>
      </c>
      <c r="E2371" s="4">
        <v>1.0856089E7</v>
      </c>
      <c r="F2371" s="4">
        <v>20.0</v>
      </c>
      <c r="G2371" s="4" t="s">
        <v>4040</v>
      </c>
    </row>
    <row r="2372">
      <c r="A2372" s="1">
        <v>2370.0</v>
      </c>
      <c r="B2372" s="4" t="s">
        <v>4008</v>
      </c>
      <c r="C2372" s="4" t="str">
        <f>IFERROR(__xludf.DUMMYFUNCTION("GOOGLETRANSLATE(D:D,""auto"",""en"")"),"Girls rub network learning to accompany his father squatting corner")</f>
        <v>Girls rub network learning to accompany his father squatting corner</v>
      </c>
      <c r="D2372" s="4" t="s">
        <v>4041</v>
      </c>
      <c r="E2372" s="4">
        <v>1.0597663E7</v>
      </c>
      <c r="F2372" s="4">
        <v>21.0</v>
      </c>
      <c r="G2372" s="4" t="s">
        <v>4042</v>
      </c>
    </row>
    <row r="2373">
      <c r="A2373" s="1">
        <v>2371.0</v>
      </c>
      <c r="B2373" s="4" t="s">
        <v>4008</v>
      </c>
      <c r="C2373" s="4" t="str">
        <f>IFERROR(__xludf.DUMMYFUNCTION("GOOGLETRANSLATE(D:D,""auto"",""en"")"),"Heilongjiang new 12 cases of pneumonia new crown")</f>
        <v>Heilongjiang new 12 cases of pneumonia new crown</v>
      </c>
      <c r="D2373" s="4" t="s">
        <v>4043</v>
      </c>
      <c r="E2373" s="4">
        <v>1.0495103E7</v>
      </c>
      <c r="F2373" s="4">
        <v>22.0</v>
      </c>
      <c r="G2373" s="4" t="s">
        <v>4044</v>
      </c>
    </row>
    <row r="2374">
      <c r="A2374" s="1">
        <v>2372.0</v>
      </c>
      <c r="B2374" s="4" t="s">
        <v>4008</v>
      </c>
      <c r="C2374" s="4" t="str">
        <f>IFERROR(__xludf.DUMMYFUNCTION("GOOGLETRANSLATE(D:D,""auto"",""en"")"),"Shanxi types of schools school no earlier than March 1")</f>
        <v>Shanxi types of schools school no earlier than March 1</v>
      </c>
      <c r="D2374" s="4" t="s">
        <v>4045</v>
      </c>
      <c r="E2374" s="4">
        <v>1.0481605E7</v>
      </c>
      <c r="F2374" s="4">
        <v>23.0</v>
      </c>
      <c r="G2374" s="4" t="s">
        <v>4046</v>
      </c>
    </row>
    <row r="2375">
      <c r="A2375" s="1">
        <v>2373.0</v>
      </c>
      <c r="B2375" s="4" t="s">
        <v>4008</v>
      </c>
      <c r="C2375" s="4" t="str">
        <f>IFERROR(__xludf.DUMMYFUNCTION("GOOGLETRANSLATE(D:D,""auto"",""en"")"),"Wuhan will carry out a large dragnet investigation")</f>
        <v>Wuhan will carry out a large dragnet investigation</v>
      </c>
      <c r="D2375" s="4" t="s">
        <v>4047</v>
      </c>
      <c r="E2375" s="4">
        <v>1.0427497E7</v>
      </c>
      <c r="F2375" s="4">
        <v>24.0</v>
      </c>
      <c r="G2375" s="4" t="s">
        <v>4048</v>
      </c>
    </row>
    <row r="2376">
      <c r="A2376" s="1">
        <v>2374.0</v>
      </c>
      <c r="B2376" s="4" t="s">
        <v>4008</v>
      </c>
      <c r="C2376" s="4" t="str">
        <f>IFERROR(__xludf.DUMMYFUNCTION("GOOGLETRANSLATE(D:D,""auto"",""en"")"),"Wuhan 20 rehabilitation staff donated blood plasma")</f>
        <v>Wuhan 20 rehabilitation staff donated blood plasma</v>
      </c>
      <c r="D2376" s="4" t="s">
        <v>4049</v>
      </c>
      <c r="E2376" s="4">
        <v>1.0299799E7</v>
      </c>
      <c r="F2376" s="4">
        <v>25.0</v>
      </c>
      <c r="G2376" s="4" t="s">
        <v>4050</v>
      </c>
    </row>
    <row r="2377">
      <c r="A2377" s="1">
        <v>2375.0</v>
      </c>
      <c r="B2377" s="4" t="s">
        <v>4008</v>
      </c>
      <c r="C2377" s="4" t="str">
        <f>IFERROR(__xludf.DUMMYFUNCTION("GOOGLETRANSLATE(D:D,""auto"",""en"")"),"After 00 began dating yet")</f>
        <v>After 00 began dating yet</v>
      </c>
      <c r="D2377" s="4" t="s">
        <v>4051</v>
      </c>
      <c r="E2377" s="4">
        <v>1.0251367E7</v>
      </c>
      <c r="F2377" s="4">
        <v>26.0</v>
      </c>
      <c r="G2377" s="4" t="s">
        <v>4052</v>
      </c>
    </row>
    <row r="2378">
      <c r="A2378" s="1">
        <v>2376.0</v>
      </c>
      <c r="B2378" s="4" t="s">
        <v>4008</v>
      </c>
      <c r="C2378" s="4" t="str">
        <f>IFERROR(__xludf.DUMMYFUNCTION("GOOGLETRANSLATE(D:D,""auto"",""en"")"),"Anhui new 11 cases of pneumonia new crown")</f>
        <v>Anhui new 11 cases of pneumonia new crown</v>
      </c>
      <c r="D2378" s="4" t="s">
        <v>4053</v>
      </c>
      <c r="E2378" s="4">
        <v>1.0200286E7</v>
      </c>
      <c r="F2378" s="4">
        <v>27.0</v>
      </c>
      <c r="G2378" s="4" t="s">
        <v>4054</v>
      </c>
    </row>
    <row r="2379">
      <c r="A2379" s="1">
        <v>2377.0</v>
      </c>
      <c r="B2379" s="4" t="s">
        <v>4008</v>
      </c>
      <c r="C2379" s="4" t="str">
        <f>IFERROR(__xludf.DUMMYFUNCTION("GOOGLETRANSLATE(D:D,""auto"",""en"")"),"Take Express as joint agents")</f>
        <v>Take Express as joint agents</v>
      </c>
      <c r="D2379" s="4" t="s">
        <v>4055</v>
      </c>
      <c r="E2379" s="4">
        <v>1.009514E7</v>
      </c>
      <c r="F2379" s="4">
        <v>28.0</v>
      </c>
      <c r="G2379" s="4" t="s">
        <v>4056</v>
      </c>
    </row>
    <row r="2380">
      <c r="A2380" s="1">
        <v>2378.0</v>
      </c>
      <c r="B2380" s="4" t="s">
        <v>4008</v>
      </c>
      <c r="C2380" s="4" t="str">
        <f>IFERROR(__xludf.DUMMYFUNCTION("GOOGLETRANSLATE(D:D,""auto"",""en"")"),"Henan enterprises to develop new isolation cap")</f>
        <v>Henan enterprises to develop new isolation cap</v>
      </c>
      <c r="D2380" s="4" t="s">
        <v>4057</v>
      </c>
      <c r="E2380" s="4">
        <v>9940768.0</v>
      </c>
      <c r="F2380" s="4">
        <v>29.0</v>
      </c>
      <c r="G2380" s="4" t="s">
        <v>4058</v>
      </c>
    </row>
    <row r="2381">
      <c r="A2381" s="1">
        <v>2379.0</v>
      </c>
      <c r="B2381" s="4" t="s">
        <v>4008</v>
      </c>
      <c r="C2381" s="4" t="str">
        <f>IFERROR(__xludf.DUMMYFUNCTION("GOOGLETRANSLATE(D:D,""auto"",""en"")"),"Tokyo organizers say Games will be held as scheduled")</f>
        <v>Tokyo organizers say Games will be held as scheduled</v>
      </c>
      <c r="D2381" s="4" t="s">
        <v>4059</v>
      </c>
      <c r="E2381" s="4">
        <v>9856458.0</v>
      </c>
      <c r="F2381" s="4">
        <v>30.0</v>
      </c>
      <c r="G2381" s="4" t="s">
        <v>4060</v>
      </c>
    </row>
    <row r="2382">
      <c r="A2382" s="1">
        <v>2380.0</v>
      </c>
      <c r="B2382" s="4" t="s">
        <v>4008</v>
      </c>
      <c r="C2382" s="4" t="str">
        <f>IFERROR(__xludf.DUMMYFUNCTION("GOOGLETRANSLATE(D:D,""auto"",""en"")"),"Blue Forgetting Forgetting open blue")</f>
        <v>Blue Forgetting Forgetting open blue</v>
      </c>
      <c r="D2382" s="4" t="s">
        <v>4061</v>
      </c>
      <c r="E2382" s="4">
        <v>9798357.0</v>
      </c>
      <c r="F2382" s="4">
        <v>31.0</v>
      </c>
      <c r="G2382" s="4" t="s">
        <v>4062</v>
      </c>
    </row>
    <row r="2383">
      <c r="A2383" s="1">
        <v>2381.0</v>
      </c>
      <c r="B2383" s="4" t="s">
        <v>4008</v>
      </c>
      <c r="C2383" s="4" t="str">
        <f>IFERROR(__xludf.DUMMYFUNCTION("GOOGLETRANSLATE(D:D,""auto"",""en"")"),"Guangdong reports of norovirus outbreaks school together")</f>
        <v>Guangdong reports of norovirus outbreaks school together</v>
      </c>
      <c r="D2383" s="4" t="s">
        <v>4063</v>
      </c>
      <c r="E2383" s="4">
        <v>9759266.0</v>
      </c>
      <c r="F2383" s="4">
        <v>32.0</v>
      </c>
      <c r="G2383" s="4" t="s">
        <v>4064</v>
      </c>
    </row>
    <row r="2384">
      <c r="A2384" s="1">
        <v>2382.0</v>
      </c>
      <c r="B2384" s="4" t="s">
        <v>4008</v>
      </c>
      <c r="C2384" s="4" t="str">
        <f>IFERROR(__xludf.DUMMYFUNCTION("GOOGLETRANSLATE(D:D,""auto"",""en"")"),"Ahn Jae-hyun, please forget me")</f>
        <v>Ahn Jae-hyun, please forget me</v>
      </c>
      <c r="D2384" s="4" t="s">
        <v>4065</v>
      </c>
      <c r="E2384" s="4">
        <v>9686636.0</v>
      </c>
      <c r="F2384" s="4">
        <v>33.0</v>
      </c>
      <c r="G2384" s="4" t="s">
        <v>4066</v>
      </c>
    </row>
    <row r="2385">
      <c r="A2385" s="1">
        <v>2383.0</v>
      </c>
      <c r="B2385" s="4" t="s">
        <v>4008</v>
      </c>
      <c r="C2385" s="4" t="str">
        <f>IFERROR(__xludf.DUMMYFUNCTION("GOOGLETRANSLATE(D:D,""auto"",""en"")"),"Japanese people offering bare epidemic caused concern")</f>
        <v>Japanese people offering bare epidemic caused concern</v>
      </c>
      <c r="D2385" s="4" t="s">
        <v>4067</v>
      </c>
      <c r="E2385" s="4">
        <v>9639505.0</v>
      </c>
      <c r="F2385" s="4">
        <v>34.0</v>
      </c>
      <c r="G2385" s="4" t="s">
        <v>4068</v>
      </c>
    </row>
    <row r="2386">
      <c r="A2386" s="1">
        <v>2384.0</v>
      </c>
      <c r="B2386" s="4" t="s">
        <v>4008</v>
      </c>
      <c r="C2386" s="4" t="str">
        <f>IFERROR(__xludf.DUMMYFUNCTION("GOOGLETRANSLATE(D:D,""auto"",""en"")"),"Wuhan shelter will open 13 001-bed hospital")</f>
        <v>Wuhan shelter will open 13 001-bed hospital</v>
      </c>
      <c r="D2386" s="4" t="s">
        <v>4069</v>
      </c>
      <c r="E2386" s="4">
        <v>9501586.0</v>
      </c>
      <c r="F2386" s="4">
        <v>35.0</v>
      </c>
      <c r="G2386" s="4" t="s">
        <v>4070</v>
      </c>
    </row>
    <row r="2387">
      <c r="A2387" s="1">
        <v>2385.0</v>
      </c>
      <c r="B2387" s="4" t="s">
        <v>4008</v>
      </c>
      <c r="C2387" s="4" t="str">
        <f>IFERROR(__xludf.DUMMYFUNCTION("GOOGLETRANSLATE(D:D,""auto"",""en"")"),"NBA All-Star race")</f>
        <v>NBA All-Star race</v>
      </c>
      <c r="D2387" s="4" t="s">
        <v>4071</v>
      </c>
      <c r="E2387" s="4">
        <v>9395337.0</v>
      </c>
      <c r="F2387" s="4">
        <v>36.0</v>
      </c>
      <c r="G2387" s="4" t="s">
        <v>4072</v>
      </c>
    </row>
    <row r="2388">
      <c r="A2388" s="1">
        <v>2386.0</v>
      </c>
      <c r="B2388" s="4" t="s">
        <v>4008</v>
      </c>
      <c r="C2388" s="4" t="str">
        <f>IFERROR(__xludf.DUMMYFUNCTION("GOOGLETRANSLATE(D:D,""auto"",""en"")"),"You want to see finale")</f>
        <v>You want to see finale</v>
      </c>
      <c r="D2388" s="4" t="s">
        <v>4073</v>
      </c>
      <c r="E2388" s="4">
        <v>9270328.0</v>
      </c>
      <c r="F2388" s="4">
        <v>37.0</v>
      </c>
      <c r="G2388" s="4" t="s">
        <v>4074</v>
      </c>
    </row>
    <row r="2389">
      <c r="A2389" s="1">
        <v>2387.0</v>
      </c>
      <c r="B2389" s="4" t="s">
        <v>4008</v>
      </c>
      <c r="C2389" s="4" t="str">
        <f>IFERROR(__xludf.DUMMYFUNCTION("GOOGLETRANSLATE(D:D,""auto"",""en"")"),"Production and marketing of medical masks problem may sentence to life")</f>
        <v>Production and marketing of medical masks problem may sentence to life</v>
      </c>
      <c r="D2389" s="4" t="s">
        <v>4075</v>
      </c>
      <c r="E2389" s="4">
        <v>9243372.0</v>
      </c>
      <c r="F2389" s="4">
        <v>38.0</v>
      </c>
      <c r="G2389" s="4" t="s">
        <v>4076</v>
      </c>
    </row>
    <row r="2390">
      <c r="A2390" s="1">
        <v>2388.0</v>
      </c>
      <c r="B2390" s="4" t="s">
        <v>4008</v>
      </c>
      <c r="C2390" s="4" t="str">
        <f>IFERROR(__xludf.DUMMYFUNCTION("GOOGLETRANSLATE(D:D,""auto"",""en"")"),"I would say that the face of the epidemic")</f>
        <v>I would say that the face of the epidemic</v>
      </c>
      <c r="D2390" s="4" t="s">
        <v>4077</v>
      </c>
      <c r="E2390" s="4">
        <v>9166978.0</v>
      </c>
      <c r="F2390" s="4">
        <v>39.0</v>
      </c>
      <c r="G2390" s="4" t="s">
        <v>4078</v>
      </c>
    </row>
    <row r="2391">
      <c r="A2391" s="1">
        <v>2389.0</v>
      </c>
      <c r="B2391" s="4" t="s">
        <v>4008</v>
      </c>
      <c r="C2391" s="4" t="str">
        <f>IFERROR(__xludf.DUMMYFUNCTION("GOOGLETRANSLATE(D:D,""auto"",""en"")"),"Jilin 16, no new confirmed cases")</f>
        <v>Jilin 16, no new confirmed cases</v>
      </c>
      <c r="D2391" s="4" t="s">
        <v>4079</v>
      </c>
      <c r="E2391" s="4">
        <v>9092320.0</v>
      </c>
      <c r="F2391" s="4">
        <v>40.0</v>
      </c>
      <c r="G2391" s="4" t="s">
        <v>4080</v>
      </c>
    </row>
    <row r="2392">
      <c r="A2392" s="1">
        <v>2390.0</v>
      </c>
      <c r="B2392" s="4" t="s">
        <v>4008</v>
      </c>
      <c r="C2392" s="4" t="str">
        <f>IFERROR(__xludf.DUMMYFUNCTION("GOOGLETRANSLATE(D:D,""auto"",""en"")"),"Wuhan public accommodations scan code into a management")</f>
        <v>Wuhan public accommodations scan code into a management</v>
      </c>
      <c r="D2392" s="4" t="s">
        <v>4081</v>
      </c>
      <c r="E2392" s="4">
        <v>9076220.0</v>
      </c>
      <c r="F2392" s="4">
        <v>41.0</v>
      </c>
      <c r="G2392" s="4" t="s">
        <v>4082</v>
      </c>
    </row>
    <row r="2393">
      <c r="A2393" s="1">
        <v>2391.0</v>
      </c>
      <c r="B2393" s="4" t="s">
        <v>4008</v>
      </c>
      <c r="C2393" s="4" t="str">
        <f>IFERROR(__xludf.DUMMYFUNCTION("GOOGLETRANSLATE(D:D,""auto"",""en"")"),"India claimed to have overcome the novel coronavirus")</f>
        <v>India claimed to have overcome the novel coronavirus</v>
      </c>
      <c r="D2393" s="4" t="s">
        <v>4083</v>
      </c>
      <c r="E2393" s="4">
        <v>8999590.0</v>
      </c>
      <c r="F2393" s="4">
        <v>42.0</v>
      </c>
      <c r="G2393" s="4" t="s">
        <v>4084</v>
      </c>
    </row>
    <row r="2394">
      <c r="A2394" s="1">
        <v>2392.0</v>
      </c>
      <c r="B2394" s="4" t="s">
        <v>4008</v>
      </c>
      <c r="C2394" s="4" t="str">
        <f>IFERROR(__xludf.DUMMYFUNCTION("GOOGLETRANSLATE(D:D,""auto"",""en"")"),"Shelter hospital patients most skin")</f>
        <v>Shelter hospital patients most skin</v>
      </c>
      <c r="D2394" s="4" t="s">
        <v>4085</v>
      </c>
      <c r="E2394" s="4">
        <v>8985452.0</v>
      </c>
      <c r="F2394" s="4">
        <v>43.0</v>
      </c>
      <c r="G2394" s="4" t="s">
        <v>4086</v>
      </c>
    </row>
    <row r="2395">
      <c r="A2395" s="1">
        <v>2393.0</v>
      </c>
      <c r="B2395" s="4" t="s">
        <v>4008</v>
      </c>
      <c r="C2395" s="4" t="str">
        <f>IFERROR(__xludf.DUMMYFUNCTION("GOOGLETRANSLATE(D:D,""auto"",""en"")"),"Guy went to Wuhan to take care of his girlfriend that he was diagnosed")</f>
        <v>Guy went to Wuhan to take care of his girlfriend that he was diagnosed</v>
      </c>
      <c r="D2395" s="4" t="s">
        <v>4087</v>
      </c>
      <c r="E2395" s="4">
        <v>8805527.0</v>
      </c>
      <c r="F2395" s="4">
        <v>44.0</v>
      </c>
      <c r="G2395" s="4" t="s">
        <v>4088</v>
      </c>
    </row>
    <row r="2396">
      <c r="A2396" s="1">
        <v>2394.0</v>
      </c>
      <c r="B2396" s="4" t="s">
        <v>4008</v>
      </c>
      <c r="C2396" s="4" t="str">
        <f>IFERROR(__xludf.DUMMYFUNCTION("GOOGLETRANSLATE(D:D,""auto"",""en"")"),"20 tickets shipped tribute medical worker")</f>
        <v>20 tickets shipped tribute medical worker</v>
      </c>
      <c r="D2396" s="4" t="s">
        <v>4089</v>
      </c>
      <c r="E2396" s="4">
        <v>8728233.0</v>
      </c>
      <c r="F2396" s="4">
        <v>45.0</v>
      </c>
      <c r="G2396" s="4" t="s">
        <v>4090</v>
      </c>
    </row>
    <row r="2397">
      <c r="A2397" s="1">
        <v>2395.0</v>
      </c>
      <c r="B2397" s="4" t="s">
        <v>4008</v>
      </c>
      <c r="C2397" s="4" t="str">
        <f>IFERROR(__xludf.DUMMYFUNCTION("GOOGLETRANSLATE(D:D,""auto"",""en"")"),"Cards are gathered after the training request volunteer men 4")</f>
        <v>Cards are gathered after the training request volunteer men 4</v>
      </c>
      <c r="D2397" s="4" t="s">
        <v>4091</v>
      </c>
      <c r="E2397" s="4">
        <v>8510203.0</v>
      </c>
      <c r="F2397" s="4">
        <v>46.0</v>
      </c>
      <c r="G2397" s="4" t="s">
        <v>4092</v>
      </c>
    </row>
    <row r="2398">
      <c r="A2398" s="1">
        <v>2396.0</v>
      </c>
      <c r="B2398" s="4" t="s">
        <v>4008</v>
      </c>
      <c r="C2398" s="4" t="str">
        <f>IFERROR(__xludf.DUMMYFUNCTION("GOOGLETRANSLATE(D:D,""auto"",""en"")"),"Public officials to conceal the history of Wuhan daughter to return home")</f>
        <v>Public officials to conceal the history of Wuhan daughter to return home</v>
      </c>
      <c r="D2398" s="4" t="s">
        <v>4093</v>
      </c>
      <c r="E2398" s="4">
        <v>8379631.0</v>
      </c>
      <c r="F2398" s="4">
        <v>47.0</v>
      </c>
      <c r="G2398" s="4" t="s">
        <v>4094</v>
      </c>
    </row>
    <row r="2399">
      <c r="A2399" s="1">
        <v>2397.0</v>
      </c>
      <c r="B2399" s="4" t="s">
        <v>4008</v>
      </c>
      <c r="C2399" s="4" t="str">
        <f>IFERROR(__xludf.DUMMYFUNCTION("GOOGLETRANSLATE(D:D,""auto"",""en"")"),"Taiyuan encouraged to return to work as soon as the restaurant industry")</f>
        <v>Taiyuan encouraged to return to work as soon as the restaurant industry</v>
      </c>
      <c r="D2399" s="4" t="s">
        <v>4095</v>
      </c>
      <c r="E2399" s="4">
        <v>8263498.0</v>
      </c>
      <c r="F2399" s="4">
        <v>48.0</v>
      </c>
      <c r="G2399" s="4" t="s">
        <v>4096</v>
      </c>
    </row>
    <row r="2400">
      <c r="A2400" s="1">
        <v>2398.0</v>
      </c>
      <c r="B2400" s="4" t="s">
        <v>4008</v>
      </c>
      <c r="C2400" s="4" t="str">
        <f>IFERROR(__xludf.DUMMYFUNCTION("GOOGLETRANSLATE(D:D,""auto"",""en"")"),"He Hecan Yang Cai Minmin mother found love")</f>
        <v>He Hecan Yang Cai Minmin mother found love</v>
      </c>
      <c r="D2400" s="4" t="s">
        <v>4097</v>
      </c>
      <c r="E2400" s="4">
        <v>8259216.0</v>
      </c>
      <c r="F2400" s="4">
        <v>49.0</v>
      </c>
      <c r="G2400" s="4" t="s">
        <v>4098</v>
      </c>
    </row>
    <row r="2401">
      <c r="A2401" s="1">
        <v>2399.0</v>
      </c>
      <c r="B2401" s="4" t="s">
        <v>4008</v>
      </c>
      <c r="C2401" s="4" t="str">
        <f>IFERROR(__xludf.DUMMYFUNCTION("GOOGLETRANSLATE(D:D,""auto"",""en"")"),"Sanitation workers died in a car accident family declined donations")</f>
        <v>Sanitation workers died in a car accident family declined donations</v>
      </c>
      <c r="D2401" s="4" t="s">
        <v>4099</v>
      </c>
      <c r="E2401" s="4">
        <v>8172315.0</v>
      </c>
      <c r="F2401" s="4">
        <v>50.0</v>
      </c>
      <c r="G2401" s="4" t="s">
        <v>4100</v>
      </c>
    </row>
    <row r="2402">
      <c r="A2402" s="1">
        <v>2400.0</v>
      </c>
      <c r="B2402" s="4" t="s">
        <v>4101</v>
      </c>
      <c r="C2402" s="4" t="str">
        <f>IFERROR(__xludf.DUMMYFUNCTION("GOOGLETRANSLATE(D:D,""auto"",""en"")"),"25 days drifting at sea ashore that outbreak")</f>
        <v>25 days drifting at sea ashore that outbreak</v>
      </c>
      <c r="D2402" s="4" t="s">
        <v>4102</v>
      </c>
      <c r="E2402" s="4">
        <v>1.336809E7</v>
      </c>
      <c r="F2402" s="4">
        <v>1.0</v>
      </c>
      <c r="G2402" s="4" t="s">
        <v>4103</v>
      </c>
    </row>
    <row r="2403">
      <c r="A2403" s="1">
        <v>2401.0</v>
      </c>
      <c r="B2403" s="4" t="s">
        <v>4101</v>
      </c>
      <c r="C2403" s="4" t="str">
        <f>IFERROR(__xludf.DUMMYFUNCTION("GOOGLETRANSLATE(D:D,""auto"",""en"")"),"Guo Shen Teng imitate")</f>
        <v>Guo Shen Teng imitate</v>
      </c>
      <c r="D2403" s="4" t="s">
        <v>4104</v>
      </c>
      <c r="E2403" s="4">
        <v>1.3091763E7</v>
      </c>
      <c r="F2403" s="4">
        <v>2.0</v>
      </c>
      <c r="G2403" s="4" t="s">
        <v>4105</v>
      </c>
    </row>
    <row r="2404">
      <c r="A2404" s="1">
        <v>2402.0</v>
      </c>
      <c r="B2404" s="4" t="s">
        <v>4101</v>
      </c>
      <c r="C2404" s="4" t="str">
        <f>IFERROR(__xludf.DUMMYFUNCTION("GOOGLETRANSLATE(D:D,""auto"",""en"")"),"Zuhai for whom re-recorded version of the fight against SARS")</f>
        <v>Zuhai for whom re-recorded version of the fight against SARS</v>
      </c>
      <c r="D2404" s="4" t="s">
        <v>4106</v>
      </c>
      <c r="E2404" s="4">
        <v>1.2831631E7</v>
      </c>
      <c r="F2404" s="4">
        <v>3.0</v>
      </c>
      <c r="G2404" s="4" t="s">
        <v>4107</v>
      </c>
    </row>
    <row r="2405">
      <c r="A2405" s="1">
        <v>2403.0</v>
      </c>
      <c r="B2405" s="4" t="s">
        <v>4101</v>
      </c>
      <c r="C2405" s="4" t="str">
        <f>IFERROR(__xludf.DUMMYFUNCTION("GOOGLETRANSLATE(D:D,""auto"",""en"")"),"Bosideng London Fashion Week shout Come on, China")</f>
        <v>Bosideng London Fashion Week shout Come on, China</v>
      </c>
      <c r="D2405" s="4" t="s">
        <v>4108</v>
      </c>
      <c r="E2405" s="4">
        <v>1.2461612E7</v>
      </c>
      <c r="F2405" s="4">
        <v>4.0</v>
      </c>
      <c r="G2405" s="4" t="s">
        <v>4109</v>
      </c>
    </row>
    <row r="2406">
      <c r="A2406" s="1">
        <v>2404.0</v>
      </c>
      <c r="B2406" s="4" t="s">
        <v>4101</v>
      </c>
      <c r="C2406" s="4" t="str">
        <f>IFERROR(__xludf.DUMMYFUNCTION("GOOGLETRANSLATE(D:D,""auto"",""en"")"),"Wuchang hospital president Liu Zhiming died of pneumonia infecting new crown")</f>
        <v>Wuchang hospital president Liu Zhiming died of pneumonia infecting new crown</v>
      </c>
      <c r="D2406" s="4" t="s">
        <v>4110</v>
      </c>
      <c r="E2406" s="4">
        <v>1.2150553E7</v>
      </c>
      <c r="F2406" s="4">
        <v>5.0</v>
      </c>
      <c r="G2406" s="4" t="s">
        <v>4111</v>
      </c>
    </row>
    <row r="2407">
      <c r="A2407" s="1">
        <v>2405.0</v>
      </c>
      <c r="B2407" s="4" t="s">
        <v>4101</v>
      </c>
      <c r="C2407" s="4" t="str">
        <f>IFERROR(__xludf.DUMMYFUNCTION("GOOGLETRANSLATE(D:D,""auto"",""en"")"),"Blue Forgetting Forgetting open blue")</f>
        <v>Blue Forgetting Forgetting open blue</v>
      </c>
      <c r="D2407" s="4" t="s">
        <v>4061</v>
      </c>
      <c r="E2407" s="4">
        <v>1.182219E7</v>
      </c>
      <c r="F2407" s="4">
        <v>6.0</v>
      </c>
      <c r="G2407" s="4" t="s">
        <v>4062</v>
      </c>
    </row>
    <row r="2408">
      <c r="A2408" s="1">
        <v>2406.0</v>
      </c>
      <c r="B2408" s="4" t="s">
        <v>4101</v>
      </c>
      <c r="C2408" s="4" t="str">
        <f>IFERROR(__xludf.DUMMYFUNCTION("GOOGLETRANSLATE(D:D,""auto"",""en"")"),"Belgian pianist songs solidarity Wuhan")</f>
        <v>Belgian pianist songs solidarity Wuhan</v>
      </c>
      <c r="D2408" s="4" t="s">
        <v>4112</v>
      </c>
      <c r="E2408" s="4">
        <v>1.1550784E7</v>
      </c>
      <c r="F2408" s="4">
        <v>7.0</v>
      </c>
      <c r="G2408" s="4" t="s">
        <v>4113</v>
      </c>
    </row>
    <row r="2409">
      <c r="A2409" s="1">
        <v>2407.0</v>
      </c>
      <c r="B2409" s="4" t="s">
        <v>4101</v>
      </c>
      <c r="C2409" s="4" t="str">
        <f>IFERROR(__xludf.DUMMYFUNCTION("GOOGLETRANSLATE(D:D,""auto"",""en"")"),"Experts suggest themselves to wake up with a sense of ceremony")</f>
        <v>Experts suggest themselves to wake up with a sense of ceremony</v>
      </c>
      <c r="D2409" s="4" t="s">
        <v>4114</v>
      </c>
      <c r="E2409" s="4">
        <v>1.1298416E7</v>
      </c>
      <c r="F2409" s="4">
        <v>8.0</v>
      </c>
      <c r="G2409" s="4" t="s">
        <v>4115</v>
      </c>
    </row>
    <row r="2410">
      <c r="A2410" s="1">
        <v>2408.0</v>
      </c>
      <c r="B2410" s="4" t="s">
        <v>4101</v>
      </c>
      <c r="C2410" s="4" t="str">
        <f>IFERROR(__xludf.DUMMYFUNCTION("GOOGLETRANSLATE(D:D,""auto"",""en"")"),"People can not refuse a body temperature gun")</f>
        <v>People can not refuse a body temperature gun</v>
      </c>
      <c r="D2410" s="4" t="s">
        <v>4116</v>
      </c>
      <c r="E2410" s="4">
        <v>1.1068911E7</v>
      </c>
      <c r="F2410" s="4">
        <v>9.0</v>
      </c>
      <c r="G2410" s="4" t="s">
        <v>4117</v>
      </c>
    </row>
    <row r="2411">
      <c r="A2411" s="1">
        <v>2409.0</v>
      </c>
      <c r="B2411" s="4" t="s">
        <v>4101</v>
      </c>
      <c r="C2411" s="4" t="str">
        <f>IFERROR(__xludf.DUMMYFUNCTION("GOOGLETRANSLATE(D:D,""auto"",""en"")"),"Li Sheng Li Jia Hang chorus of love theme song apartment")</f>
        <v>Li Sheng Li Jia Hang chorus of love theme song apartment</v>
      </c>
      <c r="D2411" s="4" t="s">
        <v>4118</v>
      </c>
      <c r="E2411" s="4">
        <v>1.089529E7</v>
      </c>
      <c r="F2411" s="4">
        <v>10.0</v>
      </c>
      <c r="G2411" s="4" t="s">
        <v>4119</v>
      </c>
    </row>
    <row r="2412">
      <c r="A2412" s="1">
        <v>2410.0</v>
      </c>
      <c r="B2412" s="4" t="s">
        <v>4101</v>
      </c>
      <c r="C2412" s="4" t="str">
        <f>IFERROR(__xludf.DUMMYFUNCTION("GOOGLETRANSLATE(D:D,""auto"",""en"")"),"Middleton back quite similar Bryant")</f>
        <v>Middleton back quite similar Bryant</v>
      </c>
      <c r="D2412" s="4" t="s">
        <v>4120</v>
      </c>
      <c r="E2412" s="4">
        <v>1.0819521E7</v>
      </c>
      <c r="F2412" s="4">
        <v>11.0</v>
      </c>
      <c r="G2412" s="4" t="s">
        <v>4121</v>
      </c>
    </row>
    <row r="2413">
      <c r="A2413" s="1">
        <v>2411.0</v>
      </c>
      <c r="B2413" s="4" t="s">
        <v>4101</v>
      </c>
      <c r="C2413" s="4" t="str">
        <f>IFERROR(__xludf.DUMMYFUNCTION("GOOGLETRANSLATE(D:D,""auto"",""en"")"),"Zheng Shuang fans a decade before collection letters")</f>
        <v>Zheng Shuang fans a decade before collection letters</v>
      </c>
      <c r="D2413" s="4" t="s">
        <v>4122</v>
      </c>
      <c r="E2413" s="4">
        <v>1.0660429E7</v>
      </c>
      <c r="F2413" s="4">
        <v>12.0</v>
      </c>
      <c r="G2413" s="4" t="s">
        <v>4123</v>
      </c>
    </row>
    <row r="2414">
      <c r="A2414" s="1">
        <v>2412.0</v>
      </c>
      <c r="B2414" s="4" t="s">
        <v>4101</v>
      </c>
      <c r="C2414" s="4" t="str">
        <f>IFERROR(__xludf.DUMMYFUNCTION("GOOGLETRANSLATE(D:D,""auto"",""en"")"),"Li Ruzhi eat the chicken")</f>
        <v>Li Ruzhi eat the chicken</v>
      </c>
      <c r="D2414" s="4" t="s">
        <v>4124</v>
      </c>
      <c r="E2414" s="4">
        <v>1.0590853E7</v>
      </c>
      <c r="F2414" s="4">
        <v>13.0</v>
      </c>
      <c r="G2414" s="4" t="s">
        <v>4125</v>
      </c>
    </row>
    <row r="2415">
      <c r="A2415" s="1">
        <v>2413.0</v>
      </c>
      <c r="B2415" s="4" t="s">
        <v>4101</v>
      </c>
      <c r="C2415" s="4" t="str">
        <f>IFERROR(__xludf.DUMMYFUNCTION("GOOGLETRANSLATE(D:D,""auto"",""en"")"),"Angelababy makeup wizard")</f>
        <v>Angelababy makeup wizard</v>
      </c>
      <c r="D2415" s="4" t="s">
        <v>4126</v>
      </c>
      <c r="E2415" s="4">
        <v>1.0582212E7</v>
      </c>
      <c r="F2415" s="4">
        <v>14.0</v>
      </c>
      <c r="G2415" s="4" t="s">
        <v>4127</v>
      </c>
    </row>
    <row r="2416">
      <c r="A2416" s="1">
        <v>2414.0</v>
      </c>
      <c r="B2416" s="4" t="s">
        <v>4101</v>
      </c>
      <c r="C2416" s="4" t="str">
        <f>IFERROR(__xludf.DUMMYFUNCTION("GOOGLETRANSLATE(D:D,""auto"",""en"")"),"In addition to outside Wenzhou, Zhejiang cancel road checkpoints")</f>
        <v>In addition to outside Wenzhou, Zhejiang cancel road checkpoints</v>
      </c>
      <c r="D2416" s="4" t="s">
        <v>4128</v>
      </c>
      <c r="E2416" s="4">
        <v>1.0533705E7</v>
      </c>
      <c r="F2416" s="4">
        <v>15.0</v>
      </c>
      <c r="G2416" s="4" t="s">
        <v>4129</v>
      </c>
    </row>
    <row r="2417">
      <c r="A2417" s="1">
        <v>2415.0</v>
      </c>
      <c r="B2417" s="4" t="s">
        <v>4101</v>
      </c>
      <c r="C2417" s="4" t="str">
        <f>IFERROR(__xludf.DUMMYFUNCTION("GOOGLETRANSLATE(D:D,""auto"",""en"")"),"The fight against SARS nurses due to physical waste of protective clothing to tears")</f>
        <v>The fight against SARS nurses due to physical waste of protective clothing to tears</v>
      </c>
      <c r="D2417" s="4" t="s">
        <v>4130</v>
      </c>
      <c r="E2417" s="4">
        <v>1.0247214E7</v>
      </c>
      <c r="F2417" s="4">
        <v>16.0</v>
      </c>
      <c r="G2417" s="4" t="s">
        <v>4131</v>
      </c>
    </row>
    <row r="2418">
      <c r="A2418" s="1">
        <v>2416.0</v>
      </c>
      <c r="B2418" s="4" t="s">
        <v>4101</v>
      </c>
      <c r="C2418" s="4" t="str">
        <f>IFERROR(__xludf.DUMMYFUNCTION("GOOGLETRANSLATE(D:D,""auto"",""en"")"),"Shuang Cheng admitted the reasons sharp thin")</f>
        <v>Shuang Cheng admitted the reasons sharp thin</v>
      </c>
      <c r="D2418" s="4" t="s">
        <v>4132</v>
      </c>
      <c r="E2418" s="4">
        <v>1.0146493E7</v>
      </c>
      <c r="F2418" s="4">
        <v>17.0</v>
      </c>
      <c r="G2418" s="4" t="s">
        <v>4133</v>
      </c>
    </row>
    <row r="2419">
      <c r="A2419" s="1">
        <v>2417.0</v>
      </c>
      <c r="B2419" s="4" t="s">
        <v>4101</v>
      </c>
      <c r="C2419" s="4" t="str">
        <f>IFERROR(__xludf.DUMMYFUNCTION("GOOGLETRANSLATE(D:D,""auto"",""en"")"),"Guangdong, Hubei medical aid team won 10,000 grant")</f>
        <v>Guangdong, Hubei medical aid team won 10,000 grant</v>
      </c>
      <c r="D2419" s="4" t="s">
        <v>4134</v>
      </c>
      <c r="E2419" s="4">
        <v>9970968.0</v>
      </c>
      <c r="F2419" s="4">
        <v>18.0</v>
      </c>
      <c r="G2419" s="4" t="s">
        <v>4135</v>
      </c>
    </row>
    <row r="2420">
      <c r="A2420" s="1">
        <v>2418.0</v>
      </c>
      <c r="B2420" s="4" t="s">
        <v>4101</v>
      </c>
      <c r="C2420" s="4" t="str">
        <f>IFERROR(__xludf.DUMMYFUNCTION("GOOGLETRANSLATE(D:D,""auto"",""en"")"),"Gansu Province in response to MCH nurses shaved head")</f>
        <v>Gansu Province in response to MCH nurses shaved head</v>
      </c>
      <c r="D2420" s="4" t="s">
        <v>4136</v>
      </c>
      <c r="E2420" s="4">
        <v>9912996.0</v>
      </c>
      <c r="F2420" s="4">
        <v>19.0</v>
      </c>
      <c r="G2420" s="4" t="s">
        <v>4137</v>
      </c>
    </row>
    <row r="2421">
      <c r="A2421" s="1">
        <v>2419.0</v>
      </c>
      <c r="B2421" s="4" t="s">
        <v>4101</v>
      </c>
      <c r="C2421" s="4" t="str">
        <f>IFERROR(__xludf.DUMMYFUNCTION("GOOGLETRANSLATE(D:D,""auto"",""en"")"),"Thanks fairy princess did not sing rap")</f>
        <v>Thanks fairy princess did not sing rap</v>
      </c>
      <c r="D2421" s="4" t="s">
        <v>4138</v>
      </c>
      <c r="E2421" s="4">
        <v>9852934.0</v>
      </c>
      <c r="F2421" s="4">
        <v>20.0</v>
      </c>
      <c r="G2421" s="4" t="s">
        <v>4139</v>
      </c>
    </row>
    <row r="2422">
      <c r="A2422" s="1">
        <v>2420.0</v>
      </c>
      <c r="B2422" s="4" t="s">
        <v>4101</v>
      </c>
      <c r="C2422" s="4" t="str">
        <f>IFERROR(__xludf.DUMMYFUNCTION("GOOGLETRANSLATE(D:D,""auto"",""en"")"),"Wang Yuan Cover trailer")</f>
        <v>Wang Yuan Cover trailer</v>
      </c>
      <c r="D2422" s="4" t="s">
        <v>4140</v>
      </c>
      <c r="E2422" s="4">
        <v>9784574.0</v>
      </c>
      <c r="F2422" s="4">
        <v>21.0</v>
      </c>
      <c r="G2422" s="4" t="s">
        <v>4141</v>
      </c>
    </row>
    <row r="2423">
      <c r="A2423" s="1">
        <v>2421.0</v>
      </c>
      <c r="B2423" s="4" t="s">
        <v>4101</v>
      </c>
      <c r="C2423" s="4" t="str">
        <f>IFERROR(__xludf.DUMMYFUNCTION("GOOGLETRANSLATE(D:D,""auto"",""en"")"),"Wuhan large dragnet investigation")</f>
        <v>Wuhan large dragnet investigation</v>
      </c>
      <c r="D2423" s="4" t="s">
        <v>4142</v>
      </c>
      <c r="E2423" s="4">
        <v>9719605.0</v>
      </c>
      <c r="F2423" s="4">
        <v>22.0</v>
      </c>
      <c r="G2423" s="4" t="s">
        <v>4143</v>
      </c>
    </row>
    <row r="2424">
      <c r="A2424" s="1">
        <v>2422.0</v>
      </c>
      <c r="B2424" s="4" t="s">
        <v>4101</v>
      </c>
      <c r="C2424" s="4" t="str">
        <f>IFERROR(__xludf.DUMMYFUNCTION("GOOGLETRANSLATE(D:D,""auto"",""en"")"),"Shelter hospital opened KTV mode")</f>
        <v>Shelter hospital opened KTV mode</v>
      </c>
      <c r="D2424" s="4" t="s">
        <v>4144</v>
      </c>
      <c r="E2424" s="4">
        <v>9654508.0</v>
      </c>
      <c r="F2424" s="4">
        <v>23.0</v>
      </c>
      <c r="G2424" s="4" t="s">
        <v>4145</v>
      </c>
    </row>
    <row r="2425">
      <c r="A2425" s="1">
        <v>2423.0</v>
      </c>
      <c r="B2425" s="4" t="s">
        <v>4101</v>
      </c>
      <c r="C2425" s="4" t="str">
        <f>IFERROR(__xludf.DUMMYFUNCTION("GOOGLETRANSLATE(D:D,""auto"",""en"")"),"Zhong Nanshan represents Wuhan has not stopped human transmission")</f>
        <v>Zhong Nanshan represents Wuhan has not stopped human transmission</v>
      </c>
      <c r="D2425" s="4" t="s">
        <v>4146</v>
      </c>
      <c r="E2425" s="4">
        <v>9625138.0</v>
      </c>
      <c r="F2425" s="4">
        <v>24.0</v>
      </c>
      <c r="G2425" s="4" t="s">
        <v>4147</v>
      </c>
    </row>
    <row r="2426">
      <c r="A2426" s="1">
        <v>2424.0</v>
      </c>
      <c r="B2426" s="4" t="s">
        <v>4101</v>
      </c>
      <c r="C2426" s="4" t="str">
        <f>IFERROR(__xludf.DUMMYFUNCTION("GOOGLETRANSLATE(D:D,""auto"",""en"")"),"Cruise passengers to submit a petition to the Government of Japan")</f>
        <v>Cruise passengers to submit a petition to the Government of Japan</v>
      </c>
      <c r="D2426" s="4" t="s">
        <v>4148</v>
      </c>
      <c r="E2426" s="4">
        <v>9592557.0</v>
      </c>
      <c r="F2426" s="4">
        <v>25.0</v>
      </c>
      <c r="G2426" s="4" t="s">
        <v>4149</v>
      </c>
    </row>
    <row r="2427">
      <c r="A2427" s="1">
        <v>2425.0</v>
      </c>
      <c r="B2427" s="4" t="s">
        <v>4101</v>
      </c>
      <c r="C2427" s="4" t="str">
        <f>IFERROR(__xludf.DUMMYFUNCTION("GOOGLETRANSLATE(D:D,""auto"",""en"")"),"Men's provocative police to wear masks to wear handcuffs")</f>
        <v>Men's provocative police to wear masks to wear handcuffs</v>
      </c>
      <c r="D2427" s="4" t="s">
        <v>4150</v>
      </c>
      <c r="E2427" s="4">
        <v>9488293.0</v>
      </c>
      <c r="F2427" s="4">
        <v>26.0</v>
      </c>
      <c r="G2427" s="4" t="s">
        <v>4151</v>
      </c>
    </row>
    <row r="2428">
      <c r="A2428" s="1">
        <v>2426.0</v>
      </c>
      <c r="B2428" s="4" t="s">
        <v>4101</v>
      </c>
      <c r="C2428" s="4" t="str">
        <f>IFERROR(__xludf.DUMMYFUNCTION("GOOGLETRANSLATE(D:D,""auto"",""en"")"),"National new confirmed cases 1886 cases")</f>
        <v>National new confirmed cases 1886 cases</v>
      </c>
      <c r="D2428" s="4" t="s">
        <v>4152</v>
      </c>
      <c r="E2428" s="4">
        <v>9481792.0</v>
      </c>
      <c r="F2428" s="4">
        <v>27.0</v>
      </c>
      <c r="G2428" s="4" t="s">
        <v>4153</v>
      </c>
    </row>
    <row r="2429">
      <c r="A2429" s="1">
        <v>2427.0</v>
      </c>
      <c r="B2429" s="4" t="s">
        <v>4101</v>
      </c>
      <c r="C2429" s="4" t="str">
        <f>IFERROR(__xludf.DUMMYFUNCTION("GOOGLETRANSLATE(D:D,""auto"",""en"")"),"Li Landi make a cake")</f>
        <v>Li Landi make a cake</v>
      </c>
      <c r="D2429" s="4" t="s">
        <v>4154</v>
      </c>
      <c r="E2429" s="4">
        <v>9420889.0</v>
      </c>
      <c r="F2429" s="4">
        <v>28.0</v>
      </c>
      <c r="G2429" s="4" t="s">
        <v>4155</v>
      </c>
    </row>
    <row r="2430">
      <c r="A2430" s="1">
        <v>2428.0</v>
      </c>
      <c r="B2430" s="4" t="s">
        <v>4101</v>
      </c>
      <c r="C2430" s="4" t="str">
        <f>IFERROR(__xludf.DUMMYFUNCTION("GOOGLETRANSLATE(D:D,""auto"",""en"")"),"Zhong Nanshan estimate the number of diagnosed peaked in mid to late February")</f>
        <v>Zhong Nanshan estimate the number of diagnosed peaked in mid to late February</v>
      </c>
      <c r="D2430" s="4" t="s">
        <v>4156</v>
      </c>
      <c r="E2430" s="4">
        <v>9271561.0</v>
      </c>
      <c r="F2430" s="4">
        <v>29.0</v>
      </c>
      <c r="G2430" s="4" t="s">
        <v>4157</v>
      </c>
    </row>
    <row r="2431">
      <c r="A2431" s="1">
        <v>2429.0</v>
      </c>
      <c r="B2431" s="4" t="s">
        <v>4101</v>
      </c>
      <c r="C2431" s="4" t="str">
        <f>IFERROR(__xludf.DUMMYFUNCTION("GOOGLETRANSLATE(D:D,""auto"",""en"")"),"Hubei men surrendered after the killings and fled 27 years")</f>
        <v>Hubei men surrendered after the killings and fled 27 years</v>
      </c>
      <c r="D2431" s="4" t="s">
        <v>4158</v>
      </c>
      <c r="E2431" s="4">
        <v>9260466.0</v>
      </c>
      <c r="F2431" s="4">
        <v>30.0</v>
      </c>
      <c r="G2431" s="4" t="s">
        <v>4159</v>
      </c>
    </row>
    <row r="2432">
      <c r="A2432" s="1">
        <v>2430.0</v>
      </c>
      <c r="B2432" s="4" t="s">
        <v>4101</v>
      </c>
      <c r="C2432" s="4" t="str">
        <f>IFERROR(__xludf.DUMMYFUNCTION("GOOGLETRANSLATE(D:D,""auto"",""en"")"),"Reporter mistakenly called into James Bryant")</f>
        <v>Reporter mistakenly called into James Bryant</v>
      </c>
      <c r="D2432" s="4" t="s">
        <v>4160</v>
      </c>
      <c r="E2432" s="4">
        <v>9166668.0</v>
      </c>
      <c r="F2432" s="4">
        <v>31.0</v>
      </c>
      <c r="G2432" s="4" t="s">
        <v>4161</v>
      </c>
    </row>
    <row r="2433">
      <c r="A2433" s="1">
        <v>2431.0</v>
      </c>
      <c r="B2433" s="4" t="s">
        <v>4101</v>
      </c>
      <c r="C2433" s="4" t="str">
        <f>IFERROR(__xludf.DUMMYFUNCTION("GOOGLETRANSLATE(D:D,""auto"",""en"")"),"The impact of new crown virus on fertility in young patients")</f>
        <v>The impact of new crown virus on fertility in young patients</v>
      </c>
      <c r="D2433" s="4" t="s">
        <v>4162</v>
      </c>
      <c r="E2433" s="4">
        <v>9031289.0</v>
      </c>
      <c r="F2433" s="4">
        <v>32.0</v>
      </c>
      <c r="G2433" s="4" t="s">
        <v>4163</v>
      </c>
    </row>
    <row r="2434">
      <c r="A2434" s="1">
        <v>2432.0</v>
      </c>
      <c r="B2434" s="4" t="s">
        <v>4101</v>
      </c>
      <c r="C2434" s="4" t="str">
        <f>IFERROR(__xludf.DUMMYFUNCTION("GOOGLETRANSLATE(D:D,""auto"",""en"")"),"Hubei new confirmed cases 1807 cases")</f>
        <v>Hubei new confirmed cases 1807 cases</v>
      </c>
      <c r="D2434" s="4" t="s">
        <v>4164</v>
      </c>
      <c r="E2434" s="4">
        <v>9012185.0</v>
      </c>
      <c r="F2434" s="4">
        <v>33.0</v>
      </c>
      <c r="G2434" s="4" t="s">
        <v>4165</v>
      </c>
    </row>
    <row r="2435">
      <c r="A2435" s="1">
        <v>2433.0</v>
      </c>
      <c r="B2435" s="4" t="s">
        <v>4101</v>
      </c>
      <c r="C2435" s="4" t="str">
        <f>IFERROR(__xludf.DUMMYFUNCTION("GOOGLETRANSLATE(D:D,""auto"",""en"")"),"Rebels Why so bad temper")</f>
        <v>Rebels Why so bad temper</v>
      </c>
      <c r="D2435" s="4" t="s">
        <v>4166</v>
      </c>
      <c r="E2435" s="4">
        <v>8951321.0</v>
      </c>
      <c r="F2435" s="4">
        <v>34.0</v>
      </c>
      <c r="G2435" s="4" t="s">
        <v>4167</v>
      </c>
    </row>
    <row r="2436">
      <c r="A2436" s="1">
        <v>2434.0</v>
      </c>
      <c r="B2436" s="4" t="s">
        <v>4101</v>
      </c>
      <c r="C2436" s="4" t="str">
        <f>IFERROR(__xludf.DUMMYFUNCTION("GOOGLETRANSLATE(D:D,""auto"",""en"")"),"Shanghai schools and online education since the beginning of March")</f>
        <v>Shanghai schools and online education since the beginning of March</v>
      </c>
      <c r="D2436" s="4" t="s">
        <v>4168</v>
      </c>
      <c r="E2436" s="4">
        <v>8941871.0</v>
      </c>
      <c r="F2436" s="4">
        <v>35.0</v>
      </c>
      <c r="G2436" s="4" t="s">
        <v>4169</v>
      </c>
    </row>
    <row r="2437">
      <c r="A2437" s="1">
        <v>2435.0</v>
      </c>
      <c r="B2437" s="4" t="s">
        <v>4101</v>
      </c>
      <c r="C2437" s="4" t="str">
        <f>IFERROR(__xludf.DUMMYFUNCTION("GOOGLETRANSLATE(D:D,""auto"",""en"")"),"A few say they are 30 years old 18")</f>
        <v>A few say they are 30 years old 18</v>
      </c>
      <c r="D2437" s="4" t="s">
        <v>4170</v>
      </c>
      <c r="E2437" s="4">
        <v>8909629.0</v>
      </c>
      <c r="F2437" s="4">
        <v>36.0</v>
      </c>
      <c r="G2437" s="4" t="s">
        <v>4171</v>
      </c>
    </row>
    <row r="2438">
      <c r="A2438" s="1">
        <v>2436.0</v>
      </c>
      <c r="B2438" s="4" t="s">
        <v>4101</v>
      </c>
      <c r="C2438" s="4" t="str">
        <f>IFERROR(__xludf.DUMMYFUNCTION("GOOGLETRANSLATE(D:D,""auto"",""en"")"),"Hardcore donated Sister silver bullion dropped away")</f>
        <v>Hardcore donated Sister silver bullion dropped away</v>
      </c>
      <c r="D2438" s="4" t="s">
        <v>4172</v>
      </c>
      <c r="E2438" s="4">
        <v>8790688.0</v>
      </c>
      <c r="F2438" s="4">
        <v>37.0</v>
      </c>
      <c r="G2438" s="4" t="s">
        <v>4173</v>
      </c>
    </row>
    <row r="2439">
      <c r="A2439" s="1">
        <v>2437.0</v>
      </c>
      <c r="B2439" s="4" t="s">
        <v>4101</v>
      </c>
      <c r="C2439" s="4" t="str">
        <f>IFERROR(__xludf.DUMMYFUNCTION("GOOGLETRANSLATE(D:D,""auto"",""en"")"),"In other wall with its own remote station")</f>
        <v>In other wall with its own remote station</v>
      </c>
      <c r="D2439" s="4" t="s">
        <v>4174</v>
      </c>
      <c r="E2439" s="4">
        <v>8690091.0</v>
      </c>
      <c r="F2439" s="4">
        <v>38.0</v>
      </c>
      <c r="G2439" s="4" t="s">
        <v>4175</v>
      </c>
    </row>
    <row r="2440">
      <c r="A2440" s="1">
        <v>2438.0</v>
      </c>
      <c r="B2440" s="4" t="s">
        <v>4101</v>
      </c>
      <c r="C2440" s="4" t="str">
        <f>IFERROR(__xludf.DUMMYFUNCTION("GOOGLETRANSLATE(D:D,""auto"",""en"")"),"Epidemic situation to achieve three for the first time")</f>
        <v>Epidemic situation to achieve three for the first time</v>
      </c>
      <c r="D2440" s="4" t="s">
        <v>4176</v>
      </c>
      <c r="E2440" s="4">
        <v>8688743.0</v>
      </c>
      <c r="F2440" s="4">
        <v>39.0</v>
      </c>
      <c r="G2440" s="4" t="s">
        <v>4177</v>
      </c>
    </row>
    <row r="2441">
      <c r="A2441" s="1">
        <v>2439.0</v>
      </c>
      <c r="B2441" s="4" t="s">
        <v>4101</v>
      </c>
      <c r="C2441" s="4" t="str">
        <f>IFERROR(__xludf.DUMMYFUNCTION("GOOGLETRANSLATE(D:D,""auto"",""en"")"),"Wuchang hospital president Liu Zhiming still in the rescue")</f>
        <v>Wuchang hospital president Liu Zhiming still in the rescue</v>
      </c>
      <c r="D2441" s="4" t="s">
        <v>4178</v>
      </c>
      <c r="E2441" s="4">
        <v>8501042.0</v>
      </c>
      <c r="F2441" s="4">
        <v>40.0</v>
      </c>
      <c r="G2441" s="4" t="s">
        <v>4179</v>
      </c>
    </row>
    <row r="2442">
      <c r="A2442" s="1">
        <v>2440.0</v>
      </c>
      <c r="B2442" s="4" t="s">
        <v>4101</v>
      </c>
      <c r="C2442" s="4" t="str">
        <f>IFERROR(__xludf.DUMMYFUNCTION("GOOGLETRANSLATE(D:D,""auto"",""en"")"),"Wuhan Raytheon Hill's first patient was discharged cured")</f>
        <v>Wuhan Raytheon Hill's first patient was discharged cured</v>
      </c>
      <c r="D2442" s="4" t="s">
        <v>4180</v>
      </c>
      <c r="E2442" s="4">
        <v>8491426.0</v>
      </c>
      <c r="F2442" s="4">
        <v>41.0</v>
      </c>
      <c r="G2442" s="4" t="s">
        <v>4181</v>
      </c>
    </row>
    <row r="2443">
      <c r="A2443" s="1">
        <v>2441.0</v>
      </c>
      <c r="B2443" s="4" t="s">
        <v>4101</v>
      </c>
      <c r="C2443" s="4" t="str">
        <f>IFERROR(__xludf.DUMMYFUNCTION("GOOGLETRANSLATE(D:D,""auto"",""en"")"),"Over three thousand new medical crown virus infection")</f>
        <v>Over three thousand new medical crown virus infection</v>
      </c>
      <c r="D2443" s="4" t="s">
        <v>4182</v>
      </c>
      <c r="E2443" s="4">
        <v>8387408.0</v>
      </c>
      <c r="F2443" s="4">
        <v>42.0</v>
      </c>
      <c r="G2443" s="4" t="s">
        <v>4183</v>
      </c>
    </row>
    <row r="2444">
      <c r="A2444" s="1">
        <v>2442.0</v>
      </c>
      <c r="B2444" s="4" t="s">
        <v>4101</v>
      </c>
      <c r="C2444" s="4" t="str">
        <f>IFERROR(__xludf.DUMMYFUNCTION("GOOGLETRANSLATE(D:D,""auto"",""en"")"),"Diamond Princess All personnel sample provision")</f>
        <v>Diamond Princess All personnel sample provision</v>
      </c>
      <c r="D2444" s="4" t="s">
        <v>4184</v>
      </c>
      <c r="E2444" s="4">
        <v>8365565.0</v>
      </c>
      <c r="F2444" s="4">
        <v>43.0</v>
      </c>
      <c r="G2444" s="4" t="s">
        <v>4185</v>
      </c>
    </row>
    <row r="2445">
      <c r="A2445" s="1">
        <v>2443.0</v>
      </c>
      <c r="B2445" s="4" t="s">
        <v>4101</v>
      </c>
      <c r="C2445" s="4" t="str">
        <f>IFERROR(__xludf.DUMMYFUNCTION("GOOGLETRANSLATE(D:D,""auto"",""en"")"),"Zhong Nanshan response to chloroquine phosphate is not a cure")</f>
        <v>Zhong Nanshan response to chloroquine phosphate is not a cure</v>
      </c>
      <c r="D2445" s="4" t="s">
        <v>4186</v>
      </c>
      <c r="E2445" s="4">
        <v>8270776.0</v>
      </c>
      <c r="F2445" s="4">
        <v>44.0</v>
      </c>
      <c r="G2445" s="4" t="s">
        <v>4187</v>
      </c>
    </row>
    <row r="2446">
      <c r="A2446" s="1">
        <v>2444.0</v>
      </c>
      <c r="B2446" s="4" t="s">
        <v>4101</v>
      </c>
      <c r="C2446" s="4" t="str">
        <f>IFERROR(__xludf.DUMMYFUNCTION("GOOGLETRANSLATE(D:D,""auto"",""en"")"),"Ouyang Nana Tomorrow will be better")</f>
        <v>Ouyang Nana Tomorrow will be better</v>
      </c>
      <c r="D2446" s="4" t="s">
        <v>4188</v>
      </c>
      <c r="E2446" s="4">
        <v>8234817.0</v>
      </c>
      <c r="F2446" s="4">
        <v>45.0</v>
      </c>
      <c r="G2446" s="4" t="s">
        <v>4189</v>
      </c>
    </row>
    <row r="2447">
      <c r="A2447" s="1">
        <v>2445.0</v>
      </c>
      <c r="B2447" s="4" t="s">
        <v>4101</v>
      </c>
      <c r="C2447" s="4" t="str">
        <f>IFERROR(__xludf.DUMMYFUNCTION("GOOGLETRANSLATE(D:D,""auto"",""en"")"),"Doctors wear protective clothing 17 years ago SARS")</f>
        <v>Doctors wear protective clothing 17 years ago SARS</v>
      </c>
      <c r="D2447" s="4" t="s">
        <v>4190</v>
      </c>
      <c r="E2447" s="4">
        <v>8231084.0</v>
      </c>
      <c r="F2447" s="4">
        <v>46.0</v>
      </c>
      <c r="G2447" s="4" t="s">
        <v>4191</v>
      </c>
    </row>
    <row r="2448">
      <c r="A2448" s="1">
        <v>2446.0</v>
      </c>
      <c r="B2448" s="4" t="s">
        <v>4101</v>
      </c>
      <c r="C2448" s="4" t="str">
        <f>IFERROR(__xludf.DUMMYFUNCTION("GOOGLETRANSLATE(D:D,""auto"",""en"")"),"Song Yuan Ye Luming father threatened to take the money")</f>
        <v>Song Yuan Ye Luming father threatened to take the money</v>
      </c>
      <c r="D2448" s="4" t="s">
        <v>4027</v>
      </c>
      <c r="E2448" s="4">
        <v>8179538.0</v>
      </c>
      <c r="F2448" s="4">
        <v>47.0</v>
      </c>
      <c r="G2448" s="4" t="s">
        <v>4028</v>
      </c>
    </row>
    <row r="2449">
      <c r="A2449" s="1">
        <v>2447.0</v>
      </c>
      <c r="B2449" s="4" t="s">
        <v>4101</v>
      </c>
      <c r="C2449" s="4" t="str">
        <f>IFERROR(__xludf.DUMMYFUNCTION("GOOGLETRANSLATE(D:D,""auto"",""en"")"),"Wu Yifan fans to leave the health care concert tickets")</f>
        <v>Wu Yifan fans to leave the health care concert tickets</v>
      </c>
      <c r="D2449" s="4" t="s">
        <v>4192</v>
      </c>
      <c r="E2449" s="4">
        <v>8157515.0</v>
      </c>
      <c r="F2449" s="4">
        <v>48.0</v>
      </c>
      <c r="G2449" s="4" t="s">
        <v>4193</v>
      </c>
    </row>
    <row r="2450">
      <c r="A2450" s="1">
        <v>2448.0</v>
      </c>
      <c r="B2450" s="4" t="s">
        <v>4101</v>
      </c>
      <c r="C2450" s="4" t="str">
        <f>IFERROR(__xludf.DUMMYFUNCTION("GOOGLETRANSLATE(D:D,""auto"",""en"")"),"The central enterprises being involved in drug vaccine research and development of new crown")</f>
        <v>The central enterprises being involved in drug vaccine research and development of new crown</v>
      </c>
      <c r="D2450" s="4" t="s">
        <v>4194</v>
      </c>
      <c r="E2450" s="4">
        <v>8156100.0</v>
      </c>
      <c r="F2450" s="4">
        <v>49.0</v>
      </c>
      <c r="G2450" s="4" t="s">
        <v>4195</v>
      </c>
    </row>
    <row r="2451">
      <c r="A2451" s="1">
        <v>2449.0</v>
      </c>
      <c r="B2451" s="4" t="s">
        <v>4101</v>
      </c>
      <c r="C2451" s="4" t="str">
        <f>IFERROR(__xludf.DUMMYFUNCTION("GOOGLETRANSLATE(D:D,""auto"",""en"")"),"Wuhan to take the most stringent precautionary measures")</f>
        <v>Wuhan to take the most stringent precautionary measures</v>
      </c>
      <c r="D2451" s="4" t="s">
        <v>4196</v>
      </c>
      <c r="E2451" s="4">
        <v>8107995.0</v>
      </c>
      <c r="F2451" s="4">
        <v>50.0</v>
      </c>
      <c r="G2451" s="4" t="s">
        <v>4197</v>
      </c>
    </row>
    <row r="2452">
      <c r="A2452" s="1">
        <v>2450.0</v>
      </c>
      <c r="B2452" s="4" t="s">
        <v>4198</v>
      </c>
      <c r="C2452" s="4" t="str">
        <f>IFERROR(__xludf.DUMMYFUNCTION("GOOGLETRANSLATE(D:D,""auto"",""en"")"),"Shuang Cheng admitted the reasons sharp thin")</f>
        <v>Shuang Cheng admitted the reasons sharp thin</v>
      </c>
      <c r="D2452" s="4" t="s">
        <v>4132</v>
      </c>
      <c r="E2452" s="4">
        <v>1.2909796E7</v>
      </c>
      <c r="F2452" s="4">
        <v>1.0</v>
      </c>
      <c r="G2452" s="4" t="s">
        <v>4133</v>
      </c>
    </row>
    <row r="2453">
      <c r="A2453" s="1">
        <v>2451.0</v>
      </c>
      <c r="B2453" s="4" t="s">
        <v>4198</v>
      </c>
      <c r="C2453" s="4" t="str">
        <f>IFERROR(__xludf.DUMMYFUNCTION("GOOGLETRANSLATE(D:D,""auto"",""en"")"),"Xiaogan response to a family of three playing mahjong is processed")</f>
        <v>Xiaogan response to a family of three playing mahjong is processed</v>
      </c>
      <c r="D2453" s="4" t="s">
        <v>4199</v>
      </c>
      <c r="E2453" s="4">
        <v>1.2565421E7</v>
      </c>
      <c r="F2453" s="4">
        <v>2.0</v>
      </c>
      <c r="G2453" s="4" t="s">
        <v>4200</v>
      </c>
    </row>
    <row r="2454">
      <c r="A2454" s="1">
        <v>2452.0</v>
      </c>
      <c r="B2454" s="4" t="s">
        <v>4198</v>
      </c>
      <c r="C2454" s="4" t="str">
        <f>IFERROR(__xludf.DUMMYFUNCTION("GOOGLETRANSLATE(D:D,""auto"",""en"")"),"Li Ruzhi eat the chicken")</f>
        <v>Li Ruzhi eat the chicken</v>
      </c>
      <c r="D2454" s="4" t="s">
        <v>4124</v>
      </c>
      <c r="E2454" s="4">
        <v>1.22745E7</v>
      </c>
      <c r="F2454" s="4">
        <v>3.0</v>
      </c>
      <c r="G2454" s="4" t="s">
        <v>4125</v>
      </c>
    </row>
    <row r="2455">
      <c r="A2455" s="1">
        <v>2453.0</v>
      </c>
      <c r="B2455" s="4" t="s">
        <v>4198</v>
      </c>
      <c r="C2455" s="4" t="str">
        <f>IFERROR(__xludf.DUMMYFUNCTION("GOOGLETRANSLATE(D:D,""auto"",""en"")"),"never and sister playing up")</f>
        <v>never and sister playing up</v>
      </c>
      <c r="D2455" s="4" t="s">
        <v>4201</v>
      </c>
      <c r="E2455" s="4">
        <v>1.1919651E7</v>
      </c>
      <c r="F2455" s="4">
        <v>4.0</v>
      </c>
      <c r="G2455" s="4" t="s">
        <v>4202</v>
      </c>
    </row>
    <row r="2456">
      <c r="A2456" s="1">
        <v>2454.0</v>
      </c>
      <c r="B2456" s="4" t="s">
        <v>4198</v>
      </c>
      <c r="C2456" s="4" t="str">
        <f>IFERROR(__xludf.DUMMYFUNCTION("GOOGLETRANSLATE(D:D,""auto"",""en"")"),"Dean Wuchang hospital with his wife of micro-channel dialogue")</f>
        <v>Dean Wuchang hospital with his wife of micro-channel dialogue</v>
      </c>
      <c r="D2456" s="4" t="s">
        <v>4203</v>
      </c>
      <c r="E2456" s="4">
        <v>1.1660883E7</v>
      </c>
      <c r="F2456" s="4">
        <v>5.0</v>
      </c>
      <c r="G2456" s="4" t="s">
        <v>4204</v>
      </c>
    </row>
    <row r="2457">
      <c r="A2457" s="1">
        <v>2455.0</v>
      </c>
      <c r="B2457" s="4" t="s">
        <v>4198</v>
      </c>
      <c r="C2457" s="4" t="str">
        <f>IFERROR(__xludf.DUMMYFUNCTION("GOOGLETRANSLATE(D:D,""auto"",""en"")"),"India's current plague of locusts has been completed")</f>
        <v>India's current plague of locusts has been completed</v>
      </c>
      <c r="D2457" s="4" t="s">
        <v>4205</v>
      </c>
      <c r="E2457" s="4">
        <v>1.1370413E7</v>
      </c>
      <c r="F2457" s="4">
        <v>6.0</v>
      </c>
      <c r="G2457" s="4" t="s">
        <v>4206</v>
      </c>
    </row>
    <row r="2458">
      <c r="A2458" s="1">
        <v>2456.0</v>
      </c>
      <c r="B2458" s="4" t="s">
        <v>4198</v>
      </c>
      <c r="C2458" s="4" t="str">
        <f>IFERROR(__xludf.DUMMYFUNCTION("GOOGLETRANSLATE(D:D,""auto"",""en"")"),"National new confirmed cases 1749 cases")</f>
        <v>National new confirmed cases 1749 cases</v>
      </c>
      <c r="D2458" s="4" t="s">
        <v>4207</v>
      </c>
      <c r="E2458" s="4">
        <v>1.133706E7</v>
      </c>
      <c r="F2458" s="4">
        <v>7.0</v>
      </c>
      <c r="G2458" s="4" t="s">
        <v>4208</v>
      </c>
    </row>
    <row r="2459">
      <c r="A2459" s="1">
        <v>2457.0</v>
      </c>
      <c r="B2459" s="4" t="s">
        <v>4198</v>
      </c>
      <c r="C2459" s="4" t="str">
        <f>IFERROR(__xludf.DUMMYFUNCTION("GOOGLETRANSLATE(D:D,""auto"",""en"")"),"Hubei new confirmed cases 1693 cases")</f>
        <v>Hubei new confirmed cases 1693 cases</v>
      </c>
      <c r="D2459" s="4" t="s">
        <v>4209</v>
      </c>
      <c r="E2459" s="4">
        <v>1.1299922E7</v>
      </c>
      <c r="F2459" s="4">
        <v>8.0</v>
      </c>
      <c r="G2459" s="4" t="s">
        <v>4210</v>
      </c>
    </row>
    <row r="2460">
      <c r="A2460" s="1">
        <v>2458.0</v>
      </c>
      <c r="B2460" s="4" t="s">
        <v>4198</v>
      </c>
      <c r="C2460" s="4" t="str">
        <f>IFERROR(__xludf.DUMMYFUNCTION("GOOGLETRANSLATE(D:D,""auto"",""en"")"),"Late last year may have 104 infected")</f>
        <v>Late last year may have 104 infected</v>
      </c>
      <c r="D2460" s="4" t="s">
        <v>4211</v>
      </c>
      <c r="E2460" s="4">
        <v>1.1275593E7</v>
      </c>
      <c r="F2460" s="4">
        <v>9.0</v>
      </c>
      <c r="G2460" s="4" t="s">
        <v>4212</v>
      </c>
    </row>
    <row r="2461">
      <c r="A2461" s="1">
        <v>2459.0</v>
      </c>
      <c r="B2461" s="4" t="s">
        <v>4198</v>
      </c>
      <c r="C2461" s="4" t="str">
        <f>IFERROR(__xludf.DUMMYFUNCTION("GOOGLETRANSLATE(D:D,""auto"",""en"")"),"Indian filmmaker intends to sue the parasite plagiarism")</f>
        <v>Indian filmmaker intends to sue the parasite plagiarism</v>
      </c>
      <c r="D2461" s="4" t="s">
        <v>4213</v>
      </c>
      <c r="E2461" s="4">
        <v>1.1111046E7</v>
      </c>
      <c r="F2461" s="4">
        <v>10.0</v>
      </c>
      <c r="G2461" s="4" t="s">
        <v>4214</v>
      </c>
    </row>
    <row r="2462">
      <c r="A2462" s="1">
        <v>2460.0</v>
      </c>
      <c r="B2462" s="4" t="s">
        <v>4198</v>
      </c>
      <c r="C2462" s="4" t="str">
        <f>IFERROR(__xludf.DUMMYFUNCTION("GOOGLETRANSLATE(D:D,""auto"",""en"")"),"Weather forecast dancing female anchor")</f>
        <v>Weather forecast dancing female anchor</v>
      </c>
      <c r="D2462" s="4" t="s">
        <v>4215</v>
      </c>
      <c r="E2462" s="4">
        <v>1.1034371E7</v>
      </c>
      <c r="F2462" s="4">
        <v>11.0</v>
      </c>
      <c r="G2462" s="4" t="s">
        <v>4216</v>
      </c>
    </row>
    <row r="2463">
      <c r="A2463" s="1">
        <v>2461.0</v>
      </c>
      <c r="B2463" s="4" t="s">
        <v>4198</v>
      </c>
      <c r="C2463" s="4" t="str">
        <f>IFERROR(__xludf.DUMMYFUNCTION("GOOGLETRANSLATE(D:D,""auto"",""en"")"),"Mask holding capacity in recent days at 100%")</f>
        <v>Mask holding capacity in recent days at 100%</v>
      </c>
      <c r="D2463" s="4" t="s">
        <v>4217</v>
      </c>
      <c r="E2463" s="4">
        <v>1.0985122E7</v>
      </c>
      <c r="F2463" s="4">
        <v>12.0</v>
      </c>
      <c r="G2463" s="4" t="s">
        <v>4218</v>
      </c>
    </row>
    <row r="2464">
      <c r="A2464" s="1">
        <v>2462.0</v>
      </c>
      <c r="B2464" s="4" t="s">
        <v>4198</v>
      </c>
      <c r="C2464" s="4" t="str">
        <f>IFERROR(__xludf.DUMMYFUNCTION("GOOGLETRANSLATE(D:D,""auto"",""en"")"),"Zhang Yu Jian's first vibrato")</f>
        <v>Zhang Yu Jian's first vibrato</v>
      </c>
      <c r="D2464" s="4" t="s">
        <v>4219</v>
      </c>
      <c r="E2464" s="4">
        <v>1.0879252E7</v>
      </c>
      <c r="F2464" s="4">
        <v>13.0</v>
      </c>
      <c r="G2464" s="4" t="s">
        <v>4220</v>
      </c>
    </row>
    <row r="2465">
      <c r="A2465" s="1">
        <v>2463.0</v>
      </c>
      <c r="B2465" s="4" t="s">
        <v>4198</v>
      </c>
      <c r="C2465" s="4" t="str">
        <f>IFERROR(__xludf.DUMMYFUNCTION("GOOGLETRANSLATE(D:D,""auto"",""en"")"),"323 newly diagnosed patients with severe mental disorders crown pneumonia")</f>
        <v>323 newly diagnosed patients with severe mental disorders crown pneumonia</v>
      </c>
      <c r="D2465" s="4" t="s">
        <v>4221</v>
      </c>
      <c r="E2465" s="4">
        <v>1.0616546E7</v>
      </c>
      <c r="F2465" s="4">
        <v>14.0</v>
      </c>
      <c r="G2465" s="4" t="s">
        <v>4222</v>
      </c>
    </row>
    <row r="2466">
      <c r="A2466" s="1">
        <v>2464.0</v>
      </c>
      <c r="B2466" s="4" t="s">
        <v>4198</v>
      </c>
      <c r="C2466" s="4" t="str">
        <f>IFERROR(__xludf.DUMMYFUNCTION("GOOGLETRANSLATE(D:D,""auto"",""en"")"),"Jay wants to see you salute")</f>
        <v>Jay wants to see you salute</v>
      </c>
      <c r="D2466" s="4" t="s">
        <v>4223</v>
      </c>
      <c r="E2466" s="4">
        <v>1.0434074E7</v>
      </c>
      <c r="F2466" s="4">
        <v>15.0</v>
      </c>
      <c r="G2466" s="4" t="s">
        <v>4224</v>
      </c>
    </row>
    <row r="2467">
      <c r="A2467" s="1">
        <v>2465.0</v>
      </c>
      <c r="B2467" s="4" t="s">
        <v>4198</v>
      </c>
      <c r="C2467" s="4" t="str">
        <f>IFERROR(__xludf.DUMMYFUNCTION("GOOGLETRANSLATE(D:D,""auto"",""en"")"),"3-year-old Syrian refugee hear laughter bombing")</f>
        <v>3-year-old Syrian refugee hear laughter bombing</v>
      </c>
      <c r="D2467" s="4" t="s">
        <v>4225</v>
      </c>
      <c r="E2467" s="4">
        <v>1.0309652E7</v>
      </c>
      <c r="F2467" s="4">
        <v>16.0</v>
      </c>
      <c r="G2467" s="4" t="s">
        <v>4226</v>
      </c>
    </row>
    <row r="2468">
      <c r="A2468" s="1">
        <v>2466.0</v>
      </c>
      <c r="B2468" s="4" t="s">
        <v>4198</v>
      </c>
      <c r="C2468" s="4" t="str">
        <f>IFERROR(__xludf.DUMMYFUNCTION("GOOGLETRANSLATE(D:D,""auto"",""en"")"),"Nearly 40,000 packages of sanitary napkins arrived in Wuhan")</f>
        <v>Nearly 40,000 packages of sanitary napkins arrived in Wuhan</v>
      </c>
      <c r="D2468" s="4" t="s">
        <v>4227</v>
      </c>
      <c r="E2468" s="4">
        <v>1.0047554E7</v>
      </c>
      <c r="F2468" s="4">
        <v>17.0</v>
      </c>
      <c r="G2468" s="4" t="s">
        <v>4228</v>
      </c>
    </row>
    <row r="2469">
      <c r="A2469" s="1">
        <v>2467.0</v>
      </c>
      <c r="B2469" s="4" t="s">
        <v>4198</v>
      </c>
      <c r="C2469" s="4" t="str">
        <f>IFERROR(__xludf.DUMMYFUNCTION("GOOGLETRANSLATE(D:D,""auto"",""en"")"),"Zhou Rui live to teach math")</f>
        <v>Zhou Rui live to teach math</v>
      </c>
      <c r="D2469" s="4" t="s">
        <v>4229</v>
      </c>
      <c r="E2469" s="4">
        <v>9977143.0</v>
      </c>
      <c r="F2469" s="4">
        <v>18.0</v>
      </c>
      <c r="G2469" s="4" t="s">
        <v>4230</v>
      </c>
    </row>
    <row r="2470">
      <c r="A2470" s="1">
        <v>2468.0</v>
      </c>
      <c r="B2470" s="4" t="s">
        <v>4198</v>
      </c>
      <c r="C2470" s="4" t="str">
        <f>IFERROR(__xludf.DUMMYFUNCTION("GOOGLETRANSLATE(D:D,""auto"",""en"")"),"Wu Yifan fans to leave the health care concert tickets")</f>
        <v>Wu Yifan fans to leave the health care concert tickets</v>
      </c>
      <c r="D2470" s="4" t="s">
        <v>4192</v>
      </c>
      <c r="E2470" s="4">
        <v>9975394.0</v>
      </c>
      <c r="F2470" s="4">
        <v>19.0</v>
      </c>
      <c r="G2470" s="4" t="s">
        <v>4193</v>
      </c>
    </row>
    <row r="2471">
      <c r="A2471" s="1">
        <v>2469.0</v>
      </c>
      <c r="B2471" s="4" t="s">
        <v>4198</v>
      </c>
      <c r="C2471" s="4" t="str">
        <f>IFERROR(__xludf.DUMMYFUNCTION("GOOGLETRANSLATE(D:D,""auto"",""en"")"),"Hubei than 15 new cases a fall")</f>
        <v>Hubei than 15 new cases a fall</v>
      </c>
      <c r="D2471" s="4" t="s">
        <v>4231</v>
      </c>
      <c r="E2471" s="4">
        <v>9889546.0</v>
      </c>
      <c r="F2471" s="4">
        <v>20.0</v>
      </c>
      <c r="G2471" s="4" t="s">
        <v>4232</v>
      </c>
    </row>
    <row r="2472">
      <c r="A2472" s="1">
        <v>2470.0</v>
      </c>
      <c r="B2472" s="4" t="s">
        <v>4198</v>
      </c>
      <c r="C2472" s="4" t="str">
        <f>IFERROR(__xludf.DUMMYFUNCTION("GOOGLETRANSLATE(D:D,""auto"",""en"")"),"Chinese Center for Disease Control latest heavyweight paper")</f>
        <v>Chinese Center for Disease Control latest heavyweight paper</v>
      </c>
      <c r="D2472" s="4" t="s">
        <v>4233</v>
      </c>
      <c r="E2472" s="4">
        <v>9771751.0</v>
      </c>
      <c r="F2472" s="4">
        <v>21.0</v>
      </c>
      <c r="G2472" s="4" t="s">
        <v>4234</v>
      </c>
    </row>
    <row r="2473">
      <c r="A2473" s="1">
        <v>2471.0</v>
      </c>
      <c r="B2473" s="4" t="s">
        <v>4198</v>
      </c>
      <c r="C2473" s="4" t="str">
        <f>IFERROR(__xludf.DUMMYFUNCTION("GOOGLETRANSLATE(D:D,""auto"",""en"")"),"Mrs. Zhong Nanshan fitness coach")</f>
        <v>Mrs. Zhong Nanshan fitness coach</v>
      </c>
      <c r="D2473" s="4" t="s">
        <v>4235</v>
      </c>
      <c r="E2473" s="4">
        <v>9629697.0</v>
      </c>
      <c r="F2473" s="4">
        <v>22.0</v>
      </c>
      <c r="G2473" s="4" t="s">
        <v>4236</v>
      </c>
    </row>
    <row r="2474">
      <c r="A2474" s="1">
        <v>2472.0</v>
      </c>
      <c r="B2474" s="4" t="s">
        <v>4198</v>
      </c>
      <c r="C2474" s="4" t="str">
        <f>IFERROR(__xludf.DUMMYFUNCTION("GOOGLETRANSLATE(D:D,""auto"",""en"")"),"Zhang Yu Jian had acted in Langya list")</f>
        <v>Zhang Yu Jian had acted in Langya list</v>
      </c>
      <c r="D2474" s="4" t="s">
        <v>4237</v>
      </c>
      <c r="E2474" s="4">
        <v>9563755.0</v>
      </c>
      <c r="F2474" s="4">
        <v>23.0</v>
      </c>
      <c r="G2474" s="4" t="s">
        <v>4238</v>
      </c>
    </row>
    <row r="2475">
      <c r="A2475" s="1">
        <v>2473.0</v>
      </c>
      <c r="B2475" s="4" t="s">
        <v>4198</v>
      </c>
      <c r="C2475" s="4" t="str">
        <f>IFERROR(__xludf.DUMMYFUNCTION("GOOGLETRANSLATE(D:D,""auto"",""en"")"),"Gansu sudden forest fires")</f>
        <v>Gansu sudden forest fires</v>
      </c>
      <c r="D2475" s="4" t="s">
        <v>4239</v>
      </c>
      <c r="E2475" s="4">
        <v>9485200.0</v>
      </c>
      <c r="F2475" s="4">
        <v>24.0</v>
      </c>
      <c r="G2475" s="4" t="s">
        <v>4240</v>
      </c>
    </row>
    <row r="2476">
      <c r="A2476" s="1">
        <v>2474.0</v>
      </c>
      <c r="B2476" s="4" t="s">
        <v>4198</v>
      </c>
      <c r="C2476" s="4" t="str">
        <f>IFERROR(__xludf.DUMMYFUNCTION("GOOGLETRANSLATE(D:D,""auto"",""en"")"),"Pork wholesale price of 50 yuan per kilogram")</f>
        <v>Pork wholesale price of 50 yuan per kilogram</v>
      </c>
      <c r="D2476" s="4" t="s">
        <v>4241</v>
      </c>
      <c r="E2476" s="4">
        <v>9409949.0</v>
      </c>
      <c r="F2476" s="4">
        <v>25.0</v>
      </c>
      <c r="G2476" s="4" t="s">
        <v>4242</v>
      </c>
    </row>
    <row r="2477">
      <c r="A2477" s="1">
        <v>2475.0</v>
      </c>
      <c r="B2477" s="4" t="s">
        <v>4198</v>
      </c>
      <c r="C2477" s="4" t="str">
        <f>IFERROR(__xludf.DUMMYFUNCTION("GOOGLETRANSLATE(D:D,""auto"",""en"")"),"rainwater")</f>
        <v>rainwater</v>
      </c>
      <c r="D2477" s="4" t="s">
        <v>4243</v>
      </c>
      <c r="E2477" s="4">
        <v>9313964.0</v>
      </c>
      <c r="F2477" s="4">
        <v>26.0</v>
      </c>
      <c r="G2477" s="4" t="s">
        <v>4244</v>
      </c>
    </row>
    <row r="2478">
      <c r="A2478" s="1">
        <v>2476.0</v>
      </c>
      <c r="B2478" s="4" t="s">
        <v>4198</v>
      </c>
      <c r="C2478" s="4" t="str">
        <f>IFERROR(__xludf.DUMMYFUNCTION("GOOGLETRANSLATE(D:D,""auto"",""en"")"),"Vulcan Mountain witness of love octogenarian veterans")</f>
        <v>Vulcan Mountain witness of love octogenarian veterans</v>
      </c>
      <c r="D2478" s="4" t="s">
        <v>4245</v>
      </c>
      <c r="E2478" s="4">
        <v>9148315.0</v>
      </c>
      <c r="F2478" s="4">
        <v>27.0</v>
      </c>
      <c r="G2478" s="4" t="s">
        <v>4246</v>
      </c>
    </row>
    <row r="2479">
      <c r="A2479" s="1">
        <v>2477.0</v>
      </c>
      <c r="B2479" s="4" t="s">
        <v>4198</v>
      </c>
      <c r="C2479" s="4" t="str">
        <f>IFERROR(__xludf.DUMMYFUNCTION("GOOGLETRANSLATE(D:D,""auto"",""en"")"),"Wuhan party secretary put relentless accountability")</f>
        <v>Wuhan party secretary put relentless accountability</v>
      </c>
      <c r="D2479" s="4" t="s">
        <v>4247</v>
      </c>
      <c r="E2479" s="4">
        <v>9139559.0</v>
      </c>
      <c r="F2479" s="4">
        <v>28.0</v>
      </c>
      <c r="G2479" s="4" t="s">
        <v>4248</v>
      </c>
    </row>
    <row r="2480">
      <c r="A2480" s="1">
        <v>2478.0</v>
      </c>
      <c r="B2480" s="4" t="s">
        <v>4198</v>
      </c>
      <c r="C2480" s="4" t="str">
        <f>IFERROR(__xludf.DUMMYFUNCTION("GOOGLETRANSLATE(D:D,""auto"",""en"")"),"Syria girls laughed after hearing a bomb blast")</f>
        <v>Syria girls laughed after hearing a bomb blast</v>
      </c>
      <c r="D2480" s="4" t="s">
        <v>4249</v>
      </c>
      <c r="E2480" s="4">
        <v>9128120.0</v>
      </c>
      <c r="F2480" s="4">
        <v>29.0</v>
      </c>
      <c r="G2480" s="4" t="s">
        <v>4250</v>
      </c>
    </row>
    <row r="2481">
      <c r="A2481" s="1">
        <v>2479.0</v>
      </c>
      <c r="B2481" s="4" t="s">
        <v>4198</v>
      </c>
      <c r="C2481" s="4" t="str">
        <f>IFERROR(__xludf.DUMMYFUNCTION("GOOGLETRANSLATE(D:D,""auto"",""en"")"),"Forced to accompany Order")</f>
        <v>Forced to accompany Order</v>
      </c>
      <c r="D2481" s="4" t="s">
        <v>4251</v>
      </c>
      <c r="E2481" s="4">
        <v>9111595.0</v>
      </c>
      <c r="F2481" s="4">
        <v>30.0</v>
      </c>
      <c r="G2481" s="4" t="s">
        <v>4252</v>
      </c>
    </row>
    <row r="2482">
      <c r="A2482" s="1">
        <v>2480.0</v>
      </c>
      <c r="B2482" s="4" t="s">
        <v>4198</v>
      </c>
      <c r="C2482" s="4" t="str">
        <f>IFERROR(__xludf.DUMMYFUNCTION("GOOGLETRANSLATE(D:D,""auto"",""en"")"),"Zhong Nanshan represents Wuhan has not stopped human transmission")</f>
        <v>Zhong Nanshan represents Wuhan has not stopped human transmission</v>
      </c>
      <c r="D2482" s="4" t="s">
        <v>4146</v>
      </c>
      <c r="E2482" s="4">
        <v>9040461.0</v>
      </c>
      <c r="F2482" s="4">
        <v>31.0</v>
      </c>
      <c r="G2482" s="4" t="s">
        <v>4147</v>
      </c>
    </row>
    <row r="2483">
      <c r="A2483" s="1">
        <v>2481.0</v>
      </c>
      <c r="B2483" s="4" t="s">
        <v>4198</v>
      </c>
      <c r="C2483" s="4" t="str">
        <f>IFERROR(__xludf.DUMMYFUNCTION("GOOGLETRANSLATE(D:D,""auto"",""en"")"),"Hubei Ezhou Wei, director of health committee is removed from office")</f>
        <v>Hubei Ezhou Wei, director of health committee is removed from office</v>
      </c>
      <c r="D2483" s="4" t="s">
        <v>4253</v>
      </c>
      <c r="E2483" s="4">
        <v>8917898.0</v>
      </c>
      <c r="F2483" s="4">
        <v>32.0</v>
      </c>
      <c r="G2483" s="4" t="s">
        <v>4254</v>
      </c>
    </row>
    <row r="2484">
      <c r="A2484" s="1">
        <v>2482.0</v>
      </c>
      <c r="B2484" s="4" t="s">
        <v>4198</v>
      </c>
      <c r="C2484" s="4" t="str">
        <f>IFERROR(__xludf.DUMMYFUNCTION("GOOGLETRANSLATE(D:D,""auto"",""en"")"),"The State Council decided phased reduction of corporate social security charges")</f>
        <v>The State Council decided phased reduction of corporate social security charges</v>
      </c>
      <c r="D2484" s="4" t="s">
        <v>4255</v>
      </c>
      <c r="E2484" s="4">
        <v>8893356.0</v>
      </c>
      <c r="F2484" s="4">
        <v>33.0</v>
      </c>
      <c r="G2484" s="4" t="s">
        <v>4256</v>
      </c>
    </row>
    <row r="2485">
      <c r="A2485" s="1">
        <v>2483.0</v>
      </c>
      <c r="B2485" s="4" t="s">
        <v>4198</v>
      </c>
      <c r="C2485" s="4" t="str">
        <f>IFERROR(__xludf.DUMMYFUNCTION("GOOGLETRANSLATE(D:D,""auto"",""en"")"),"Shanghai schools and online education since the beginning of March")</f>
        <v>Shanghai schools and online education since the beginning of March</v>
      </c>
      <c r="D2485" s="4" t="s">
        <v>4168</v>
      </c>
      <c r="E2485" s="4">
        <v>8829947.0</v>
      </c>
      <c r="F2485" s="4">
        <v>34.0</v>
      </c>
      <c r="G2485" s="4" t="s">
        <v>4169</v>
      </c>
    </row>
    <row r="2486">
      <c r="A2486" s="1">
        <v>2484.0</v>
      </c>
      <c r="B2486" s="4" t="s">
        <v>4198</v>
      </c>
      <c r="C2486" s="4" t="str">
        <f>IFERROR(__xludf.DUMMYFUNCTION("GOOGLETRANSLATE(D:D,""auto"",""en"")"),"Japan masks stolen a hospital 6000")</f>
        <v>Japan masks stolen a hospital 6000</v>
      </c>
      <c r="D2486" s="4" t="s">
        <v>4257</v>
      </c>
      <c r="E2486" s="4">
        <v>8702366.0</v>
      </c>
      <c r="F2486" s="4">
        <v>35.0</v>
      </c>
      <c r="G2486" s="4" t="s">
        <v>4258</v>
      </c>
    </row>
    <row r="2487">
      <c r="A2487" s="1">
        <v>2485.0</v>
      </c>
      <c r="B2487" s="4" t="s">
        <v>4198</v>
      </c>
      <c r="C2487" s="4" t="str">
        <f>IFERROR(__xludf.DUMMYFUNCTION("GOOGLETRANSLATE(D:D,""auto"",""en"")"),"Gansu Province in response to MCH nurses shaved head")</f>
        <v>Gansu Province in response to MCH nurses shaved head</v>
      </c>
      <c r="D2487" s="4" t="s">
        <v>4136</v>
      </c>
      <c r="E2487" s="4">
        <v>8641913.0</v>
      </c>
      <c r="F2487" s="4">
        <v>36.0</v>
      </c>
      <c r="G2487" s="4" t="s">
        <v>4137</v>
      </c>
    </row>
    <row r="2488">
      <c r="A2488" s="1">
        <v>2486.0</v>
      </c>
      <c r="B2488" s="4" t="s">
        <v>4198</v>
      </c>
      <c r="C2488" s="4" t="str">
        <f>IFERROR(__xludf.DUMMYFUNCTION("GOOGLETRANSLATE(D:D,""auto"",""en"")"),"Firemen roll scene science")</f>
        <v>Firemen roll scene science</v>
      </c>
      <c r="D2488" s="4" t="s">
        <v>4259</v>
      </c>
      <c r="E2488" s="4">
        <v>8577698.0</v>
      </c>
      <c r="F2488" s="4">
        <v>37.0</v>
      </c>
      <c r="G2488" s="4" t="s">
        <v>4260</v>
      </c>
    </row>
    <row r="2489">
      <c r="A2489" s="1">
        <v>2487.0</v>
      </c>
      <c r="B2489" s="4" t="s">
        <v>4198</v>
      </c>
      <c r="C2489" s="4" t="str">
        <f>IFERROR(__xludf.DUMMYFUNCTION("GOOGLETRANSLATE(D:D,""auto"",""en"")"),"Man dissatisfied epidemic prevention inspection checkpoints car crash")</f>
        <v>Man dissatisfied epidemic prevention inspection checkpoints car crash</v>
      </c>
      <c r="D2489" s="4" t="s">
        <v>4261</v>
      </c>
      <c r="E2489" s="4">
        <v>8477374.0</v>
      </c>
      <c r="F2489" s="4">
        <v>38.0</v>
      </c>
      <c r="G2489" s="4" t="s">
        <v>4262</v>
      </c>
    </row>
    <row r="2490">
      <c r="A2490" s="1">
        <v>2488.0</v>
      </c>
      <c r="B2490" s="4" t="s">
        <v>4198</v>
      </c>
      <c r="C2490" s="4" t="str">
        <f>IFERROR(__xludf.DUMMYFUNCTION("GOOGLETRANSLATE(D:D,""auto"",""en"")"),"Yang Song Xuedong married")</f>
        <v>Yang Song Xuedong married</v>
      </c>
      <c r="D2490" s="4" t="s">
        <v>4263</v>
      </c>
      <c r="E2490" s="4">
        <v>8369943.0</v>
      </c>
      <c r="F2490" s="4">
        <v>39.0</v>
      </c>
      <c r="G2490" s="4" t="s">
        <v>4264</v>
      </c>
    </row>
    <row r="2491">
      <c r="A2491" s="1">
        <v>2489.0</v>
      </c>
      <c r="B2491" s="4" t="s">
        <v>4198</v>
      </c>
      <c r="C2491" s="4" t="str">
        <f>IFERROR(__xludf.DUMMYFUNCTION("GOOGLETRANSLATE(D:D,""auto"",""en"")"),"Yi Xi smelt one thousand not sit position C")</f>
        <v>Yi Xi smelt one thousand not sit position C</v>
      </c>
      <c r="D2491" s="4" t="s">
        <v>4265</v>
      </c>
      <c r="E2491" s="4">
        <v>8227785.0</v>
      </c>
      <c r="F2491" s="4">
        <v>40.0</v>
      </c>
      <c r="G2491" s="4" t="s">
        <v>4266</v>
      </c>
    </row>
    <row r="2492">
      <c r="A2492" s="1">
        <v>2490.0</v>
      </c>
      <c r="B2492" s="4" t="s">
        <v>4198</v>
      </c>
      <c r="C2492" s="4" t="str">
        <f>IFERROR(__xludf.DUMMYFUNCTION("GOOGLETRANSLATE(D:D,""auto"",""en"")"),"Auxiliary sacrifice his son left his father put on caps")</f>
        <v>Auxiliary sacrifice his son left his father put on caps</v>
      </c>
      <c r="D2492" s="4" t="s">
        <v>4267</v>
      </c>
      <c r="E2492" s="4">
        <v>8140912.0</v>
      </c>
      <c r="F2492" s="4">
        <v>41.0</v>
      </c>
      <c r="G2492" s="4" t="s">
        <v>4268</v>
      </c>
    </row>
    <row r="2493">
      <c r="A2493" s="1">
        <v>2491.0</v>
      </c>
      <c r="B2493" s="4" t="s">
        <v>4198</v>
      </c>
      <c r="C2493" s="4" t="str">
        <f>IFERROR(__xludf.DUMMYFUNCTION("GOOGLETRANSLATE(D:D,""auto"",""en"")"),"Massu weight")</f>
        <v>Massu weight</v>
      </c>
      <c r="D2493" s="4" t="s">
        <v>4269</v>
      </c>
      <c r="E2493" s="4">
        <v>8033885.0</v>
      </c>
      <c r="F2493" s="4">
        <v>42.0</v>
      </c>
      <c r="G2493" s="4" t="s">
        <v>4270</v>
      </c>
    </row>
    <row r="2494">
      <c r="A2494" s="1">
        <v>2492.0</v>
      </c>
      <c r="B2494" s="4" t="s">
        <v>4198</v>
      </c>
      <c r="C2494" s="4" t="str">
        <f>IFERROR(__xludf.DUMMYFUNCTION("GOOGLETRANSLATE(D:D,""auto"",""en"")"),"Hebei City by 4 rental enabled real-name registration")</f>
        <v>Hebei City by 4 rental enabled real-name registration</v>
      </c>
      <c r="D2494" s="4" t="s">
        <v>4271</v>
      </c>
      <c r="E2494" s="4">
        <v>7980797.0</v>
      </c>
      <c r="F2494" s="4">
        <v>43.0</v>
      </c>
      <c r="G2494" s="4" t="s">
        <v>4272</v>
      </c>
    </row>
    <row r="2495">
      <c r="A2495" s="1">
        <v>2493.0</v>
      </c>
      <c r="B2495" s="4" t="s">
        <v>4198</v>
      </c>
      <c r="C2495" s="4" t="str">
        <f>IFERROR(__xludf.DUMMYFUNCTION("GOOGLETRANSLATE(D:D,""auto"",""en"")"),"Entire household will cause his girlfriend over the wall isolation")</f>
        <v>Entire household will cause his girlfriend over the wall isolation</v>
      </c>
      <c r="D2495" s="4" t="s">
        <v>4273</v>
      </c>
      <c r="E2495" s="4">
        <v>7946210.0</v>
      </c>
      <c r="F2495" s="4">
        <v>44.0</v>
      </c>
      <c r="G2495" s="4" t="s">
        <v>4274</v>
      </c>
    </row>
    <row r="2496">
      <c r="A2496" s="1">
        <v>2494.0</v>
      </c>
      <c r="B2496" s="4" t="s">
        <v>4198</v>
      </c>
      <c r="C2496" s="4" t="str">
        <f>IFERROR(__xludf.DUMMYFUNCTION("GOOGLETRANSLATE(D:D,""auto"",""en"")"),"Chen number of gas field")</f>
        <v>Chen number of gas field</v>
      </c>
      <c r="D2496" s="4" t="s">
        <v>4275</v>
      </c>
      <c r="E2496" s="4">
        <v>7855941.0</v>
      </c>
      <c r="F2496" s="4">
        <v>45.0</v>
      </c>
      <c r="G2496" s="4" t="s">
        <v>4276</v>
      </c>
    </row>
    <row r="2497">
      <c r="A2497" s="1">
        <v>2495.0</v>
      </c>
      <c r="B2497" s="4" t="s">
        <v>4198</v>
      </c>
      <c r="C2497" s="4" t="str">
        <f>IFERROR(__xludf.DUMMYFUNCTION("GOOGLETRANSLATE(D:D,""auto"",""en"")"),"Liverpool lost to Atletico Madrid")</f>
        <v>Liverpool lost to Atletico Madrid</v>
      </c>
      <c r="D2497" s="4" t="s">
        <v>4277</v>
      </c>
      <c r="E2497" s="4">
        <v>7841794.0</v>
      </c>
      <c r="F2497" s="4">
        <v>46.0</v>
      </c>
      <c r="G2497" s="4" t="s">
        <v>4278</v>
      </c>
    </row>
    <row r="2498">
      <c r="A2498" s="1">
        <v>2496.0</v>
      </c>
      <c r="B2498" s="4" t="s">
        <v>4198</v>
      </c>
      <c r="C2498" s="4" t="str">
        <f>IFERROR(__xludf.DUMMYFUNCTION("GOOGLETRANSLATE(D:D,""auto"",""en"")"),"My happiness will be back")</f>
        <v>My happiness will be back</v>
      </c>
      <c r="D2498" s="4" t="s">
        <v>4279</v>
      </c>
      <c r="E2498" s="4">
        <v>7794008.0</v>
      </c>
      <c r="F2498" s="4">
        <v>47.0</v>
      </c>
      <c r="G2498" s="4" t="s">
        <v>4280</v>
      </c>
    </row>
    <row r="2499">
      <c r="A2499" s="1">
        <v>2497.0</v>
      </c>
      <c r="B2499" s="4" t="s">
        <v>4198</v>
      </c>
      <c r="C2499" s="4" t="str">
        <f>IFERROR(__xludf.DUMMYFUNCTION("GOOGLETRANSLATE(D:D,""auto"",""en"")"),"The new crown pneumonia and discharged girls dancing thanks to health care")</f>
        <v>The new crown pneumonia and discharged girls dancing thanks to health care</v>
      </c>
      <c r="D2499" s="4" t="s">
        <v>4281</v>
      </c>
      <c r="E2499" s="4">
        <v>7665631.0</v>
      </c>
      <c r="F2499" s="4">
        <v>48.0</v>
      </c>
      <c r="G2499" s="4" t="s">
        <v>4282</v>
      </c>
    </row>
    <row r="2500">
      <c r="A2500" s="1">
        <v>2498.0</v>
      </c>
      <c r="B2500" s="4" t="s">
        <v>4198</v>
      </c>
      <c r="C2500" s="4" t="str">
        <f>IFERROR(__xludf.DUMMYFUNCTION("GOOGLETRANSLATE(D:D,""auto"",""en"")"),"Army field rescue largest clothing factory")</f>
        <v>Army field rescue largest clothing factory</v>
      </c>
      <c r="D2500" s="4" t="s">
        <v>4283</v>
      </c>
      <c r="E2500" s="4">
        <v>7626387.0</v>
      </c>
      <c r="F2500" s="4">
        <v>49.0</v>
      </c>
      <c r="G2500" s="4" t="s">
        <v>4284</v>
      </c>
    </row>
    <row r="2501">
      <c r="A2501" s="1">
        <v>2499.0</v>
      </c>
      <c r="B2501" s="4" t="s">
        <v>4198</v>
      </c>
      <c r="C2501" s="4" t="str">
        <f>IFERROR(__xludf.DUMMYFUNCTION("GOOGLETRANSLATE(D:D,""auto"",""en"")"),"Yellowstone to rush to the rescue before the children named Wu Han")</f>
        <v>Yellowstone to rush to the rescue before the children named Wu Han</v>
      </c>
      <c r="D2501" s="4" t="s">
        <v>4285</v>
      </c>
      <c r="E2501" s="4">
        <v>7617651.0</v>
      </c>
      <c r="F2501" s="4">
        <v>50.0</v>
      </c>
      <c r="G2501" s="4" t="s">
        <v>4286</v>
      </c>
    </row>
    <row r="2502">
      <c r="A2502" s="1">
        <v>2500.0</v>
      </c>
      <c r="B2502" s="4" t="s">
        <v>4287</v>
      </c>
      <c r="C2502" s="4" t="str">
        <f>IFERROR(__xludf.DUMMYFUNCTION("GOOGLETRANSLATE(D:D,""auto"",""en"")"),"SUN Xiao fruit was executed")</f>
        <v>SUN Xiao fruit was executed</v>
      </c>
      <c r="D2502" s="4" t="s">
        <v>4288</v>
      </c>
      <c r="E2502" s="4">
        <v>1.6414227E7</v>
      </c>
      <c r="F2502" s="4">
        <v>1.0</v>
      </c>
      <c r="G2502" s="4" t="s">
        <v>4289</v>
      </c>
    </row>
    <row r="2503">
      <c r="A2503" s="1">
        <v>2501.0</v>
      </c>
      <c r="B2503" s="4" t="s">
        <v>4287</v>
      </c>
      <c r="C2503" s="4" t="str">
        <f>IFERROR(__xludf.DUMMYFUNCTION("GOOGLETRANSLATE(D:D,""auto"",""en"")"),"National new confirmed cases 394 cases")</f>
        <v>National new confirmed cases 394 cases</v>
      </c>
      <c r="D2503" s="4" t="s">
        <v>4290</v>
      </c>
      <c r="E2503" s="4">
        <v>1.2830691E7</v>
      </c>
      <c r="F2503" s="4">
        <v>2.0</v>
      </c>
      <c r="G2503" s="4" t="s">
        <v>4291</v>
      </c>
    </row>
    <row r="2504">
      <c r="A2504" s="1">
        <v>2502.0</v>
      </c>
      <c r="B2504" s="4" t="s">
        <v>4287</v>
      </c>
      <c r="C2504" s="4" t="str">
        <f>IFERROR(__xludf.DUMMYFUNCTION("GOOGLETRANSLATE(D:D,""auto"",""en"")"),"Too bad woman donated radish anger hate volunteers")</f>
        <v>Too bad woman donated radish anger hate volunteers</v>
      </c>
      <c r="D2504" s="4" t="s">
        <v>4292</v>
      </c>
      <c r="E2504" s="4">
        <v>1.2563721E7</v>
      </c>
      <c r="F2504" s="4">
        <v>3.0</v>
      </c>
      <c r="G2504" s="4" t="s">
        <v>4293</v>
      </c>
    </row>
    <row r="2505">
      <c r="A2505" s="1">
        <v>2503.0</v>
      </c>
      <c r="B2505" s="4" t="s">
        <v>4287</v>
      </c>
      <c r="C2505" s="4" t="str">
        <f>IFERROR(__xludf.DUMMYFUNCTION("GOOGLETRANSLATE(D:D,""auto"",""en"")"),"Song Weilong sister")</f>
        <v>Song Weilong sister</v>
      </c>
      <c r="D2505" s="4" t="s">
        <v>4294</v>
      </c>
      <c r="E2505" s="4">
        <v>1.2206749E7</v>
      </c>
      <c r="F2505" s="4">
        <v>4.0</v>
      </c>
      <c r="G2505" s="4" t="s">
        <v>4295</v>
      </c>
    </row>
    <row r="2506">
      <c r="A2506" s="1">
        <v>2504.0</v>
      </c>
      <c r="B2506" s="4" t="s">
        <v>4287</v>
      </c>
      <c r="C2506" s="4" t="str">
        <f>IFERROR(__xludf.DUMMYFUNCTION("GOOGLETRANSLATE(D:D,""auto"",""en"")"),"Shen Teng I really do not know anything")</f>
        <v>Shen Teng I really do not know anything</v>
      </c>
      <c r="D2506" s="4" t="s">
        <v>4296</v>
      </c>
      <c r="E2506" s="4">
        <v>1.1870477E7</v>
      </c>
      <c r="F2506" s="4">
        <v>5.0</v>
      </c>
      <c r="G2506" s="4" t="s">
        <v>4297</v>
      </c>
    </row>
    <row r="2507">
      <c r="A2507" s="1">
        <v>2505.0</v>
      </c>
      <c r="B2507" s="4" t="s">
        <v>4287</v>
      </c>
      <c r="C2507" s="4" t="str">
        <f>IFERROR(__xludf.DUMMYFUNCTION("GOOGLETRANSLATE(D:D,""auto"",""en"")"),"The country and more no new confirmed cases")</f>
        <v>The country and more no new confirmed cases</v>
      </c>
      <c r="D2507" s="4" t="s">
        <v>4298</v>
      </c>
      <c r="E2507" s="4">
        <v>1.1599603E7</v>
      </c>
      <c r="F2507" s="4">
        <v>6.0</v>
      </c>
      <c r="G2507" s="4" t="s">
        <v>4299</v>
      </c>
    </row>
    <row r="2508">
      <c r="A2508" s="1">
        <v>2506.0</v>
      </c>
      <c r="B2508" s="4" t="s">
        <v>4287</v>
      </c>
      <c r="C2508" s="4" t="str">
        <f>IFERROR(__xludf.DUMMYFUNCTION("GOOGLETRANSLATE(D:D,""auto"",""en"")"),"Ill donate plasma shared blood donation treatment")</f>
        <v>Ill donate plasma shared blood donation treatment</v>
      </c>
      <c r="D2508" s="4" t="s">
        <v>4300</v>
      </c>
      <c r="E2508" s="4">
        <v>1.1353411E7</v>
      </c>
      <c r="F2508" s="4">
        <v>7.0</v>
      </c>
      <c r="G2508" s="4" t="s">
        <v>4301</v>
      </c>
    </row>
    <row r="2509">
      <c r="A2509" s="1">
        <v>2507.0</v>
      </c>
      <c r="B2509" s="4" t="s">
        <v>4287</v>
      </c>
      <c r="C2509" s="4" t="str">
        <f>IFERROR(__xludf.DUMMYFUNCTION("GOOGLETRANSLATE(D:D,""auto"",""en"")"),"Wuhan asked the district responsible person to sign a liability form")</f>
        <v>Wuhan asked the district responsible person to sign a liability form</v>
      </c>
      <c r="D2509" s="4" t="s">
        <v>4302</v>
      </c>
      <c r="E2509" s="4">
        <v>1.110144E7</v>
      </c>
      <c r="F2509" s="4">
        <v>8.0</v>
      </c>
      <c r="G2509" s="4" t="s">
        <v>4303</v>
      </c>
    </row>
    <row r="2510">
      <c r="A2510" s="1">
        <v>2508.0</v>
      </c>
      <c r="B2510" s="4" t="s">
        <v>4287</v>
      </c>
      <c r="C2510" s="4" t="str">
        <f>IFERROR(__xludf.DUMMYFUNCTION("GOOGLETRANSLATE(D:D,""auto"",""en"")"),"Admiralty issued large")</f>
        <v>Admiralty issued large</v>
      </c>
      <c r="D2510" s="4" t="s">
        <v>4304</v>
      </c>
      <c r="E2510" s="4">
        <v>1.0846419E7</v>
      </c>
      <c r="F2510" s="4">
        <v>9.0</v>
      </c>
      <c r="G2510" s="4" t="s">
        <v>4305</v>
      </c>
    </row>
    <row r="2511">
      <c r="A2511" s="1">
        <v>2509.0</v>
      </c>
      <c r="B2511" s="4" t="s">
        <v>4287</v>
      </c>
      <c r="C2511" s="4" t="str">
        <f>IFERROR(__xludf.DUMMYFUNCTION("GOOGLETRANSLATE(D:D,""auto"",""en"")"),"Wang Chen new crown virus may persist")</f>
        <v>Wang Chen new crown virus may persist</v>
      </c>
      <c r="D2511" s="4" t="s">
        <v>4306</v>
      </c>
      <c r="E2511" s="4">
        <v>1.057111E7</v>
      </c>
      <c r="F2511" s="4">
        <v>10.0</v>
      </c>
      <c r="G2511" s="4" t="s">
        <v>4307</v>
      </c>
    </row>
    <row r="2512">
      <c r="A2512" s="1">
        <v>2510.0</v>
      </c>
      <c r="B2512" s="4" t="s">
        <v>4287</v>
      </c>
      <c r="C2512" s="4" t="str">
        <f>IFERROR(__xludf.DUMMYFUNCTION("GOOGLETRANSLATE(D:D,""auto"",""en"")"),"Distressed Xieteng Fei")</f>
        <v>Distressed Xieteng Fei</v>
      </c>
      <c r="D2512" s="4" t="s">
        <v>4308</v>
      </c>
      <c r="E2512" s="4">
        <v>1.0526056E7</v>
      </c>
      <c r="F2512" s="4">
        <v>11.0</v>
      </c>
      <c r="G2512" s="4" t="s">
        <v>4309</v>
      </c>
    </row>
    <row r="2513">
      <c r="A2513" s="1">
        <v>2511.0</v>
      </c>
      <c r="B2513" s="4" t="s">
        <v>4287</v>
      </c>
      <c r="C2513" s="4" t="str">
        <f>IFERROR(__xludf.DUMMYFUNCTION("GOOGLETRANSLATE(D:D,""auto"",""en"")"),"Diamond Princess for the first time deaths")</f>
        <v>Diamond Princess for the first time deaths</v>
      </c>
      <c r="D2513" s="4" t="s">
        <v>4310</v>
      </c>
      <c r="E2513" s="4">
        <v>1.0277239E7</v>
      </c>
      <c r="F2513" s="4">
        <v>12.0</v>
      </c>
      <c r="G2513" s="4" t="s">
        <v>4311</v>
      </c>
    </row>
    <row r="2514">
      <c r="A2514" s="1">
        <v>2512.0</v>
      </c>
      <c r="B2514" s="4" t="s">
        <v>4287</v>
      </c>
      <c r="C2514" s="4" t="str">
        <f>IFERROR(__xludf.DUMMYFUNCTION("GOOGLETRANSLATE(D:D,""auto"",""en"")"),"Liu silky suicide")</f>
        <v>Liu silky suicide</v>
      </c>
      <c r="D2514" s="4" t="s">
        <v>4312</v>
      </c>
      <c r="E2514" s="4">
        <v>1.0225278E7</v>
      </c>
      <c r="F2514" s="4">
        <v>13.0</v>
      </c>
      <c r="G2514" s="4" t="s">
        <v>4313</v>
      </c>
    </row>
    <row r="2515">
      <c r="A2515" s="1">
        <v>2513.0</v>
      </c>
      <c r="B2515" s="4" t="s">
        <v>4287</v>
      </c>
      <c r="C2515" s="4" t="str">
        <f>IFERROR(__xludf.DUMMYFUNCTION("GOOGLETRANSLATE(D:D,""auto"",""en"")"),"Taiwan street roof erected I love you China")</f>
        <v>Taiwan street roof erected I love you China</v>
      </c>
      <c r="D2515" s="4" t="s">
        <v>4314</v>
      </c>
      <c r="E2515" s="4">
        <v>1.0057362E7</v>
      </c>
      <c r="F2515" s="4">
        <v>14.0</v>
      </c>
      <c r="G2515" s="4" t="s">
        <v>4315</v>
      </c>
    </row>
    <row r="2516">
      <c r="A2516" s="1">
        <v>2514.0</v>
      </c>
      <c r="B2516" s="4" t="s">
        <v>4287</v>
      </c>
      <c r="C2516" s="4" t="str">
        <f>IFERROR(__xludf.DUMMYFUNCTION("GOOGLETRANSLATE(D:D,""auto"",""en"")"),"Mao is not easy song 43 minutes")</f>
        <v>Mao is not easy song 43 minutes</v>
      </c>
      <c r="D2516" s="4" t="s">
        <v>4316</v>
      </c>
      <c r="E2516" s="4">
        <v>9734172.0</v>
      </c>
      <c r="F2516" s="4">
        <v>15.0</v>
      </c>
      <c r="G2516" s="4" t="s">
        <v>4317</v>
      </c>
    </row>
    <row r="2517">
      <c r="A2517" s="1">
        <v>2515.0</v>
      </c>
      <c r="B2517" s="4" t="s">
        <v>4287</v>
      </c>
      <c r="C2517" s="4" t="str">
        <f>IFERROR(__xludf.DUMMYFUNCTION("GOOGLETRANSLATE(D:D,""auto"",""en"")"),"Army field rescue largest clothing factory")</f>
        <v>Army field rescue largest clothing factory</v>
      </c>
      <c r="D2517" s="4" t="s">
        <v>4283</v>
      </c>
      <c r="E2517" s="4">
        <v>9712792.0</v>
      </c>
      <c r="F2517" s="4">
        <v>16.0</v>
      </c>
      <c r="G2517" s="4" t="s">
        <v>4284</v>
      </c>
    </row>
    <row r="2518">
      <c r="A2518" s="1">
        <v>2516.0</v>
      </c>
      <c r="B2518" s="4" t="s">
        <v>4287</v>
      </c>
      <c r="C2518" s="4" t="str">
        <f>IFERROR(__xludf.DUMMYFUNCTION("GOOGLETRANSLATE(D:D,""auto"",""en"")"),"Han returned to Beijing from the man concealed his mother diagnosed cause")</f>
        <v>Han returned to Beijing from the man concealed his mother diagnosed cause</v>
      </c>
      <c r="D2518" s="4" t="s">
        <v>4318</v>
      </c>
      <c r="E2518" s="4">
        <v>9557481.0</v>
      </c>
      <c r="F2518" s="4">
        <v>17.0</v>
      </c>
      <c r="G2518" s="4" t="s">
        <v>4319</v>
      </c>
    </row>
    <row r="2519">
      <c r="A2519" s="1">
        <v>2517.0</v>
      </c>
      <c r="B2519" s="4" t="s">
        <v>4287</v>
      </c>
      <c r="C2519" s="4" t="str">
        <f>IFERROR(__xludf.DUMMYFUNCTION("GOOGLETRANSLATE(D:D,""auto"",""en"")"),"Wuhan new cases and more than the province")</f>
        <v>Wuhan new cases and more than the province</v>
      </c>
      <c r="D2519" s="4" t="s">
        <v>4320</v>
      </c>
      <c r="E2519" s="4">
        <v>9506001.0</v>
      </c>
      <c r="F2519" s="4">
        <v>18.0</v>
      </c>
      <c r="G2519" s="4" t="s">
        <v>4321</v>
      </c>
    </row>
    <row r="2520">
      <c r="A2520" s="1">
        <v>2518.0</v>
      </c>
      <c r="B2520" s="4" t="s">
        <v>4287</v>
      </c>
      <c r="C2520" s="4" t="str">
        <f>IFERROR(__xludf.DUMMYFUNCTION("GOOGLETRANSLATE(D:D,""auto"",""en"")"),"Li Lanjuan face indentation")</f>
        <v>Li Lanjuan face indentation</v>
      </c>
      <c r="D2520" s="4" t="s">
        <v>4322</v>
      </c>
      <c r="E2520" s="4">
        <v>9426323.0</v>
      </c>
      <c r="F2520" s="4">
        <v>19.0</v>
      </c>
      <c r="G2520" s="4" t="s">
        <v>4323</v>
      </c>
    </row>
    <row r="2521">
      <c r="A2521" s="1">
        <v>2519.0</v>
      </c>
      <c r="B2521" s="4" t="s">
        <v>4287</v>
      </c>
      <c r="C2521" s="4" t="str">
        <f>IFERROR(__xludf.DUMMYFUNCTION("GOOGLETRANSLATE(D:D,""auto"",""en"")"),"Professor Branch Ke Hui soldiers died of illness in Wuhan")</f>
        <v>Professor Branch Ke Hui soldiers died of illness in Wuhan</v>
      </c>
      <c r="D2521" s="4" t="s">
        <v>4324</v>
      </c>
      <c r="E2521" s="4">
        <v>9314184.0</v>
      </c>
      <c r="F2521" s="4">
        <v>20.0</v>
      </c>
      <c r="G2521" s="4" t="s">
        <v>4325</v>
      </c>
    </row>
    <row r="2522">
      <c r="A2522" s="1">
        <v>2520.0</v>
      </c>
      <c r="B2522" s="4" t="s">
        <v>4287</v>
      </c>
      <c r="C2522" s="4" t="str">
        <f>IFERROR(__xludf.DUMMYFUNCTION("GOOGLETRANSLATE(D:D,""auto"",""en"")"),"Exam")</f>
        <v>Exam</v>
      </c>
      <c r="D2522" s="4" t="s">
        <v>4326</v>
      </c>
      <c r="E2522" s="4">
        <v>9306050.0</v>
      </c>
      <c r="F2522" s="4">
        <v>21.0</v>
      </c>
      <c r="G2522" s="4" t="s">
        <v>4327</v>
      </c>
    </row>
    <row r="2523">
      <c r="A2523" s="1">
        <v>2521.0</v>
      </c>
      <c r="B2523" s="4" t="s">
        <v>4287</v>
      </c>
      <c r="C2523" s="4" t="str">
        <f>IFERROR(__xludf.DUMMYFUNCTION("GOOGLETRANSLATE(D:D,""auto"",""en"")"),"Ezhou released in response to the police station to distribute supplies")</f>
        <v>Ezhou released in response to the police station to distribute supplies</v>
      </c>
      <c r="D2523" s="4" t="s">
        <v>4328</v>
      </c>
      <c r="E2523" s="4">
        <v>9192535.0</v>
      </c>
      <c r="F2523" s="4">
        <v>22.0</v>
      </c>
      <c r="G2523" s="4" t="s">
        <v>4329</v>
      </c>
    </row>
    <row r="2524">
      <c r="A2524" s="1">
        <v>2522.0</v>
      </c>
      <c r="B2524" s="4" t="s">
        <v>4287</v>
      </c>
      <c r="C2524" s="4" t="str">
        <f>IFERROR(__xludf.DUMMYFUNCTION("GOOGLETRANSLATE(D:D,""auto"",""en"")"),"Hubei new confirmed cases 349 cases")</f>
        <v>Hubei new confirmed cases 349 cases</v>
      </c>
      <c r="D2524" s="4" t="s">
        <v>4330</v>
      </c>
      <c r="E2524" s="4">
        <v>9129949.0</v>
      </c>
      <c r="F2524" s="4">
        <v>23.0</v>
      </c>
      <c r="G2524" s="4" t="s">
        <v>4331</v>
      </c>
    </row>
    <row r="2525">
      <c r="A2525" s="1">
        <v>2523.0</v>
      </c>
      <c r="B2525" s="4" t="s">
        <v>4287</v>
      </c>
      <c r="C2525" s="4" t="str">
        <f>IFERROR(__xludf.DUMMYFUNCTION("GOOGLETRANSLATE(D:D,""auto"",""en"")"),"Wang Yibo also changed the background")</f>
        <v>Wang Yibo also changed the background</v>
      </c>
      <c r="D2525" s="4" t="s">
        <v>4332</v>
      </c>
      <c r="E2525" s="4">
        <v>9068500.0</v>
      </c>
      <c r="F2525" s="4">
        <v>24.0</v>
      </c>
      <c r="G2525" s="4" t="s">
        <v>4333</v>
      </c>
    </row>
    <row r="2526">
      <c r="A2526" s="1">
        <v>2524.0</v>
      </c>
      <c r="B2526" s="4" t="s">
        <v>4287</v>
      </c>
      <c r="C2526" s="4" t="str">
        <f>IFERROR(__xludf.DUMMYFUNCTION("GOOGLETRANSLATE(D:D,""auto"",""en"")"),"Ten men batter removed vaccination follow-up checkpoint")</f>
        <v>Ten men batter removed vaccination follow-up checkpoint</v>
      </c>
      <c r="D2526" s="4" t="s">
        <v>4334</v>
      </c>
      <c r="E2526" s="4">
        <v>8868078.0</v>
      </c>
      <c r="F2526" s="4">
        <v>25.0</v>
      </c>
      <c r="G2526" s="4" t="s">
        <v>4335</v>
      </c>
    </row>
    <row r="2527">
      <c r="A2527" s="1">
        <v>2525.0</v>
      </c>
      <c r="B2527" s="4" t="s">
        <v>4287</v>
      </c>
      <c r="C2527" s="4" t="str">
        <f>IFERROR(__xludf.DUMMYFUNCTION("GOOGLETRANSLATE(D:D,""auto"",""en"")"),"The three batches school students in Guangzhou")</f>
        <v>The three batches school students in Guangzhou</v>
      </c>
      <c r="D2527" s="4" t="s">
        <v>4336</v>
      </c>
      <c r="E2527" s="4">
        <v>8615096.0</v>
      </c>
      <c r="F2527" s="4">
        <v>26.0</v>
      </c>
      <c r="G2527" s="4" t="s">
        <v>4337</v>
      </c>
    </row>
    <row r="2528">
      <c r="A2528" s="1">
        <v>2526.0</v>
      </c>
      <c r="B2528" s="4" t="s">
        <v>4287</v>
      </c>
      <c r="C2528" s="4" t="str">
        <f>IFERROR(__xludf.DUMMYFUNCTION("GOOGLETRANSLATE(D:D,""auto"",""en"")"),"After one pair of 95 nurse's hand")</f>
        <v>After one pair of 95 nurse's hand</v>
      </c>
      <c r="D2528" s="4" t="s">
        <v>4338</v>
      </c>
      <c r="E2528" s="4">
        <v>8408472.0</v>
      </c>
      <c r="F2528" s="4">
        <v>27.0</v>
      </c>
      <c r="G2528" s="4" t="s">
        <v>4339</v>
      </c>
    </row>
    <row r="2529">
      <c r="A2529" s="1">
        <v>2527.0</v>
      </c>
      <c r="B2529" s="4" t="s">
        <v>4287</v>
      </c>
      <c r="C2529" s="4" t="str">
        <f>IFERROR(__xludf.DUMMYFUNCTION("GOOGLETRANSLATE(D:D,""auto"",""en"")"),"US media as the five Chinese foreign missions tube")</f>
        <v>US media as the five Chinese foreign missions tube</v>
      </c>
      <c r="D2529" s="4" t="s">
        <v>4340</v>
      </c>
      <c r="E2529" s="4">
        <v>8168239.0</v>
      </c>
      <c r="F2529" s="4">
        <v>28.0</v>
      </c>
      <c r="G2529" s="4" t="s">
        <v>4341</v>
      </c>
    </row>
    <row r="2530">
      <c r="A2530" s="1">
        <v>2528.0</v>
      </c>
      <c r="B2530" s="4" t="s">
        <v>4287</v>
      </c>
      <c r="C2530" s="4" t="str">
        <f>IFERROR(__xludf.DUMMYFUNCTION("GOOGLETRANSLATE(D:D,""auto"",""en"")"),"Hubei new cases fell to three digits")</f>
        <v>Hubei new cases fell to three digits</v>
      </c>
      <c r="D2530" s="4" t="s">
        <v>4342</v>
      </c>
      <c r="E2530" s="4">
        <v>8112343.0</v>
      </c>
      <c r="F2530" s="4">
        <v>29.0</v>
      </c>
      <c r="G2530" s="4" t="s">
        <v>4343</v>
      </c>
    </row>
    <row r="2531">
      <c r="A2531" s="1">
        <v>2529.0</v>
      </c>
      <c r="B2531" s="4" t="s">
        <v>4287</v>
      </c>
      <c r="C2531" s="4" t="str">
        <f>IFERROR(__xludf.DUMMYFUNCTION("GOOGLETRANSLATE(D:D,""auto"",""en"")"),"Late last year may have 104 infected")</f>
        <v>Late last year may have 104 infected</v>
      </c>
      <c r="D2531" s="4" t="s">
        <v>4211</v>
      </c>
      <c r="E2531" s="4">
        <v>7949556.0</v>
      </c>
      <c r="F2531" s="4">
        <v>30.0</v>
      </c>
      <c r="G2531" s="4" t="s">
        <v>4212</v>
      </c>
    </row>
    <row r="2532">
      <c r="A2532" s="1">
        <v>2530.0</v>
      </c>
      <c r="B2532" s="4" t="s">
        <v>4287</v>
      </c>
      <c r="C2532" s="4" t="str">
        <f>IFERROR(__xludf.DUMMYFUNCTION("GOOGLETRANSLATE(D:D,""auto"",""en"")"),"Police temperature was scared to surrender guns")</f>
        <v>Police temperature was scared to surrender guns</v>
      </c>
      <c r="D2532" s="4" t="s">
        <v>4344</v>
      </c>
      <c r="E2532" s="4">
        <v>7948068.0</v>
      </c>
      <c r="F2532" s="4">
        <v>31.0</v>
      </c>
      <c r="G2532" s="4" t="s">
        <v>4345</v>
      </c>
    </row>
    <row r="2533">
      <c r="A2533" s="1">
        <v>2531.0</v>
      </c>
      <c r="B2533" s="4" t="s">
        <v>4287</v>
      </c>
      <c r="C2533" s="4" t="str">
        <f>IFERROR(__xludf.DUMMYFUNCTION("GOOGLETRANSLATE(D:D,""auto"",""en"")"),"Official response Vulcan Mountain salaried workers are determined not")</f>
        <v>Official response Vulcan Mountain salaried workers are determined not</v>
      </c>
      <c r="D2533" s="4" t="s">
        <v>4346</v>
      </c>
      <c r="E2533" s="4">
        <v>7919126.0</v>
      </c>
      <c r="F2533" s="4">
        <v>32.0</v>
      </c>
      <c r="G2533" s="4" t="s">
        <v>4347</v>
      </c>
    </row>
    <row r="2534">
      <c r="A2534" s="1">
        <v>2532.0</v>
      </c>
      <c r="B2534" s="4" t="s">
        <v>4287</v>
      </c>
      <c r="C2534" s="4" t="str">
        <f>IFERROR(__xludf.DUMMYFUNCTION("GOOGLETRANSLATE(D:D,""auto"",""en"")"),"Heilongjiang new cases of 6 cases")</f>
        <v>Heilongjiang new cases of 6 cases</v>
      </c>
      <c r="D2534" s="4" t="s">
        <v>4348</v>
      </c>
      <c r="E2534" s="4">
        <v>7914799.0</v>
      </c>
      <c r="F2534" s="4">
        <v>33.0</v>
      </c>
      <c r="G2534" s="4" t="s">
        <v>4349</v>
      </c>
    </row>
    <row r="2535">
      <c r="A2535" s="1">
        <v>2533.0</v>
      </c>
      <c r="B2535" s="4" t="s">
        <v>4287</v>
      </c>
      <c r="C2535" s="4" t="str">
        <f>IFERROR(__xludf.DUMMYFUNCTION("GOOGLETRANSLATE(D:D,""auto"",""en"")"),"Jinan and earthquake")</f>
        <v>Jinan and earthquake</v>
      </c>
      <c r="D2535" s="4" t="s">
        <v>4350</v>
      </c>
      <c r="E2535" s="4">
        <v>7890670.0</v>
      </c>
      <c r="F2535" s="4">
        <v>34.0</v>
      </c>
      <c r="G2535" s="4" t="s">
        <v>4351</v>
      </c>
    </row>
    <row r="2536">
      <c r="A2536" s="1">
        <v>2534.0</v>
      </c>
      <c r="B2536" s="4" t="s">
        <v>4287</v>
      </c>
      <c r="C2536" s="4" t="str">
        <f>IFERROR(__xludf.DUMMYFUNCTION("GOOGLETRANSLATE(D:D,""auto"",""en"")"),"Beijing schools and school-based early March rumors")</f>
        <v>Beijing schools and school-based early March rumors</v>
      </c>
      <c r="D2536" s="4" t="s">
        <v>4352</v>
      </c>
      <c r="E2536" s="4">
        <v>7785941.0</v>
      </c>
      <c r="F2536" s="4">
        <v>35.0</v>
      </c>
      <c r="G2536" s="4" t="s">
        <v>4353</v>
      </c>
    </row>
    <row r="2537">
      <c r="A2537" s="1">
        <v>2535.0</v>
      </c>
      <c r="B2537" s="4" t="s">
        <v>4287</v>
      </c>
      <c r="C2537" s="4" t="str">
        <f>IFERROR(__xludf.DUMMYFUNCTION("GOOGLETRANSLATE(D:D,""auto"",""en"")"),"4 New techniques Satellite Successfully")</f>
        <v>4 New techniques Satellite Successfully</v>
      </c>
      <c r="D2537" s="4" t="s">
        <v>4354</v>
      </c>
      <c r="E2537" s="4">
        <v>7761159.0</v>
      </c>
      <c r="F2537" s="4">
        <v>36.0</v>
      </c>
      <c r="G2537" s="4" t="s">
        <v>4355</v>
      </c>
    </row>
    <row r="2538">
      <c r="A2538" s="1">
        <v>2536.0</v>
      </c>
      <c r="B2538" s="4" t="s">
        <v>4287</v>
      </c>
      <c r="C2538" s="4" t="str">
        <f>IFERROR(__xludf.DUMMYFUNCTION("GOOGLETRANSLATE(D:D,""auto"",""en"")"),"The capture of a cute little happy prevention")</f>
        <v>The capture of a cute little happy prevention</v>
      </c>
      <c r="D2538" s="4" t="s">
        <v>4356</v>
      </c>
      <c r="E2538" s="4">
        <v>7733486.0</v>
      </c>
      <c r="F2538" s="4">
        <v>37.0</v>
      </c>
      <c r="G2538" s="4" t="s">
        <v>4357</v>
      </c>
    </row>
    <row r="2539">
      <c r="A2539" s="1">
        <v>2537.0</v>
      </c>
      <c r="B2539" s="4" t="s">
        <v>4287</v>
      </c>
      <c r="C2539" s="4" t="str">
        <f>IFERROR(__xludf.DUMMYFUNCTION("GOOGLETRANSLATE(D:D,""auto"",""en"")"),"Chopsticks pictures")</f>
        <v>Chopsticks pictures</v>
      </c>
      <c r="D2539" s="4" t="s">
        <v>4358</v>
      </c>
      <c r="E2539" s="4">
        <v>7689016.0</v>
      </c>
      <c r="F2539" s="4">
        <v>38.0</v>
      </c>
      <c r="G2539" s="4" t="s">
        <v>4359</v>
      </c>
    </row>
    <row r="2540">
      <c r="A2540" s="1">
        <v>2538.0</v>
      </c>
      <c r="B2540" s="4" t="s">
        <v>4287</v>
      </c>
      <c r="C2540" s="4" t="str">
        <f>IFERROR(__xludf.DUMMYFUNCTION("GOOGLETRANSLATE(D:D,""auto"",""en"")"),"Germany shooting occurred at least eight people were killed")</f>
        <v>Germany shooting occurred at least eight people were killed</v>
      </c>
      <c r="D2540" s="4" t="s">
        <v>4360</v>
      </c>
      <c r="E2540" s="4">
        <v>7564774.0</v>
      </c>
      <c r="F2540" s="4">
        <v>39.0</v>
      </c>
      <c r="G2540" s="4" t="s">
        <v>4361</v>
      </c>
    </row>
    <row r="2541">
      <c r="A2541" s="1">
        <v>2539.0</v>
      </c>
      <c r="B2541" s="4" t="s">
        <v>4287</v>
      </c>
      <c r="C2541" s="4" t="str">
        <f>IFERROR(__xludf.DUMMYFUNCTION("GOOGLETRANSLATE(D:D,""auto"",""en"")"),"Cerebral palsy brother declined takeaway User contributions")</f>
        <v>Cerebral palsy brother declined takeaway User contributions</v>
      </c>
      <c r="D2541" s="4" t="s">
        <v>4362</v>
      </c>
      <c r="E2541" s="4">
        <v>7540435.0</v>
      </c>
      <c r="F2541" s="4">
        <v>40.0</v>
      </c>
      <c r="G2541" s="4" t="s">
        <v>4363</v>
      </c>
    </row>
    <row r="2542">
      <c r="A2542" s="1">
        <v>2540.0</v>
      </c>
      <c r="B2542" s="4" t="s">
        <v>4287</v>
      </c>
      <c r="C2542" s="4" t="str">
        <f>IFERROR(__xludf.DUMMYFUNCTION("GOOGLETRANSLATE(D:D,""auto"",""en"")"),"Zhang Yu Jian had acted in Langya list")</f>
        <v>Zhang Yu Jian had acted in Langya list</v>
      </c>
      <c r="D2542" s="4" t="s">
        <v>4237</v>
      </c>
      <c r="E2542" s="4">
        <v>7489164.0</v>
      </c>
      <c r="F2542" s="4">
        <v>41.0</v>
      </c>
      <c r="G2542" s="4" t="s">
        <v>4238</v>
      </c>
    </row>
    <row r="2543">
      <c r="A2543" s="1">
        <v>2541.0</v>
      </c>
      <c r="B2543" s="4" t="s">
        <v>4287</v>
      </c>
      <c r="C2543" s="4" t="str">
        <f>IFERROR(__xludf.DUMMYFUNCTION("GOOGLETRANSLATE(D:D,""auto"",""en"")"),"Founder is the bank filed for bankruptcy reorganization")</f>
        <v>Founder is the bank filed for bankruptcy reorganization</v>
      </c>
      <c r="D2543" s="4" t="s">
        <v>4364</v>
      </c>
      <c r="E2543" s="4">
        <v>7366239.0</v>
      </c>
      <c r="F2543" s="4">
        <v>42.0</v>
      </c>
      <c r="G2543" s="4" t="s">
        <v>4365</v>
      </c>
    </row>
    <row r="2544">
      <c r="A2544" s="1">
        <v>2542.0</v>
      </c>
      <c r="B2544" s="4" t="s">
        <v>4287</v>
      </c>
      <c r="C2544" s="4" t="str">
        <f>IFERROR(__xludf.DUMMYFUNCTION("GOOGLETRANSLATE(D:D,""auto"",""en"")"),"Orange knight")</f>
        <v>Orange knight</v>
      </c>
      <c r="D2544" s="4" t="s">
        <v>4366</v>
      </c>
      <c r="E2544" s="4">
        <v>7310149.0</v>
      </c>
      <c r="F2544" s="4">
        <v>43.0</v>
      </c>
      <c r="G2544" s="4" t="s">
        <v>4367</v>
      </c>
    </row>
    <row r="2545">
      <c r="A2545" s="1">
        <v>2543.0</v>
      </c>
      <c r="B2545" s="4" t="s">
        <v>4287</v>
      </c>
      <c r="C2545" s="4" t="str">
        <f>IFERROR(__xludf.DUMMYFUNCTION("GOOGLETRANSLATE(D:D,""auto"",""en"")"),"In the direction of Japan donated new crown pneumonia kit")</f>
        <v>In the direction of Japan donated new crown pneumonia kit</v>
      </c>
      <c r="D2545" s="4" t="s">
        <v>4368</v>
      </c>
      <c r="E2545" s="4">
        <v>7271167.0</v>
      </c>
      <c r="F2545" s="4">
        <v>44.0</v>
      </c>
      <c r="G2545" s="4" t="s">
        <v>4369</v>
      </c>
    </row>
    <row r="2546">
      <c r="A2546" s="1">
        <v>2544.0</v>
      </c>
      <c r="B2546" s="4" t="s">
        <v>4287</v>
      </c>
      <c r="C2546" s="4" t="str">
        <f>IFERROR(__xludf.DUMMYFUNCTION("GOOGLETRANSLATE(D:D,""auto"",""en"")"),"Zhong Nanshan Harvard University jointly tackling new virus crown")</f>
        <v>Zhong Nanshan Harvard University jointly tackling new virus crown</v>
      </c>
      <c r="D2546" s="4" t="s">
        <v>4370</v>
      </c>
      <c r="E2546" s="4">
        <v>7215443.0</v>
      </c>
      <c r="F2546" s="4">
        <v>45.0</v>
      </c>
      <c r="G2546" s="4" t="s">
        <v>4371</v>
      </c>
    </row>
    <row r="2547">
      <c r="A2547" s="1">
        <v>2545.0</v>
      </c>
      <c r="B2547" s="4" t="s">
        <v>4287</v>
      </c>
      <c r="C2547" s="4" t="str">
        <f>IFERROR(__xludf.DUMMYFUNCTION("GOOGLETRANSLATE(D:D,""auto"",""en"")"),"E-year pot to aid health care free")</f>
        <v>E-year pot to aid health care free</v>
      </c>
      <c r="D2547" s="4" t="s">
        <v>4372</v>
      </c>
      <c r="E2547" s="4">
        <v>7210464.0</v>
      </c>
      <c r="F2547" s="4">
        <v>46.0</v>
      </c>
      <c r="G2547" s="4" t="s">
        <v>4373</v>
      </c>
    </row>
    <row r="2548">
      <c r="A2548" s="1">
        <v>2546.0</v>
      </c>
      <c r="B2548" s="4" t="s">
        <v>4287</v>
      </c>
      <c r="C2548" s="4" t="str">
        <f>IFERROR(__xludf.DUMMYFUNCTION("GOOGLETRANSLATE(D:D,""auto"",""en"")"),"Xie Guangkun")</f>
        <v>Xie Guangkun</v>
      </c>
      <c r="D2548" s="4" t="s">
        <v>4374</v>
      </c>
      <c r="E2548" s="4">
        <v>7208039.0</v>
      </c>
      <c r="F2548" s="4">
        <v>47.0</v>
      </c>
      <c r="G2548" s="4" t="s">
        <v>4375</v>
      </c>
    </row>
    <row r="2549">
      <c r="A2549" s="1">
        <v>2547.0</v>
      </c>
      <c r="B2549" s="4" t="s">
        <v>4287</v>
      </c>
      <c r="C2549" s="4" t="str">
        <f>IFERROR(__xludf.DUMMYFUNCTION("GOOGLETRANSLATE(D:D,""auto"",""en"")"),"Bags of potato chips pictures")</f>
        <v>Bags of potato chips pictures</v>
      </c>
      <c r="D2549" s="4" t="s">
        <v>4376</v>
      </c>
      <c r="E2549" s="4">
        <v>7158508.0</v>
      </c>
      <c r="F2549" s="4">
        <v>48.0</v>
      </c>
      <c r="G2549" s="4" t="s">
        <v>4377</v>
      </c>
    </row>
    <row r="2550">
      <c r="A2550" s="1">
        <v>2548.0</v>
      </c>
      <c r="B2550" s="4" t="s">
        <v>4287</v>
      </c>
      <c r="C2550" s="4" t="str">
        <f>IFERROR(__xludf.DUMMYFUNCTION("GOOGLETRANSLATE(D:D,""auto"",""en"")"),"Wang Yibo not give up gesture dance")</f>
        <v>Wang Yibo not give up gesture dance</v>
      </c>
      <c r="D2550" s="4" t="s">
        <v>4378</v>
      </c>
      <c r="E2550" s="4">
        <v>7136908.0</v>
      </c>
      <c r="F2550" s="4">
        <v>49.0</v>
      </c>
      <c r="G2550" s="4" t="s">
        <v>4379</v>
      </c>
    </row>
    <row r="2551">
      <c r="A2551" s="1">
        <v>2549.0</v>
      </c>
      <c r="B2551" s="4" t="s">
        <v>4287</v>
      </c>
      <c r="C2551" s="4" t="str">
        <f>IFERROR(__xludf.DUMMYFUNCTION("GOOGLETRANSLATE(D:D,""auto"",""en"")"),"Beijing Hualian Supermarket response masks a box of 500")</f>
        <v>Beijing Hualian Supermarket response masks a box of 500</v>
      </c>
      <c r="D2551" s="4" t="s">
        <v>4380</v>
      </c>
      <c r="E2551" s="4">
        <v>7104988.0</v>
      </c>
      <c r="F2551" s="4">
        <v>50.0</v>
      </c>
      <c r="G2551" s="4" t="s">
        <v>4381</v>
      </c>
    </row>
    <row r="2552">
      <c r="A2552" s="1">
        <v>2550.0</v>
      </c>
      <c r="B2552" s="4" t="s">
        <v>4382</v>
      </c>
      <c r="C2552" s="4" t="str">
        <f>IFERROR(__xludf.DUMMYFUNCTION("GOOGLETRANSLATE(D:D,""auto"",""en"")"),"National epidemic inflection point yet to come")</f>
        <v>National epidemic inflection point yet to come</v>
      </c>
      <c r="D2552" s="4" t="s">
        <v>4383</v>
      </c>
      <c r="E2552" s="4">
        <v>1.3336055E7</v>
      </c>
      <c r="F2552" s="4">
        <v>1.0</v>
      </c>
      <c r="G2552" s="4" t="s">
        <v>4384</v>
      </c>
    </row>
    <row r="2553">
      <c r="A2553" s="1">
        <v>2551.0</v>
      </c>
      <c r="B2553" s="4" t="s">
        <v>4382</v>
      </c>
      <c r="C2553" s="4" t="str">
        <f>IFERROR(__xludf.DUMMYFUNCTION("GOOGLETRANSLATE(D:D,""auto"",""en"")"),"Brush vibrato see the neighbors to help feed their own dogs")</f>
        <v>Brush vibrato see the neighbors to help feed their own dogs</v>
      </c>
      <c r="D2553" s="4" t="s">
        <v>4385</v>
      </c>
      <c r="E2553" s="4">
        <v>1.2965794E7</v>
      </c>
      <c r="F2553" s="4">
        <v>2.0</v>
      </c>
      <c r="G2553" s="4" t="s">
        <v>4386</v>
      </c>
    </row>
    <row r="2554">
      <c r="A2554" s="1">
        <v>2552.0</v>
      </c>
      <c r="B2554" s="4" t="s">
        <v>4382</v>
      </c>
      <c r="C2554" s="4" t="str">
        <f>IFERROR(__xludf.DUMMYFUNCTION("GOOGLETRANSLATE(D:D,""auto"",""en"")"),"Deng purple chess community concert")</f>
        <v>Deng purple chess community concert</v>
      </c>
      <c r="D2554" s="4" t="s">
        <v>4387</v>
      </c>
      <c r="E2554" s="4">
        <v>1.2230256E7</v>
      </c>
      <c r="F2554" s="4">
        <v>3.0</v>
      </c>
      <c r="G2554" s="4" t="s">
        <v>4388</v>
      </c>
    </row>
    <row r="2555">
      <c r="A2555" s="1">
        <v>2553.0</v>
      </c>
      <c r="B2555" s="4" t="s">
        <v>4382</v>
      </c>
      <c r="C2555" s="4" t="str">
        <f>IFERROR(__xludf.DUMMYFUNCTION("GOOGLETRANSLATE(D:D,""auto"",""en"")"),"Han official response Charity Fund is reported")</f>
        <v>Han official response Charity Fund is reported</v>
      </c>
      <c r="D2555" s="4" t="s">
        <v>4389</v>
      </c>
      <c r="E2555" s="4">
        <v>1.0798702E7</v>
      </c>
      <c r="F2555" s="4">
        <v>4.0</v>
      </c>
      <c r="G2555" s="4" t="s">
        <v>4390</v>
      </c>
    </row>
    <row r="2556">
      <c r="A2556" s="1">
        <v>2554.0</v>
      </c>
      <c r="B2556" s="4" t="s">
        <v>4382</v>
      </c>
      <c r="C2556" s="4" t="str">
        <f>IFERROR(__xludf.DUMMYFUNCTION("GOOGLETRANSLATE(D:D,""auto"",""en"")"),"Chen He Sean Sun tongue twister challenge")</f>
        <v>Chen He Sean Sun tongue twister challenge</v>
      </c>
      <c r="D2556" s="4" t="s">
        <v>4391</v>
      </c>
      <c r="E2556" s="4">
        <v>1.0751361E7</v>
      </c>
      <c r="F2556" s="4">
        <v>5.0</v>
      </c>
      <c r="G2556" s="4" t="s">
        <v>4392</v>
      </c>
    </row>
    <row r="2557">
      <c r="A2557" s="1">
        <v>2555.0</v>
      </c>
      <c r="B2557" s="4" t="s">
        <v>4382</v>
      </c>
      <c r="C2557" s="4" t="str">
        <f>IFERROR(__xludf.DUMMYFUNCTION("GOOGLETRANSLATE(D:D,""auto"",""en"")"),"Mao is not easy song 43 minutes")</f>
        <v>Mao is not easy song 43 minutes</v>
      </c>
      <c r="D2557" s="4" t="s">
        <v>4316</v>
      </c>
      <c r="E2557" s="4">
        <v>1.0585158E7</v>
      </c>
      <c r="F2557" s="4">
        <v>6.0</v>
      </c>
      <c r="G2557" s="4" t="s">
        <v>4317</v>
      </c>
    </row>
    <row r="2558">
      <c r="A2558" s="1">
        <v>2556.0</v>
      </c>
      <c r="B2558" s="4" t="s">
        <v>4382</v>
      </c>
      <c r="C2558" s="4" t="str">
        <f>IFERROR(__xludf.DUMMYFUNCTION("GOOGLETRANSLATE(D:D,""auto"",""en"")"),"Amnesia grandfather cleaning module hospital")</f>
        <v>Amnesia grandfather cleaning module hospital</v>
      </c>
      <c r="D2558" s="4" t="s">
        <v>4393</v>
      </c>
      <c r="E2558" s="4">
        <v>1.0440448E7</v>
      </c>
      <c r="F2558" s="4">
        <v>7.0</v>
      </c>
      <c r="G2558" s="4" t="s">
        <v>4394</v>
      </c>
    </row>
    <row r="2559">
      <c r="A2559" s="1">
        <v>2557.0</v>
      </c>
      <c r="B2559" s="4" t="s">
        <v>4382</v>
      </c>
      <c r="C2559" s="4" t="str">
        <f>IFERROR(__xludf.DUMMYFUNCTION("GOOGLETRANSLATE(D:D,""auto"",""en"")"),"The national total of 75,465 cases of pneumonia diagnosed with the new crown")</f>
        <v>The national total of 75,465 cases of pneumonia diagnosed with the new crown</v>
      </c>
      <c r="D2559" s="4" t="s">
        <v>4395</v>
      </c>
      <c r="E2559" s="4">
        <v>1.0362051E7</v>
      </c>
      <c r="F2559" s="4">
        <v>8.0</v>
      </c>
      <c r="G2559" s="4" t="s">
        <v>4396</v>
      </c>
    </row>
    <row r="2560">
      <c r="A2560" s="1">
        <v>2558.0</v>
      </c>
      <c r="B2560" s="4" t="s">
        <v>4382</v>
      </c>
      <c r="C2560" s="4" t="str">
        <f>IFERROR(__xludf.DUMMYFUNCTION("GOOGLETRANSLATE(D:D,""auto"",""en"")"),"Du Haitao you people waiting for me")</f>
        <v>Du Haitao you people waiting for me</v>
      </c>
      <c r="D2560" s="4" t="s">
        <v>4397</v>
      </c>
      <c r="E2560" s="4">
        <v>1.019004E7</v>
      </c>
      <c r="F2560" s="4">
        <v>9.0</v>
      </c>
      <c r="G2560" s="4" t="s">
        <v>4398</v>
      </c>
    </row>
    <row r="2561">
      <c r="A2561" s="1">
        <v>2559.0</v>
      </c>
      <c r="B2561" s="4" t="s">
        <v>4382</v>
      </c>
      <c r="C2561" s="4" t="str">
        <f>IFERROR(__xludf.DUMMYFUNCTION("GOOGLETRANSLATE(D:D,""auto"",""en"")"),"Angelababy ice flower")</f>
        <v>Angelababy ice flower</v>
      </c>
      <c r="D2561" s="4" t="s">
        <v>4399</v>
      </c>
      <c r="E2561" s="4">
        <v>1.0187702E7</v>
      </c>
      <c r="F2561" s="4">
        <v>10.0</v>
      </c>
      <c r="G2561" s="4" t="s">
        <v>4400</v>
      </c>
    </row>
    <row r="2562">
      <c r="A2562" s="1">
        <v>2560.0</v>
      </c>
      <c r="B2562" s="4" t="s">
        <v>4382</v>
      </c>
      <c r="C2562" s="4" t="str">
        <f>IFERROR(__xludf.DUMMYFUNCTION("GOOGLETRANSLATE(D:D,""auto"",""en"")"),"Hubei new confirmed cases 411 cases")</f>
        <v>Hubei new confirmed cases 411 cases</v>
      </c>
      <c r="D2562" s="4" t="s">
        <v>4401</v>
      </c>
      <c r="E2562" s="4">
        <v>9980427.0</v>
      </c>
      <c r="F2562" s="4">
        <v>11.0</v>
      </c>
      <c r="G2562" s="4" t="s">
        <v>4402</v>
      </c>
    </row>
    <row r="2563">
      <c r="A2563" s="1">
        <v>2561.0</v>
      </c>
      <c r="B2563" s="4" t="s">
        <v>4382</v>
      </c>
      <c r="C2563" s="4" t="str">
        <f>IFERROR(__xludf.DUMMYFUNCTION("GOOGLETRANSLATE(D:D,""auto"",""en"")"),"Lisa golden suit")</f>
        <v>Lisa golden suit</v>
      </c>
      <c r="D2563" s="4" t="s">
        <v>4403</v>
      </c>
      <c r="E2563" s="4">
        <v>9916540.0</v>
      </c>
      <c r="F2563" s="4">
        <v>12.0</v>
      </c>
      <c r="G2563" s="4" t="s">
        <v>4404</v>
      </c>
    </row>
    <row r="2564">
      <c r="A2564" s="1">
        <v>2562.0</v>
      </c>
      <c r="B2564" s="4" t="s">
        <v>4382</v>
      </c>
      <c r="C2564" s="4" t="str">
        <f>IFERROR(__xludf.DUMMYFUNCTION("GOOGLETRANSLATE(D:D,""auto"",""en"")"),"South Korea confirmed the occurrence of super spread")</f>
        <v>South Korea confirmed the occurrence of super spread</v>
      </c>
      <c r="D2564" s="4" t="s">
        <v>4405</v>
      </c>
      <c r="E2564" s="4">
        <v>9904386.0</v>
      </c>
      <c r="F2564" s="4">
        <v>13.0</v>
      </c>
      <c r="G2564" s="4" t="s">
        <v>4406</v>
      </c>
    </row>
    <row r="2565">
      <c r="A2565" s="1">
        <v>2563.0</v>
      </c>
      <c r="B2565" s="4" t="s">
        <v>4382</v>
      </c>
      <c r="C2565" s="4" t="str">
        <f>IFERROR(__xludf.DUMMYFUNCTION("GOOGLETRANSLATE(D:D,""auto"",""en"")"),"Yu Shuxin have your youth 2")</f>
        <v>Yu Shuxin have your youth 2</v>
      </c>
      <c r="D2565" s="4" t="s">
        <v>4407</v>
      </c>
      <c r="E2565" s="4">
        <v>9820599.0</v>
      </c>
      <c r="F2565" s="4">
        <v>14.0</v>
      </c>
      <c r="G2565" s="4" t="s">
        <v>4408</v>
      </c>
    </row>
    <row r="2566">
      <c r="A2566" s="1">
        <v>2564.0</v>
      </c>
      <c r="B2566" s="4" t="s">
        <v>4382</v>
      </c>
      <c r="C2566" s="4" t="str">
        <f>IFERROR(__xludf.DUMMYFUNCTION("GOOGLETRANSLATE(D:D,""auto"",""en"")"),"No licensing of Jacky Heung Hayden")</f>
        <v>No licensing of Jacky Heung Hayden</v>
      </c>
      <c r="D2566" s="4" t="s">
        <v>4409</v>
      </c>
      <c r="E2566" s="4">
        <v>9705110.0</v>
      </c>
      <c r="F2566" s="4">
        <v>15.0</v>
      </c>
      <c r="G2566" s="4" t="s">
        <v>4410</v>
      </c>
    </row>
    <row r="2567">
      <c r="A2567" s="1">
        <v>2565.0</v>
      </c>
      <c r="B2567" s="4" t="s">
        <v>4382</v>
      </c>
      <c r="C2567" s="4" t="str">
        <f>IFERROR(__xludf.DUMMYFUNCTION("GOOGLETRANSLATE(D:D,""auto"",""en"")"),"Vulcan mountain glasses uncle left the hospital")</f>
        <v>Vulcan mountain glasses uncle left the hospital</v>
      </c>
      <c r="D2567" s="4" t="s">
        <v>4411</v>
      </c>
      <c r="E2567" s="4">
        <v>9670095.0</v>
      </c>
      <c r="F2567" s="4">
        <v>16.0</v>
      </c>
      <c r="G2567" s="4" t="s">
        <v>4412</v>
      </c>
    </row>
    <row r="2568">
      <c r="A2568" s="1">
        <v>2566.0</v>
      </c>
      <c r="B2568" s="4" t="s">
        <v>4382</v>
      </c>
      <c r="C2568" s="4" t="str">
        <f>IFERROR(__xludf.DUMMYFUNCTION("GOOGLETRANSLATE(D:D,""auto"",""en"")"),"Wuhan rebuke medical patients were suspended inspection")</f>
        <v>Wuhan rebuke medical patients were suspended inspection</v>
      </c>
      <c r="D2568" s="4" t="s">
        <v>4413</v>
      </c>
      <c r="E2568" s="4">
        <v>9434130.0</v>
      </c>
      <c r="F2568" s="4">
        <v>17.0</v>
      </c>
      <c r="G2568" s="4" t="s">
        <v>4414</v>
      </c>
    </row>
    <row r="2569">
      <c r="A2569" s="1">
        <v>2567.0</v>
      </c>
      <c r="B2569" s="4" t="s">
        <v>4382</v>
      </c>
      <c r="C2569" s="4" t="str">
        <f>IFERROR(__xludf.DUMMYFUNCTION("GOOGLETRANSLATE(D:D,""auto"",""en"")"),"Sister Angela Huang Yali on the cloud")</f>
        <v>Sister Angela Huang Yali on the cloud</v>
      </c>
      <c r="D2569" s="4" t="s">
        <v>4415</v>
      </c>
      <c r="E2569" s="4">
        <v>9416082.0</v>
      </c>
      <c r="F2569" s="4">
        <v>18.0</v>
      </c>
      <c r="G2569" s="4" t="s">
        <v>4416</v>
      </c>
    </row>
    <row r="2570">
      <c r="A2570" s="1">
        <v>2568.0</v>
      </c>
      <c r="B2570" s="4" t="s">
        <v>4382</v>
      </c>
      <c r="C2570" s="4" t="str">
        <f>IFERROR(__xludf.DUMMYFUNCTION("GOOGLETRANSLATE(D:D,""auto"",""en"")"),"Ning Huanyu married")</f>
        <v>Ning Huanyu married</v>
      </c>
      <c r="D2570" s="4" t="s">
        <v>4417</v>
      </c>
      <c r="E2570" s="4">
        <v>9288328.0</v>
      </c>
      <c r="F2570" s="4">
        <v>19.0</v>
      </c>
      <c r="G2570" s="4" t="s">
        <v>4418</v>
      </c>
    </row>
    <row r="2571">
      <c r="A2571" s="1">
        <v>2569.0</v>
      </c>
      <c r="B2571" s="4" t="s">
        <v>4382</v>
      </c>
      <c r="C2571" s="4" t="str">
        <f>IFERROR(__xludf.DUMMYFUNCTION("GOOGLETRANSLATE(D:D,""auto"",""en"")"),"Drunk woman sleeping on the awning")</f>
        <v>Drunk woman sleeping on the awning</v>
      </c>
      <c r="D2571" s="4" t="s">
        <v>4419</v>
      </c>
      <c r="E2571" s="4">
        <v>9213870.0</v>
      </c>
      <c r="F2571" s="4">
        <v>20.0</v>
      </c>
      <c r="G2571" s="4" t="s">
        <v>4420</v>
      </c>
    </row>
    <row r="2572">
      <c r="A2572" s="1">
        <v>2570.0</v>
      </c>
      <c r="B2572" s="4" t="s">
        <v>4382</v>
      </c>
      <c r="C2572" s="4" t="str">
        <f>IFERROR(__xludf.DUMMYFUNCTION("GOOGLETRANSLATE(D:D,""auto"",""en"")"),"Wang Yuan Ouyang Nana fingers dance studio")</f>
        <v>Wang Yuan Ouyang Nana fingers dance studio</v>
      </c>
      <c r="D2572" s="4" t="s">
        <v>4421</v>
      </c>
      <c r="E2572" s="4">
        <v>8962115.0</v>
      </c>
      <c r="F2572" s="4">
        <v>21.0</v>
      </c>
      <c r="G2572" s="4" t="s">
        <v>4422</v>
      </c>
    </row>
    <row r="2573">
      <c r="A2573" s="1">
        <v>2571.0</v>
      </c>
      <c r="B2573" s="4" t="s">
        <v>4382</v>
      </c>
      <c r="C2573" s="4" t="str">
        <f>IFERROR(__xludf.DUMMYFUNCTION("GOOGLETRANSLATE(D:D,""auto"",""en"")"),"Li Lanjuan face indentation")</f>
        <v>Li Lanjuan face indentation</v>
      </c>
      <c r="D2573" s="4" t="s">
        <v>4322</v>
      </c>
      <c r="E2573" s="4">
        <v>8953862.0</v>
      </c>
      <c r="F2573" s="4">
        <v>22.0</v>
      </c>
      <c r="G2573" s="4" t="s">
        <v>4323</v>
      </c>
    </row>
    <row r="2574">
      <c r="A2574" s="1">
        <v>2572.0</v>
      </c>
      <c r="B2574" s="4" t="s">
        <v>4382</v>
      </c>
      <c r="C2574" s="4" t="str">
        <f>IFERROR(__xludf.DUMMYFUNCTION("GOOGLETRANSLATE(D:D,""auto"",""en"")"),"Westbrook was sent off")</f>
        <v>Westbrook was sent off</v>
      </c>
      <c r="D2574" s="4" t="s">
        <v>4423</v>
      </c>
      <c r="E2574" s="4">
        <v>8815047.0</v>
      </c>
      <c r="F2574" s="4">
        <v>23.0</v>
      </c>
      <c r="G2574" s="4" t="s">
        <v>4424</v>
      </c>
    </row>
    <row r="2575">
      <c r="A2575" s="1">
        <v>2573.0</v>
      </c>
      <c r="B2575" s="4" t="s">
        <v>4382</v>
      </c>
      <c r="C2575" s="4" t="str">
        <f>IFERROR(__xludf.DUMMYFUNCTION("GOOGLETRANSLATE(D:D,""auto"",""en"")"),"Chongqing allocation of 200,000 ml plasma reinforcements Hubei")</f>
        <v>Chongqing allocation of 200,000 ml plasma reinforcements Hubei</v>
      </c>
      <c r="D2575" s="4" t="s">
        <v>4425</v>
      </c>
      <c r="E2575" s="4">
        <v>8737025.0</v>
      </c>
      <c r="F2575" s="4">
        <v>24.0</v>
      </c>
      <c r="G2575" s="4" t="s">
        <v>4426</v>
      </c>
    </row>
    <row r="2576">
      <c r="A2576" s="1">
        <v>2574.0</v>
      </c>
      <c r="B2576" s="4" t="s">
        <v>4382</v>
      </c>
      <c r="C2576" s="4" t="str">
        <f>IFERROR(__xludf.DUMMYFUNCTION("GOOGLETRANSLATE(D:D,""auto"",""en"")"),"Owen season")</f>
        <v>Owen season</v>
      </c>
      <c r="D2576" s="4" t="s">
        <v>4427</v>
      </c>
      <c r="E2576" s="4">
        <v>8694485.0</v>
      </c>
      <c r="F2576" s="4">
        <v>25.0</v>
      </c>
      <c r="G2576" s="4" t="s">
        <v>4428</v>
      </c>
    </row>
    <row r="2577">
      <c r="A2577" s="1">
        <v>2575.0</v>
      </c>
      <c r="B2577" s="4" t="s">
        <v>4382</v>
      </c>
      <c r="C2577" s="4" t="str">
        <f>IFERROR(__xludf.DUMMYFUNCTION("GOOGLETRANSLATE(D:D,""auto"",""en"")"),"Shen Teng Wei cos blue forget propaganda machine without envy")</f>
        <v>Shen Teng Wei cos blue forget propaganda machine without envy</v>
      </c>
      <c r="D2577" s="4" t="s">
        <v>4429</v>
      </c>
      <c r="E2577" s="4">
        <v>8687528.0</v>
      </c>
      <c r="F2577" s="4">
        <v>26.0</v>
      </c>
      <c r="G2577" s="4" t="s">
        <v>4430</v>
      </c>
    </row>
    <row r="2578">
      <c r="A2578" s="1">
        <v>2576.0</v>
      </c>
      <c r="B2578" s="4" t="s">
        <v>4382</v>
      </c>
      <c r="C2578" s="4" t="str">
        <f>IFERROR(__xludf.DUMMYFUNCTION("GOOGLETRANSLATE(D:D,""auto"",""en"")"),"Zhejiang Justice Department to respond to new cases prison")</f>
        <v>Zhejiang Justice Department to respond to new cases prison</v>
      </c>
      <c r="D2578" s="4" t="s">
        <v>4431</v>
      </c>
      <c r="E2578" s="4">
        <v>8626826.0</v>
      </c>
      <c r="F2578" s="4">
        <v>27.0</v>
      </c>
      <c r="G2578" s="4" t="s">
        <v>4432</v>
      </c>
    </row>
    <row r="2579">
      <c r="A2579" s="1">
        <v>2577.0</v>
      </c>
      <c r="B2579" s="4" t="s">
        <v>4382</v>
      </c>
      <c r="C2579" s="4" t="str">
        <f>IFERROR(__xludf.DUMMYFUNCTION("GOOGLETRANSLATE(D:D,""auto"",""en"")"),"Nucleic acid negative can not rule out pneumonia new crown")</f>
        <v>Nucleic acid negative can not rule out pneumonia new crown</v>
      </c>
      <c r="D2579" s="4" t="s">
        <v>4433</v>
      </c>
      <c r="E2579" s="4">
        <v>8610520.0</v>
      </c>
      <c r="F2579" s="4">
        <v>28.0</v>
      </c>
      <c r="G2579" s="4" t="s">
        <v>4434</v>
      </c>
    </row>
    <row r="2580">
      <c r="A2580" s="1">
        <v>2578.0</v>
      </c>
      <c r="B2580" s="4" t="s">
        <v>4382</v>
      </c>
      <c r="C2580" s="4" t="str">
        <f>IFERROR(__xludf.DUMMYFUNCTION("GOOGLETRANSLATE(D:D,""auto"",""en"")"),"Yifei CCTV camera with mirror")</f>
        <v>Yifei CCTV camera with mirror</v>
      </c>
      <c r="D2580" s="4" t="s">
        <v>4435</v>
      </c>
      <c r="E2580" s="4">
        <v>8565099.0</v>
      </c>
      <c r="F2580" s="4">
        <v>29.0</v>
      </c>
      <c r="G2580" s="4" t="s">
        <v>4436</v>
      </c>
    </row>
    <row r="2581">
      <c r="A2581" s="1">
        <v>2579.0</v>
      </c>
      <c r="B2581" s="4" t="s">
        <v>4382</v>
      </c>
      <c r="C2581" s="4" t="str">
        <f>IFERROR(__xludf.DUMMYFUNCTION("GOOGLETRANSLATE(D:D,""auto"",""en"")"),"Lijiang tourism industry to resume operations")</f>
        <v>Lijiang tourism industry to resume operations</v>
      </c>
      <c r="D2581" s="4" t="s">
        <v>4437</v>
      </c>
      <c r="E2581" s="4">
        <v>8545883.0</v>
      </c>
      <c r="F2581" s="4">
        <v>30.0</v>
      </c>
      <c r="G2581" s="4" t="s">
        <v>4438</v>
      </c>
    </row>
    <row r="2582">
      <c r="A2582" s="1">
        <v>2580.0</v>
      </c>
      <c r="B2582" s="4" t="s">
        <v>4382</v>
      </c>
      <c r="C2582" s="4" t="str">
        <f>IFERROR(__xludf.DUMMYFUNCTION("GOOGLETRANSLATE(D:D,""auto"",""en"")"),"Spring 2020 special limited edition models satchel care")</f>
        <v>Spring 2020 special limited edition models satchel care</v>
      </c>
      <c r="D2582" s="4" t="s">
        <v>4439</v>
      </c>
      <c r="E2582" s="4">
        <v>8500669.0</v>
      </c>
      <c r="F2582" s="4">
        <v>31.0</v>
      </c>
      <c r="G2582" s="4" t="s">
        <v>4440</v>
      </c>
    </row>
    <row r="2583">
      <c r="A2583" s="1">
        <v>2581.0</v>
      </c>
      <c r="B2583" s="4" t="s">
        <v>4382</v>
      </c>
      <c r="C2583" s="4" t="str">
        <f>IFERROR(__xludf.DUMMYFUNCTION("GOOGLETRANSLATE(D:D,""auto"",""en"")"),"Talk with infected persons not wearing masks were infected less than 3 minutes")</f>
        <v>Talk with infected persons not wearing masks were infected less than 3 minutes</v>
      </c>
      <c r="D2583" s="4" t="s">
        <v>4441</v>
      </c>
      <c r="E2583" s="4">
        <v>8443355.0</v>
      </c>
      <c r="F2583" s="4">
        <v>32.0</v>
      </c>
      <c r="G2583" s="4" t="s">
        <v>4442</v>
      </c>
    </row>
    <row r="2584">
      <c r="A2584" s="1">
        <v>2582.0</v>
      </c>
      <c r="B2584" s="4" t="s">
        <v>4382</v>
      </c>
      <c r="C2584" s="4" t="str">
        <f>IFERROR(__xludf.DUMMYFUNCTION("GOOGLETRANSLATE(D:D,""auto"",""en"")"),"Wuhan Women's Prison warden was removed from office")</f>
        <v>Wuhan Women's Prison warden was removed from office</v>
      </c>
      <c r="D2584" s="4" t="s">
        <v>4443</v>
      </c>
      <c r="E2584" s="4">
        <v>8385542.0</v>
      </c>
      <c r="F2584" s="4">
        <v>33.0</v>
      </c>
      <c r="G2584" s="4" t="s">
        <v>4444</v>
      </c>
    </row>
    <row r="2585">
      <c r="A2585" s="1">
        <v>2583.0</v>
      </c>
      <c r="B2585" s="4" t="s">
        <v>4382</v>
      </c>
      <c r="C2585" s="4" t="str">
        <f>IFERROR(__xludf.DUMMYFUNCTION("GOOGLETRANSLATE(D:D,""auto"",""en"")"),"Shandong new confirmed cases 202 cases")</f>
        <v>Shandong new confirmed cases 202 cases</v>
      </c>
      <c r="D2585" s="4" t="s">
        <v>4445</v>
      </c>
      <c r="E2585" s="4">
        <v>8332888.0</v>
      </c>
      <c r="F2585" s="4">
        <v>34.0</v>
      </c>
      <c r="G2585" s="4" t="s">
        <v>4446</v>
      </c>
    </row>
    <row r="2586">
      <c r="A2586" s="1">
        <v>2584.0</v>
      </c>
      <c r="B2586" s="4" t="s">
        <v>4382</v>
      </c>
      <c r="C2586" s="4" t="str">
        <f>IFERROR(__xludf.DUMMYFUNCTION("GOOGLETRANSLATE(D:D,""auto"",""en"")"),"Wuhan free to send food to their hometowns to be scolded plague")</f>
        <v>Wuhan free to send food to their hometowns to be scolded plague</v>
      </c>
      <c r="D2586" s="4" t="s">
        <v>4447</v>
      </c>
      <c r="E2586" s="4">
        <v>8298070.0</v>
      </c>
      <c r="F2586" s="4">
        <v>35.0</v>
      </c>
      <c r="G2586" s="4" t="s">
        <v>4448</v>
      </c>
    </row>
    <row r="2587">
      <c r="A2587" s="1">
        <v>2585.0</v>
      </c>
      <c r="B2587" s="4" t="s">
        <v>4382</v>
      </c>
      <c r="C2587" s="4" t="str">
        <f>IFERROR(__xludf.DUMMYFUNCTION("GOOGLETRANSLATE(D:D,""auto"",""en"")"),"Diamond Princess will become the new crown virus maker")</f>
        <v>Diamond Princess will become the new crown virus maker</v>
      </c>
      <c r="D2587" s="4" t="s">
        <v>4449</v>
      </c>
      <c r="E2587" s="4">
        <v>8206968.0</v>
      </c>
      <c r="F2587" s="4">
        <v>36.0</v>
      </c>
      <c r="G2587" s="4" t="s">
        <v>4450</v>
      </c>
    </row>
    <row r="2588">
      <c r="A2588" s="1">
        <v>2586.0</v>
      </c>
      <c r="B2588" s="4" t="s">
        <v>4382</v>
      </c>
      <c r="C2588" s="4" t="str">
        <f>IFERROR(__xludf.DUMMYFUNCTION("GOOGLETRANSLATE(D:D,""auto"",""en"")"),"Xiaozhan happy very important to me")</f>
        <v>Xiaozhan happy very important to me</v>
      </c>
      <c r="D2588" s="4" t="s">
        <v>4451</v>
      </c>
      <c r="E2588" s="4">
        <v>8167817.0</v>
      </c>
      <c r="F2588" s="4">
        <v>37.0</v>
      </c>
      <c r="G2588" s="4" t="s">
        <v>4452</v>
      </c>
    </row>
    <row r="2589">
      <c r="A2589" s="1">
        <v>2587.0</v>
      </c>
      <c r="B2589" s="4" t="s">
        <v>4382</v>
      </c>
      <c r="C2589" s="4" t="str">
        <f>IFERROR(__xludf.DUMMYFUNCTION("GOOGLETRANSLATE(D:D,""auto"",""en"")"),"Wuhan 21 stocks to achieve nucleic acid detection cleared")</f>
        <v>Wuhan 21 stocks to achieve nucleic acid detection cleared</v>
      </c>
      <c r="D2589" s="4" t="s">
        <v>4453</v>
      </c>
      <c r="E2589" s="4">
        <v>8122906.0</v>
      </c>
      <c r="F2589" s="4">
        <v>38.0</v>
      </c>
      <c r="G2589" s="4" t="s">
        <v>4454</v>
      </c>
    </row>
    <row r="2590">
      <c r="A2590" s="1">
        <v>2588.0</v>
      </c>
      <c r="B2590" s="4" t="s">
        <v>4382</v>
      </c>
      <c r="C2590" s="4" t="str">
        <f>IFERROR(__xludf.DUMMYFUNCTION("GOOGLETRANSLATE(D:D,""auto"",""en"")"),"Hubei new cases was revised to 631 cases")</f>
        <v>Hubei new cases was revised to 631 cases</v>
      </c>
      <c r="D2590" s="4" t="s">
        <v>4455</v>
      </c>
      <c r="E2590" s="4">
        <v>8109500.0</v>
      </c>
      <c r="F2590" s="4">
        <v>39.0</v>
      </c>
      <c r="G2590" s="4" t="s">
        <v>4456</v>
      </c>
    </row>
    <row r="2591">
      <c r="A2591" s="1">
        <v>2589.0</v>
      </c>
      <c r="B2591" s="4" t="s">
        <v>4382</v>
      </c>
      <c r="C2591" s="4" t="str">
        <f>IFERROR(__xludf.DUMMYFUNCTION("GOOGLETRANSLATE(D:D,""auto"",""en"")"),"Wang Yibo intercession")</f>
        <v>Wang Yibo intercession</v>
      </c>
      <c r="D2591" s="4" t="s">
        <v>4457</v>
      </c>
      <c r="E2591" s="4">
        <v>8032603.0</v>
      </c>
      <c r="F2591" s="4">
        <v>40.0</v>
      </c>
      <c r="G2591" s="4" t="s">
        <v>4458</v>
      </c>
    </row>
    <row r="2592">
      <c r="A2592" s="1">
        <v>2590.0</v>
      </c>
      <c r="B2592" s="4" t="s">
        <v>4382</v>
      </c>
      <c r="C2592" s="4" t="str">
        <f>IFERROR(__xludf.DUMMYFUNCTION("GOOGLETRANSLATE(D:D,""auto"",""en"")"),"Gimhae is not dead")</f>
        <v>Gimhae is not dead</v>
      </c>
      <c r="D2592" s="4" t="s">
        <v>4459</v>
      </c>
      <c r="E2592" s="4">
        <v>8026484.0</v>
      </c>
      <c r="F2592" s="4">
        <v>41.0</v>
      </c>
      <c r="G2592" s="4" t="s">
        <v>4460</v>
      </c>
    </row>
    <row r="2593">
      <c r="A2593" s="1">
        <v>2591.0</v>
      </c>
      <c r="B2593" s="4" t="s">
        <v>4382</v>
      </c>
      <c r="C2593" s="4" t="str">
        <f>IFERROR(__xludf.DUMMYFUNCTION("GOOGLETRANSLATE(D:D,""auto"",""en"")"),"Converting Geli Fu garment factory donate half 6600 sets")</f>
        <v>Converting Geli Fu garment factory donate half 6600 sets</v>
      </c>
      <c r="D2593" s="4" t="s">
        <v>4461</v>
      </c>
      <c r="E2593" s="4">
        <v>8006494.0</v>
      </c>
      <c r="F2593" s="4">
        <v>42.0</v>
      </c>
      <c r="G2593" s="4" t="s">
        <v>4462</v>
      </c>
    </row>
    <row r="2594">
      <c r="A2594" s="1">
        <v>2592.0</v>
      </c>
      <c r="B2594" s="4" t="s">
        <v>4382</v>
      </c>
      <c r="C2594" s="4" t="str">
        <f>IFERROR(__xludf.DUMMYFUNCTION("GOOGLETRANSLATE(D:D,""auto"",""en"")"),"Wuhan nucleic acid detection capacity of 20,000 passengers per day")</f>
        <v>Wuhan nucleic acid detection capacity of 20,000 passengers per day</v>
      </c>
      <c r="D2594" s="4" t="s">
        <v>4463</v>
      </c>
      <c r="E2594" s="4">
        <v>7942237.0</v>
      </c>
      <c r="F2594" s="4">
        <v>43.0</v>
      </c>
      <c r="G2594" s="4" t="s">
        <v>4464</v>
      </c>
    </row>
    <row r="2595">
      <c r="A2595" s="1">
        <v>2593.0</v>
      </c>
      <c r="B2595" s="4" t="s">
        <v>4382</v>
      </c>
      <c r="C2595" s="4" t="str">
        <f>IFERROR(__xludf.DUMMYFUNCTION("GOOGLETRANSLATE(D:D,""auto"",""en"")"),"Hot Wheels arm")</f>
        <v>Hot Wheels arm</v>
      </c>
      <c r="D2595" s="4" t="s">
        <v>4465</v>
      </c>
      <c r="E2595" s="4">
        <v>7886305.0</v>
      </c>
      <c r="F2595" s="4">
        <v>44.0</v>
      </c>
      <c r="G2595" s="4" t="s">
        <v>4466</v>
      </c>
    </row>
    <row r="2596">
      <c r="A2596" s="1">
        <v>2594.0</v>
      </c>
      <c r="B2596" s="4" t="s">
        <v>4382</v>
      </c>
      <c r="C2596" s="4" t="str">
        <f>IFERROR(__xludf.DUMMYFUNCTION("GOOGLETRANSLATE(D:D,""auto"",""en"")"),"Hubei has subtract all cases must be added back")</f>
        <v>Hubei has subtract all cases must be added back</v>
      </c>
      <c r="D2596" s="4" t="s">
        <v>4467</v>
      </c>
      <c r="E2596" s="4">
        <v>7878682.0</v>
      </c>
      <c r="F2596" s="4">
        <v>45.0</v>
      </c>
      <c r="G2596" s="4" t="s">
        <v>4468</v>
      </c>
    </row>
    <row r="2597">
      <c r="A2597" s="1">
        <v>2595.0</v>
      </c>
      <c r="B2597" s="4" t="s">
        <v>4382</v>
      </c>
      <c r="C2597" s="4" t="str">
        <f>IFERROR(__xludf.DUMMYFUNCTION("GOOGLETRANSLATE(D:D,""auto"",""en"")"),"Uncle glasses out of the Vulcan Hill Hospital")</f>
        <v>Uncle glasses out of the Vulcan Hill Hospital</v>
      </c>
      <c r="D2597" s="4" t="s">
        <v>4469</v>
      </c>
      <c r="E2597" s="4">
        <v>7864357.0</v>
      </c>
      <c r="F2597" s="4">
        <v>46.0</v>
      </c>
      <c r="G2597" s="4" t="s">
        <v>4470</v>
      </c>
    </row>
    <row r="2598">
      <c r="A2598" s="1">
        <v>2596.0</v>
      </c>
      <c r="B2598" s="4" t="s">
        <v>4382</v>
      </c>
      <c r="C2598" s="4" t="str">
        <f>IFERROR(__xludf.DUMMYFUNCTION("GOOGLETRANSLATE(D:D,""auto"",""en"")"),"Shelter hospital for the first time single-day number of discharged patients Pobai")</f>
        <v>Shelter hospital for the first time single-day number of discharged patients Pobai</v>
      </c>
      <c r="D2598" s="4" t="s">
        <v>4471</v>
      </c>
      <c r="E2598" s="4">
        <v>7857661.0</v>
      </c>
      <c r="F2598" s="4">
        <v>47.0</v>
      </c>
      <c r="G2598" s="4" t="s">
        <v>4472</v>
      </c>
    </row>
    <row r="2599">
      <c r="A2599" s="1">
        <v>2597.0</v>
      </c>
      <c r="B2599" s="4" t="s">
        <v>4382</v>
      </c>
      <c r="C2599" s="4" t="str">
        <f>IFERROR(__xludf.DUMMYFUNCTION("GOOGLETRANSLATE(D:D,""auto"",""en"")"),"Yuan Shanshan live line coach vest")</f>
        <v>Yuan Shanshan live line coach vest</v>
      </c>
      <c r="D2599" s="4" t="s">
        <v>4473</v>
      </c>
      <c r="E2599" s="4">
        <v>7785872.0</v>
      </c>
      <c r="F2599" s="4">
        <v>48.0</v>
      </c>
      <c r="G2599" s="4" t="s">
        <v>4474</v>
      </c>
    </row>
    <row r="2600">
      <c r="A2600" s="1">
        <v>2598.0</v>
      </c>
      <c r="B2600" s="4" t="s">
        <v>4382</v>
      </c>
      <c r="C2600" s="4" t="str">
        <f>IFERROR(__xludf.DUMMYFUNCTION("GOOGLETRANSLATE(D:D,""auto"",""en"")"),"Zhejiang new cases of 28 cases")</f>
        <v>Zhejiang new cases of 28 cases</v>
      </c>
      <c r="D2600" s="4" t="s">
        <v>4475</v>
      </c>
      <c r="E2600" s="4">
        <v>7701925.0</v>
      </c>
      <c r="F2600" s="4">
        <v>49.0</v>
      </c>
      <c r="G2600" s="4" t="s">
        <v>4476</v>
      </c>
    </row>
    <row r="2601">
      <c r="A2601" s="1">
        <v>2599.0</v>
      </c>
      <c r="B2601" s="4" t="s">
        <v>4382</v>
      </c>
      <c r="C2601" s="4" t="str">
        <f>IFERROR(__xludf.DUMMYFUNCTION("GOOGLETRANSLATE(D:D,""auto"",""en"")"),"Seven KO Xieguang Kun Wang")</f>
        <v>Seven KO Xieguang Kun Wang</v>
      </c>
      <c r="D2601" s="4" t="s">
        <v>4477</v>
      </c>
      <c r="E2601" s="4">
        <v>7649149.0</v>
      </c>
      <c r="F2601" s="4">
        <v>50.0</v>
      </c>
      <c r="G2601" s="4" t="s">
        <v>4478</v>
      </c>
    </row>
    <row r="2602">
      <c r="A2602" s="1">
        <v>2600.0</v>
      </c>
      <c r="B2602" s="4" t="s">
        <v>4479</v>
      </c>
      <c r="C2602" s="4" t="str">
        <f>IFERROR(__xludf.DUMMYFUNCTION("GOOGLETRANSLATE(D:D,""auto"",""en"")"),"Stephen Chow to frontline medical team cheer")</f>
        <v>Stephen Chow to frontline medical team cheer</v>
      </c>
      <c r="D2602" s="4" t="s">
        <v>4480</v>
      </c>
      <c r="E2602" s="4">
        <v>1.3023444E7</v>
      </c>
      <c r="F2602" s="4">
        <v>1.0</v>
      </c>
      <c r="G2602" s="4" t="s">
        <v>4481</v>
      </c>
    </row>
    <row r="2603">
      <c r="A2603" s="1">
        <v>2601.0</v>
      </c>
      <c r="B2603" s="4" t="s">
        <v>4479</v>
      </c>
      <c r="C2603" s="4" t="str">
        <f>IFERROR(__xludf.DUMMYFUNCTION("GOOGLETRANSLATE(D:D,""auto"",""en"")"),"Shandong king challenge")</f>
        <v>Shandong king challenge</v>
      </c>
      <c r="D2603" s="4" t="s">
        <v>4482</v>
      </c>
      <c r="E2603" s="4">
        <v>1.2696034E7</v>
      </c>
      <c r="F2603" s="4">
        <v>2.0</v>
      </c>
      <c r="G2603" s="4" t="s">
        <v>4483</v>
      </c>
    </row>
    <row r="2604">
      <c r="A2604" s="1">
        <v>2602.0</v>
      </c>
      <c r="B2604" s="4" t="s">
        <v>4479</v>
      </c>
      <c r="C2604" s="4" t="str">
        <f>IFERROR(__xludf.DUMMYFUNCTION("GOOGLETRANSLATE(D:D,""auto"",""en"")"),"National new confirmed cases 397 cases")</f>
        <v>National new confirmed cases 397 cases</v>
      </c>
      <c r="D2604" s="4" t="s">
        <v>4484</v>
      </c>
      <c r="E2604" s="4">
        <v>1.2406978E7</v>
      </c>
      <c r="F2604" s="4">
        <v>3.0</v>
      </c>
      <c r="G2604" s="4" t="s">
        <v>4485</v>
      </c>
    </row>
    <row r="2605">
      <c r="A2605" s="1">
        <v>2603.0</v>
      </c>
      <c r="B2605" s="4" t="s">
        <v>4479</v>
      </c>
      <c r="C2605" s="4" t="str">
        <f>IFERROR(__xludf.DUMMYFUNCTION("GOOGLETRANSLATE(D:D,""auto"",""en"")"),"Hubei new confirmed cases 366 cases")</f>
        <v>Hubei new confirmed cases 366 cases</v>
      </c>
      <c r="D2605" s="4" t="s">
        <v>4486</v>
      </c>
      <c r="E2605" s="4">
        <v>1.2074237E7</v>
      </c>
      <c r="F2605" s="4">
        <v>4.0</v>
      </c>
      <c r="G2605" s="4" t="s">
        <v>4487</v>
      </c>
    </row>
    <row r="2606">
      <c r="A2606" s="1">
        <v>2604.0</v>
      </c>
      <c r="B2606" s="4" t="s">
        <v>4479</v>
      </c>
      <c r="C2606" s="4" t="str">
        <f>IFERROR(__xludf.DUMMYFUNCTION("GOOGLETRANSLATE(D:D,""auto"",""en"")"),"One person information disclosure is the best vaccine")</f>
        <v>One person information disclosure is the best vaccine</v>
      </c>
      <c r="D2606" s="4" t="s">
        <v>4488</v>
      </c>
      <c r="E2606" s="4">
        <v>1.1994588E7</v>
      </c>
      <c r="F2606" s="4">
        <v>5.0</v>
      </c>
      <c r="G2606" s="4" t="s">
        <v>4489</v>
      </c>
    </row>
    <row r="2607">
      <c r="A2607" s="1">
        <v>2605.0</v>
      </c>
      <c r="B2607" s="4" t="s">
        <v>4479</v>
      </c>
      <c r="C2607" s="4" t="str">
        <f>IFERROR(__xludf.DUMMYFUNCTION("GOOGLETRANSLATE(D:D,""auto"",""en"")"),"Angelababy cry")</f>
        <v>Angelababy cry</v>
      </c>
      <c r="D2607" s="4" t="s">
        <v>4490</v>
      </c>
      <c r="E2607" s="4">
        <v>1.1792185E7</v>
      </c>
      <c r="F2607" s="4">
        <v>6.0</v>
      </c>
      <c r="G2607" s="4" t="s">
        <v>4491</v>
      </c>
    </row>
    <row r="2608">
      <c r="A2608" s="1">
        <v>2606.0</v>
      </c>
      <c r="B2608" s="4" t="s">
        <v>4479</v>
      </c>
      <c r="C2608" s="4" t="str">
        <f>IFERROR(__xludf.DUMMYFUNCTION("GOOGLETRANSLATE(D:D,""auto"",""en"")"),"Peng Yinhua wife gave birth to a child will respond")</f>
        <v>Peng Yinhua wife gave birth to a child will respond</v>
      </c>
      <c r="D2608" s="4" t="s">
        <v>4492</v>
      </c>
      <c r="E2608" s="4">
        <v>1.1484304E7</v>
      </c>
      <c r="F2608" s="4">
        <v>7.0</v>
      </c>
      <c r="G2608" s="4" t="s">
        <v>4493</v>
      </c>
    </row>
    <row r="2609">
      <c r="A2609" s="1">
        <v>2607.0</v>
      </c>
      <c r="B2609" s="4" t="s">
        <v>4479</v>
      </c>
      <c r="C2609" s="4" t="str">
        <f>IFERROR(__xludf.DUMMYFUNCTION("GOOGLETRANSLATE(D:D,""auto"",""en"")"),"Brush vibrato see the neighbors to help feed their own dogs")</f>
        <v>Brush vibrato see the neighbors to help feed their own dogs</v>
      </c>
      <c r="D2609" s="4" t="s">
        <v>4385</v>
      </c>
      <c r="E2609" s="4">
        <v>1.123562E7</v>
      </c>
      <c r="F2609" s="4">
        <v>8.0</v>
      </c>
      <c r="G2609" s="4" t="s">
        <v>4386</v>
      </c>
    </row>
    <row r="2610">
      <c r="A2610" s="1">
        <v>2608.0</v>
      </c>
      <c r="B2610" s="4" t="s">
        <v>4479</v>
      </c>
      <c r="C2610" s="4" t="str">
        <f>IFERROR(__xludf.DUMMYFUNCTION("GOOGLETRANSLATE(D:D,""auto"",""en"")"),"Trees and rivers and lakes Guying enemy")</f>
        <v>Trees and rivers and lakes Guying enemy</v>
      </c>
      <c r="D2610" s="4" t="s">
        <v>4494</v>
      </c>
      <c r="E2610" s="4">
        <v>1.1205281E7</v>
      </c>
      <c r="F2610" s="4">
        <v>9.0</v>
      </c>
      <c r="G2610" s="4" t="s">
        <v>4495</v>
      </c>
    </row>
    <row r="2611">
      <c r="A2611" s="1">
        <v>2609.0</v>
      </c>
      <c r="B2611" s="4" t="s">
        <v>4479</v>
      </c>
      <c r="C2611" s="4" t="str">
        <f>IFERROR(__xludf.DUMMYFUNCTION("GOOGLETRANSLATE(D:D,""auto"",""en"")"),"Wuhan obvious phenomenon occurs bed et al.")</f>
        <v>Wuhan obvious phenomenon occurs bed et al.</v>
      </c>
      <c r="D2611" s="4" t="s">
        <v>4496</v>
      </c>
      <c r="E2611" s="4">
        <v>1.1150602E7</v>
      </c>
      <c r="F2611" s="4">
        <v>10.0</v>
      </c>
      <c r="G2611" s="4" t="s">
        <v>4497</v>
      </c>
    </row>
    <row r="2612">
      <c r="A2612" s="1">
        <v>2610.0</v>
      </c>
      <c r="B2612" s="4" t="s">
        <v>4479</v>
      </c>
      <c r="C2612" s="4" t="str">
        <f>IFERROR(__xludf.DUMMYFUNCTION("GOOGLETRANSLATE(D:D,""auto"",""en"")"),"Also with the rhythm of movement")</f>
        <v>Also with the rhythm of movement</v>
      </c>
      <c r="D2612" s="4" t="s">
        <v>4498</v>
      </c>
      <c r="E2612" s="4">
        <v>1.1103271E7</v>
      </c>
      <c r="F2612" s="4">
        <v>11.0</v>
      </c>
      <c r="G2612" s="4" t="s">
        <v>4499</v>
      </c>
    </row>
    <row r="2613">
      <c r="A2613" s="1">
        <v>2611.0</v>
      </c>
      <c r="B2613" s="4" t="s">
        <v>4479</v>
      </c>
      <c r="C2613" s="4" t="str">
        <f>IFERROR(__xludf.DUMMYFUNCTION("GOOGLETRANSLATE(D:D,""auto"",""en"")"),"Guangzhou City high-speed toll revocation measurement points")</f>
        <v>Guangzhou City high-speed toll revocation measurement points</v>
      </c>
      <c r="D2613" s="4" t="s">
        <v>4500</v>
      </c>
      <c r="E2613" s="4">
        <v>1.0909254E7</v>
      </c>
      <c r="F2613" s="4">
        <v>12.0</v>
      </c>
      <c r="G2613" s="4" t="s">
        <v>4501</v>
      </c>
    </row>
    <row r="2614">
      <c r="A2614" s="1">
        <v>2612.0</v>
      </c>
      <c r="B2614" s="4" t="s">
        <v>4479</v>
      </c>
      <c r="C2614" s="4" t="str">
        <f>IFERROR(__xludf.DUMMYFUNCTION("GOOGLETRANSLATE(D:D,""auto"",""en"")"),"Women's mask was ripped off two men's fists hit")</f>
        <v>Women's mask was ripped off two men's fists hit</v>
      </c>
      <c r="D2614" s="4" t="s">
        <v>4502</v>
      </c>
      <c r="E2614" s="4">
        <v>1.0664684E7</v>
      </c>
      <c r="F2614" s="4">
        <v>13.0</v>
      </c>
      <c r="G2614" s="4" t="s">
        <v>4503</v>
      </c>
    </row>
    <row r="2615">
      <c r="A2615" s="1">
        <v>2613.0</v>
      </c>
      <c r="B2615" s="4" t="s">
        <v>4479</v>
      </c>
      <c r="C2615" s="4" t="str">
        <f>IFERROR(__xludf.DUMMYFUNCTION("GOOGLETRANSLATE(D:D,""auto"",""en"")"),"Jiashi 5.1 earthquake")</f>
        <v>Jiashi 5.1 earthquake</v>
      </c>
      <c r="D2615" s="4" t="s">
        <v>4504</v>
      </c>
      <c r="E2615" s="4">
        <v>1.0635413E7</v>
      </c>
      <c r="F2615" s="4">
        <v>14.0</v>
      </c>
      <c r="G2615" s="4" t="s">
        <v>4505</v>
      </c>
    </row>
    <row r="2616">
      <c r="A2616" s="1">
        <v>2614.0</v>
      </c>
      <c r="B2616" s="4" t="s">
        <v>4479</v>
      </c>
      <c r="C2616" s="4" t="str">
        <f>IFERROR(__xludf.DUMMYFUNCTION("GOOGLETRANSLATE(D:D,""auto"",""en"")"),"Seven categories for Beijing crowd-free isolation")</f>
        <v>Seven categories for Beijing crowd-free isolation</v>
      </c>
      <c r="D2616" s="4" t="s">
        <v>4506</v>
      </c>
      <c r="E2616" s="4">
        <v>1.0370543E7</v>
      </c>
      <c r="F2616" s="4">
        <v>15.0</v>
      </c>
      <c r="G2616" s="4" t="s">
        <v>4507</v>
      </c>
    </row>
    <row r="2617">
      <c r="A2617" s="1">
        <v>2615.0</v>
      </c>
      <c r="B2617" s="4" t="s">
        <v>4479</v>
      </c>
      <c r="C2617" s="4" t="str">
        <f>IFERROR(__xludf.DUMMYFUNCTION("GOOGLETRANSLATE(D:D,""auto"",""en"")"),"Ni Ni makeup")</f>
        <v>Ni Ni makeup</v>
      </c>
      <c r="D2617" s="4" t="s">
        <v>4508</v>
      </c>
      <c r="E2617" s="4">
        <v>1.0143427E7</v>
      </c>
      <c r="F2617" s="4">
        <v>16.0</v>
      </c>
      <c r="G2617" s="4" t="s">
        <v>4509</v>
      </c>
    </row>
    <row r="2618">
      <c r="A2618" s="1">
        <v>2616.0</v>
      </c>
      <c r="B2618" s="4" t="s">
        <v>4479</v>
      </c>
      <c r="C2618" s="4" t="str">
        <f>IFERROR(__xludf.DUMMYFUNCTION("GOOGLETRANSLATE(D:D,""auto"",""en"")"),"The new crown pneumonia English revised COVID-19")</f>
        <v>The new crown pneumonia English revised COVID-19</v>
      </c>
      <c r="D2618" s="4" t="s">
        <v>4510</v>
      </c>
      <c r="E2618" s="4">
        <v>1.00862E7</v>
      </c>
      <c r="F2618" s="4">
        <v>17.0</v>
      </c>
      <c r="G2618" s="4" t="s">
        <v>4511</v>
      </c>
    </row>
    <row r="2619">
      <c r="A2619" s="1">
        <v>2617.0</v>
      </c>
      <c r="B2619" s="4" t="s">
        <v>4479</v>
      </c>
      <c r="C2619" s="4" t="str">
        <f>IFERROR(__xludf.DUMMYFUNCTION("GOOGLETRANSLATE(D:D,""auto"",""en"")"),"Lao Fan Huang Xiaoyun next surprise")</f>
        <v>Lao Fan Huang Xiaoyun next surprise</v>
      </c>
      <c r="D2619" s="4" t="s">
        <v>4512</v>
      </c>
      <c r="E2619" s="4">
        <v>1.0073455E7</v>
      </c>
      <c r="F2619" s="4">
        <v>18.0</v>
      </c>
      <c r="G2619" s="4" t="s">
        <v>4513</v>
      </c>
    </row>
    <row r="2620">
      <c r="A2620" s="1">
        <v>2618.0</v>
      </c>
      <c r="B2620" s="4" t="s">
        <v>4479</v>
      </c>
      <c r="C2620" s="4" t="str">
        <f>IFERROR(__xludf.DUMMYFUNCTION("GOOGLETRANSLATE(D:D,""auto"",""en"")"),"Huang Xiaoming, president overbearing style Hubei care staff")</f>
        <v>Huang Xiaoming, president overbearing style Hubei care staff</v>
      </c>
      <c r="D2620" s="4" t="s">
        <v>4514</v>
      </c>
      <c r="E2620" s="4">
        <v>1.0010307E7</v>
      </c>
      <c r="F2620" s="4">
        <v>19.0</v>
      </c>
      <c r="G2620" s="4" t="s">
        <v>4515</v>
      </c>
    </row>
    <row r="2621">
      <c r="A2621" s="1">
        <v>2619.0</v>
      </c>
      <c r="B2621" s="4" t="s">
        <v>4479</v>
      </c>
      <c r="C2621" s="4" t="str">
        <f>IFERROR(__xludf.DUMMYFUNCTION("GOOGLETRANSLATE(D:D,""auto"",""en"")"),"Xiaozhan happy very important to me")</f>
        <v>Xiaozhan happy very important to me</v>
      </c>
      <c r="D2621" s="4" t="s">
        <v>4451</v>
      </c>
      <c r="E2621" s="4">
        <v>9924334.0</v>
      </c>
      <c r="F2621" s="4">
        <v>20.0</v>
      </c>
      <c r="G2621" s="4" t="s">
        <v>4452</v>
      </c>
    </row>
    <row r="2622">
      <c r="A2622" s="1">
        <v>2620.0</v>
      </c>
      <c r="B2622" s="4" t="s">
        <v>4479</v>
      </c>
      <c r="C2622" s="4" t="str">
        <f>IFERROR(__xludf.DUMMYFUNCTION("GOOGLETRANSLATE(D:D,""auto"",""en"")"),"Liu Zhiming city's posthumous title of outstanding party members")</f>
        <v>Liu Zhiming city's posthumous title of outstanding party members</v>
      </c>
      <c r="D2622" s="4" t="s">
        <v>4516</v>
      </c>
      <c r="E2622" s="4">
        <v>9918833.0</v>
      </c>
      <c r="F2622" s="4">
        <v>21.0</v>
      </c>
      <c r="G2622" s="4" t="s">
        <v>4517</v>
      </c>
    </row>
    <row r="2623">
      <c r="A2623" s="1">
        <v>2621.0</v>
      </c>
      <c r="B2623" s="4" t="s">
        <v>4479</v>
      </c>
      <c r="C2623" s="4" t="str">
        <f>IFERROR(__xludf.DUMMYFUNCTION("GOOGLETRANSLATE(D:D,""auto"",""en"")"),"Blush color number of marked oil pot")</f>
        <v>Blush color number of marked oil pot</v>
      </c>
      <c r="D2623" s="4" t="s">
        <v>4518</v>
      </c>
      <c r="E2623" s="4">
        <v>9850973.0</v>
      </c>
      <c r="F2623" s="4">
        <v>22.0</v>
      </c>
      <c r="G2623" s="4" t="s">
        <v>4519</v>
      </c>
    </row>
    <row r="2624">
      <c r="A2624" s="1">
        <v>2622.0</v>
      </c>
      <c r="B2624" s="4" t="s">
        <v>4479</v>
      </c>
      <c r="C2624" s="4" t="str">
        <f>IFERROR(__xludf.DUMMYFUNCTION("GOOGLETRANSLATE(D:D,""auto"",""en"")"),"Chinese girl being harassed on the streets of India domineering back to hate")</f>
        <v>Chinese girl being harassed on the streets of India domineering back to hate</v>
      </c>
      <c r="D2624" s="4" t="s">
        <v>4520</v>
      </c>
      <c r="E2624" s="4">
        <v>9789018.0</v>
      </c>
      <c r="F2624" s="4">
        <v>23.0</v>
      </c>
      <c r="G2624" s="4" t="s">
        <v>4521</v>
      </c>
    </row>
    <row r="2625">
      <c r="A2625" s="1">
        <v>2623.0</v>
      </c>
      <c r="B2625" s="4" t="s">
        <v>4479</v>
      </c>
      <c r="C2625" s="4" t="str">
        <f>IFERROR(__xludf.DUMMYFUNCTION("GOOGLETRANSLATE(D:D,""auto"",""en"")"),"Car crash epidemic prevention and control officers were arrested")</f>
        <v>Car crash epidemic prevention and control officers were arrested</v>
      </c>
      <c r="D2625" s="4" t="s">
        <v>4522</v>
      </c>
      <c r="E2625" s="4">
        <v>9567914.0</v>
      </c>
      <c r="F2625" s="4">
        <v>24.0</v>
      </c>
      <c r="G2625" s="4" t="s">
        <v>4523</v>
      </c>
    </row>
    <row r="2626">
      <c r="A2626" s="1">
        <v>2624.0</v>
      </c>
      <c r="B2626" s="4" t="s">
        <v>4479</v>
      </c>
      <c r="C2626" s="4" t="str">
        <f>IFERROR(__xludf.DUMMYFUNCTION("GOOGLETRANSLATE(D:D,""auto"",""en"")"),"Korea added 142 cases of pneumonia new crown")</f>
        <v>Korea added 142 cases of pneumonia new crown</v>
      </c>
      <c r="D2626" s="4" t="s">
        <v>4524</v>
      </c>
      <c r="E2626" s="4">
        <v>9542538.0</v>
      </c>
      <c r="F2626" s="4">
        <v>25.0</v>
      </c>
      <c r="G2626" s="4" t="s">
        <v>4525</v>
      </c>
    </row>
    <row r="2627">
      <c r="A2627" s="1">
        <v>2625.0</v>
      </c>
      <c r="B2627" s="4" t="s">
        <v>4479</v>
      </c>
      <c r="C2627" s="4" t="str">
        <f>IFERROR(__xludf.DUMMYFUNCTION("GOOGLETRANSLATE(D:D,""auto"",""en"")"),"Zhejiang Feng ten new prison two cases of confirmed cases")</f>
        <v>Zhejiang Feng ten new prison two cases of confirmed cases</v>
      </c>
      <c r="D2627" s="4" t="s">
        <v>4526</v>
      </c>
      <c r="E2627" s="4">
        <v>9449598.0</v>
      </c>
      <c r="F2627" s="4">
        <v>26.0</v>
      </c>
      <c r="G2627" s="4" t="s">
        <v>4527</v>
      </c>
    </row>
    <row r="2628">
      <c r="A2628" s="1">
        <v>2626.0</v>
      </c>
      <c r="B2628" s="4" t="s">
        <v>4479</v>
      </c>
      <c r="C2628" s="4" t="str">
        <f>IFERROR(__xludf.DUMMYFUNCTION("GOOGLETRANSLATE(D:D,""auto"",""en"")"),"WHO panel of experts to Wuhan")</f>
        <v>WHO panel of experts to Wuhan</v>
      </c>
      <c r="D2628" s="4" t="s">
        <v>4528</v>
      </c>
      <c r="E2628" s="4">
        <v>9338455.0</v>
      </c>
      <c r="F2628" s="4">
        <v>27.0</v>
      </c>
      <c r="G2628" s="4" t="s">
        <v>4529</v>
      </c>
    </row>
    <row r="2629">
      <c r="A2629" s="1">
        <v>2627.0</v>
      </c>
      <c r="B2629" s="4" t="s">
        <v>4479</v>
      </c>
      <c r="C2629" s="4" t="str">
        <f>IFERROR(__xludf.DUMMYFUNCTION("GOOGLETRANSLATE(D:D,""auto"",""en"")"),"When Mark live for himself a haircut")</f>
        <v>When Mark live for himself a haircut</v>
      </c>
      <c r="D2629" s="4" t="s">
        <v>4530</v>
      </c>
      <c r="E2629" s="4">
        <v>9286421.0</v>
      </c>
      <c r="F2629" s="4">
        <v>28.0</v>
      </c>
      <c r="G2629" s="4" t="s">
        <v>4531</v>
      </c>
    </row>
    <row r="2630">
      <c r="A2630" s="1">
        <v>2628.0</v>
      </c>
      <c r="B2630" s="4" t="s">
        <v>4479</v>
      </c>
      <c r="C2630" s="4" t="str">
        <f>IFERROR(__xludf.DUMMYFUNCTION("GOOGLETRANSLATE(D:D,""auto"",""en"")"),"Wuhan has 620 people the accountability process")</f>
        <v>Wuhan has 620 people the accountability process</v>
      </c>
      <c r="D2630" s="4" t="s">
        <v>4532</v>
      </c>
      <c r="E2630" s="4">
        <v>9203229.0</v>
      </c>
      <c r="F2630" s="4">
        <v>29.0</v>
      </c>
      <c r="G2630" s="4" t="s">
        <v>4533</v>
      </c>
    </row>
    <row r="2631">
      <c r="A2631" s="1">
        <v>2629.0</v>
      </c>
      <c r="B2631" s="4" t="s">
        <v>4479</v>
      </c>
      <c r="C2631" s="4" t="str">
        <f>IFERROR(__xludf.DUMMYFUNCTION("GOOGLETRANSLATE(D:D,""auto"",""en"")"),"Li Jiaqi water and soil at home")</f>
        <v>Li Jiaqi water and soil at home</v>
      </c>
      <c r="D2631" s="4" t="s">
        <v>4534</v>
      </c>
      <c r="E2631" s="4">
        <v>9085737.0</v>
      </c>
      <c r="F2631" s="4">
        <v>30.0</v>
      </c>
      <c r="G2631" s="4" t="s">
        <v>4535</v>
      </c>
    </row>
    <row r="2632">
      <c r="A2632" s="1">
        <v>2630.0</v>
      </c>
      <c r="B2632" s="4" t="s">
        <v>4479</v>
      </c>
      <c r="C2632" s="4" t="str">
        <f>IFERROR(__xludf.DUMMYFUNCTION("GOOGLETRANSLATE(D:D,""auto"",""en"")"),"Pink rose anchor for the hunting of wild animals")</f>
        <v>Pink rose anchor for the hunting of wild animals</v>
      </c>
      <c r="D2632" s="4" t="s">
        <v>4536</v>
      </c>
      <c r="E2632" s="4">
        <v>9057240.0</v>
      </c>
      <c r="F2632" s="4">
        <v>31.0</v>
      </c>
      <c r="G2632" s="4" t="s">
        <v>4537</v>
      </c>
    </row>
    <row r="2633">
      <c r="A2633" s="1">
        <v>2631.0</v>
      </c>
      <c r="B2633" s="4" t="s">
        <v>4479</v>
      </c>
      <c r="C2633" s="4" t="str">
        <f>IFERROR(__xludf.DUMMYFUNCTION("GOOGLETRANSLATE(D:D,""auto"",""en"")"),"Front-line health care workers 10 days to rest less than 2 days")</f>
        <v>Front-line health care workers 10 days to rest less than 2 days</v>
      </c>
      <c r="D2633" s="4" t="s">
        <v>4538</v>
      </c>
      <c r="E2633" s="4">
        <v>8957836.0</v>
      </c>
      <c r="F2633" s="4">
        <v>32.0</v>
      </c>
      <c r="G2633" s="4" t="s">
        <v>4539</v>
      </c>
    </row>
    <row r="2634">
      <c r="A2634" s="1">
        <v>2632.0</v>
      </c>
      <c r="B2634" s="4" t="s">
        <v>4479</v>
      </c>
      <c r="C2634" s="4" t="str">
        <f>IFERROR(__xludf.DUMMYFUNCTION("GOOGLETRANSLATE(D:D,""auto"",""en"")"),"He Jiong expired two decades of instant noodles")</f>
        <v>He Jiong expired two decades of instant noodles</v>
      </c>
      <c r="D2634" s="4" t="s">
        <v>4540</v>
      </c>
      <c r="E2634" s="4">
        <v>8917327.0</v>
      </c>
      <c r="F2634" s="4">
        <v>33.0</v>
      </c>
      <c r="G2634" s="4" t="s">
        <v>4541</v>
      </c>
    </row>
    <row r="2635">
      <c r="A2635" s="1">
        <v>2633.0</v>
      </c>
      <c r="B2635" s="4" t="s">
        <v>4479</v>
      </c>
      <c r="C2635" s="4" t="str">
        <f>IFERROR(__xludf.DUMMYFUNCTION("GOOGLETRANSLATE(D:D,""auto"",""en"")"),"Wu Yifan tears")</f>
        <v>Wu Yifan tears</v>
      </c>
      <c r="D2635" s="4" t="s">
        <v>4542</v>
      </c>
      <c r="E2635" s="4">
        <v>8844046.0</v>
      </c>
      <c r="F2635" s="4">
        <v>34.0</v>
      </c>
      <c r="G2635" s="4" t="s">
        <v>4543</v>
      </c>
    </row>
    <row r="2636">
      <c r="A2636" s="1">
        <v>2634.0</v>
      </c>
      <c r="B2636" s="4" t="s">
        <v>4479</v>
      </c>
      <c r="C2636" s="4" t="str">
        <f>IFERROR(__xludf.DUMMYFUNCTION("GOOGLETRANSLATE(D:D,""auto"",""en"")"),"Shennongjia a new confirmed cases of the incubation period 27 days")</f>
        <v>Shennongjia a new confirmed cases of the incubation period 27 days</v>
      </c>
      <c r="D2636" s="4" t="s">
        <v>4544</v>
      </c>
      <c r="E2636" s="4">
        <v>8827277.0</v>
      </c>
      <c r="F2636" s="4">
        <v>35.0</v>
      </c>
      <c r="G2636" s="4" t="s">
        <v>4545</v>
      </c>
    </row>
    <row r="2637">
      <c r="A2637" s="1">
        <v>2635.0</v>
      </c>
      <c r="B2637" s="4" t="s">
        <v>4479</v>
      </c>
      <c r="C2637" s="4" t="str">
        <f>IFERROR(__xludf.DUMMYFUNCTION("GOOGLETRANSLATE(D:D,""auto"",""en"")"),"Jia Ling laughing and crying Cross")</f>
        <v>Jia Ling laughing and crying Cross</v>
      </c>
      <c r="D2637" s="4" t="s">
        <v>4546</v>
      </c>
      <c r="E2637" s="4">
        <v>8651517.0</v>
      </c>
      <c r="F2637" s="4">
        <v>36.0</v>
      </c>
      <c r="G2637" s="4" t="s">
        <v>4547</v>
      </c>
    </row>
    <row r="2638">
      <c r="A2638" s="1">
        <v>2636.0</v>
      </c>
      <c r="B2638" s="4" t="s">
        <v>4479</v>
      </c>
      <c r="C2638" s="4" t="str">
        <f>IFERROR(__xludf.DUMMYFUNCTION("GOOGLETRANSLATE(D:D,""auto"",""en"")"),"After the sale because of a fever antipyretics more than confirmed")</f>
        <v>After the sale because of a fever antipyretics more than confirmed</v>
      </c>
      <c r="D2638" s="4" t="s">
        <v>4548</v>
      </c>
      <c r="E2638" s="4">
        <v>8532605.0</v>
      </c>
      <c r="F2638" s="4">
        <v>37.0</v>
      </c>
      <c r="G2638" s="4" t="s">
        <v>4549</v>
      </c>
    </row>
    <row r="2639">
      <c r="A2639" s="1">
        <v>2637.0</v>
      </c>
      <c r="B2639" s="4" t="s">
        <v>4479</v>
      </c>
      <c r="C2639" s="4" t="str">
        <f>IFERROR(__xludf.DUMMYFUNCTION("GOOGLETRANSLATE(D:D,""auto"",""en"")"),"Hao Ping Hai SD still buy a house")</f>
        <v>Hao Ping Hai SD still buy a house</v>
      </c>
      <c r="D2639" s="4" t="s">
        <v>4550</v>
      </c>
      <c r="E2639" s="4">
        <v>8348692.0</v>
      </c>
      <c r="F2639" s="4">
        <v>38.0</v>
      </c>
      <c r="G2639" s="4" t="s">
        <v>4551</v>
      </c>
    </row>
    <row r="2640">
      <c r="A2640" s="1">
        <v>2638.0</v>
      </c>
      <c r="B2640" s="4" t="s">
        <v>4479</v>
      </c>
      <c r="C2640" s="4" t="str">
        <f>IFERROR(__xludf.DUMMYFUNCTION("GOOGLETRANSLATE(D:D,""auto"",""en"")"),"Japan moratorium on the production of white lover")</f>
        <v>Japan moratorium on the production of white lover</v>
      </c>
      <c r="D2640" s="4" t="s">
        <v>4552</v>
      </c>
      <c r="E2640" s="4">
        <v>8284684.0</v>
      </c>
      <c r="F2640" s="4">
        <v>39.0</v>
      </c>
      <c r="G2640" s="4" t="s">
        <v>4553</v>
      </c>
    </row>
    <row r="2641">
      <c r="A2641" s="1">
        <v>2639.0</v>
      </c>
      <c r="B2641" s="4" t="s">
        <v>4479</v>
      </c>
      <c r="C2641" s="4" t="str">
        <f>IFERROR(__xludf.DUMMYFUNCTION("GOOGLETRANSLATE(D:D,""auto"",""en"")"),"Wuhan Municipal Party Committee Secretary-General Tsai Jie is the former double open")</f>
        <v>Wuhan Municipal Party Committee Secretary-General Tsai Jie is the former double open</v>
      </c>
      <c r="D2641" s="4" t="s">
        <v>4554</v>
      </c>
      <c r="E2641" s="4">
        <v>8208218.0</v>
      </c>
      <c r="F2641" s="4">
        <v>40.0</v>
      </c>
      <c r="G2641" s="4" t="s">
        <v>4555</v>
      </c>
    </row>
    <row r="2642">
      <c r="A2642" s="1">
        <v>2640.0</v>
      </c>
      <c r="B2642" s="4" t="s">
        <v>4479</v>
      </c>
      <c r="C2642" s="4" t="str">
        <f>IFERROR(__xludf.DUMMYFUNCTION("GOOGLETRANSLATE(D:D,""auto"",""en"")"),"You from me.")</f>
        <v>You from me.</v>
      </c>
      <c r="D2642" s="4" t="s">
        <v>4556</v>
      </c>
      <c r="E2642" s="4">
        <v>8122815.0</v>
      </c>
      <c r="F2642" s="4">
        <v>41.0</v>
      </c>
      <c r="G2642" s="4" t="s">
        <v>4557</v>
      </c>
    </row>
    <row r="2643">
      <c r="A2643" s="1">
        <v>2641.0</v>
      </c>
      <c r="B2643" s="4" t="s">
        <v>4479</v>
      </c>
      <c r="C2643" s="4" t="str">
        <f>IFERROR(__xludf.DUMMYFUNCTION("GOOGLETRANSLATE(D:D,""auto"",""en"")"),"Nucleic acid negative can not rule out pneumonia new crown")</f>
        <v>Nucleic acid negative can not rule out pneumonia new crown</v>
      </c>
      <c r="D2643" s="4" t="s">
        <v>4433</v>
      </c>
      <c r="E2643" s="4">
        <v>7893701.0</v>
      </c>
      <c r="F2643" s="4">
        <v>42.0</v>
      </c>
      <c r="G2643" s="4" t="s">
        <v>4434</v>
      </c>
    </row>
    <row r="2644">
      <c r="A2644" s="1">
        <v>2642.0</v>
      </c>
      <c r="B2644" s="4" t="s">
        <v>4479</v>
      </c>
      <c r="C2644" s="4" t="str">
        <f>IFERROR(__xludf.DUMMYFUNCTION("GOOGLETRANSLATE(D:D,""auto"",""en"")"),"After the men's game to show off eating father XingJu")</f>
        <v>After the men's game to show off eating father XingJu</v>
      </c>
      <c r="D2644" s="4" t="s">
        <v>4558</v>
      </c>
      <c r="E2644" s="4">
        <v>7734336.0</v>
      </c>
      <c r="F2644" s="4">
        <v>43.0</v>
      </c>
      <c r="G2644" s="4" t="s">
        <v>4559</v>
      </c>
    </row>
    <row r="2645">
      <c r="A2645" s="1">
        <v>2643.0</v>
      </c>
      <c r="B2645" s="4" t="s">
        <v>4479</v>
      </c>
      <c r="C2645" s="4" t="str">
        <f>IFERROR(__xludf.DUMMYFUNCTION("GOOGLETRANSLATE(D:D,""auto"",""en"")"),"Blue Rescue team members were killed while transporting supplies")</f>
        <v>Blue Rescue team members were killed while transporting supplies</v>
      </c>
      <c r="D2645" s="4" t="s">
        <v>4560</v>
      </c>
      <c r="E2645" s="4">
        <v>7637006.0</v>
      </c>
      <c r="F2645" s="4">
        <v>44.0</v>
      </c>
      <c r="G2645" s="4" t="s">
        <v>4561</v>
      </c>
    </row>
    <row r="2646">
      <c r="A2646" s="1">
        <v>2644.0</v>
      </c>
      <c r="B2646" s="4" t="s">
        <v>4479</v>
      </c>
      <c r="C2646" s="4" t="str">
        <f>IFERROR(__xludf.DUMMYFUNCTION("GOOGLETRANSLATE(D:D,""auto"",""en"")"),"Dangdang responsible person to be interviewed rectification")</f>
        <v>Dangdang responsible person to be interviewed rectification</v>
      </c>
      <c r="D2646" s="4" t="s">
        <v>4562</v>
      </c>
      <c r="E2646" s="4">
        <v>7581665.0</v>
      </c>
      <c r="F2646" s="4">
        <v>45.0</v>
      </c>
      <c r="G2646" s="4" t="s">
        <v>4563</v>
      </c>
    </row>
    <row r="2647">
      <c r="A2647" s="1">
        <v>2645.0</v>
      </c>
      <c r="B2647" s="4" t="s">
        <v>4479</v>
      </c>
      <c r="C2647" s="4" t="str">
        <f>IFERROR(__xludf.DUMMYFUNCTION("GOOGLETRANSLATE(D:D,""auto"",""en"")"),"Doctors fight against SARS sing the birthday song for her daughter outside")</f>
        <v>Doctors fight against SARS sing the birthday song for her daughter outside</v>
      </c>
      <c r="D2647" s="4" t="s">
        <v>4564</v>
      </c>
      <c r="E2647" s="4">
        <v>7572998.0</v>
      </c>
      <c r="F2647" s="4">
        <v>46.0</v>
      </c>
      <c r="G2647" s="4" t="s">
        <v>4565</v>
      </c>
    </row>
    <row r="2648">
      <c r="A2648" s="1">
        <v>2646.0</v>
      </c>
      <c r="B2648" s="4" t="s">
        <v>4479</v>
      </c>
      <c r="C2648" s="4" t="str">
        <f>IFERROR(__xludf.DUMMYFUNCTION("GOOGLETRANSLATE(D:D,""auto"",""en"")"),"Anhui from March 2 to carry out online teaching")</f>
        <v>Anhui from March 2 to carry out online teaching</v>
      </c>
      <c r="D2648" s="4" t="s">
        <v>4566</v>
      </c>
      <c r="E2648" s="4">
        <v>7572631.0</v>
      </c>
      <c r="F2648" s="4">
        <v>47.0</v>
      </c>
      <c r="G2648" s="4" t="s">
        <v>4567</v>
      </c>
    </row>
    <row r="2649">
      <c r="A2649" s="1">
        <v>2647.0</v>
      </c>
      <c r="B2649" s="4" t="s">
        <v>4479</v>
      </c>
      <c r="C2649" s="4" t="str">
        <f>IFERROR(__xludf.DUMMYFUNCTION("GOOGLETRANSLATE(D:D,""auto"",""en"")"),"Amnesia grandfather cleaning module hospital")</f>
        <v>Amnesia grandfather cleaning module hospital</v>
      </c>
      <c r="D2649" s="4" t="s">
        <v>4393</v>
      </c>
      <c r="E2649" s="4">
        <v>7539352.0</v>
      </c>
      <c r="F2649" s="4">
        <v>48.0</v>
      </c>
      <c r="G2649" s="4" t="s">
        <v>4394</v>
      </c>
    </row>
    <row r="2650">
      <c r="A2650" s="1">
        <v>2648.0</v>
      </c>
      <c r="B2650" s="4" t="s">
        <v>4479</v>
      </c>
      <c r="C2650" s="4" t="str">
        <f>IFERROR(__xludf.DUMMYFUNCTION("GOOGLETRANSLATE(D:D,""auto"",""en"")"),"The new crown up to 34 cases of pneumonia cases in the United States")</f>
        <v>The new crown up to 34 cases of pneumonia cases in the United States</v>
      </c>
      <c r="D2650" s="4" t="s">
        <v>4568</v>
      </c>
      <c r="E2650" s="4">
        <v>7446110.0</v>
      </c>
      <c r="F2650" s="4">
        <v>49.0</v>
      </c>
      <c r="G2650" s="4" t="s">
        <v>4569</v>
      </c>
    </row>
    <row r="2651">
      <c r="A2651" s="1">
        <v>2649.0</v>
      </c>
      <c r="B2651" s="4" t="s">
        <v>4479</v>
      </c>
      <c r="C2651" s="4" t="str">
        <f>IFERROR(__xludf.DUMMYFUNCTION("GOOGLETRANSLATE(D:D,""auto"",""en"")"),"Zhong Nanshan team isolated a new virus from the urine crown")</f>
        <v>Zhong Nanshan team isolated a new virus from the urine crown</v>
      </c>
      <c r="D2651" s="4" t="s">
        <v>4570</v>
      </c>
      <c r="E2651" s="4">
        <v>7367934.0</v>
      </c>
      <c r="F2651" s="4">
        <v>50.0</v>
      </c>
      <c r="G2651" s="4" t="s">
        <v>4571</v>
      </c>
    </row>
    <row r="2652">
      <c r="A2652" s="1">
        <v>2650.0</v>
      </c>
      <c r="B2652" s="4" t="s">
        <v>4572</v>
      </c>
      <c r="C2652" s="4" t="str">
        <f>IFERROR(__xludf.DUMMYFUNCTION("GOOGLETRANSLATE(D:D,""auto"",""en"")"),"Xie Guangkun respond to provoke angry users")</f>
        <v>Xie Guangkun respond to provoke angry users</v>
      </c>
      <c r="D2652" s="4" t="s">
        <v>4573</v>
      </c>
      <c r="E2652" s="4">
        <v>1.1956067E7</v>
      </c>
      <c r="F2652" s="4">
        <v>1.0</v>
      </c>
      <c r="G2652" s="4" t="s">
        <v>4574</v>
      </c>
    </row>
    <row r="2653">
      <c r="A2653" s="1">
        <v>2651.0</v>
      </c>
      <c r="B2653" s="4" t="s">
        <v>4572</v>
      </c>
      <c r="C2653" s="4" t="str">
        <f>IFERROR(__xludf.DUMMYFUNCTION("GOOGLETRANSLATE(D:D,""auto"",""en"")"),"Lee gave birth to hit the face giao brother")</f>
        <v>Lee gave birth to hit the face giao brother</v>
      </c>
      <c r="D2653" s="4" t="s">
        <v>4575</v>
      </c>
      <c r="E2653" s="4">
        <v>1.141239E7</v>
      </c>
      <c r="F2653" s="4">
        <v>2.0</v>
      </c>
      <c r="G2653" s="4" t="s">
        <v>4576</v>
      </c>
    </row>
    <row r="2654">
      <c r="A2654" s="1">
        <v>2652.0</v>
      </c>
      <c r="B2654" s="4" t="s">
        <v>4572</v>
      </c>
      <c r="C2654" s="4" t="str">
        <f>IFERROR(__xludf.DUMMYFUNCTION("GOOGLETRANSLATE(D:D,""auto"",""en"")"),"National new confirmed cases 648 cases")</f>
        <v>National new confirmed cases 648 cases</v>
      </c>
      <c r="D2654" s="4" t="s">
        <v>4577</v>
      </c>
      <c r="E2654" s="4">
        <v>1.1087711E7</v>
      </c>
      <c r="F2654" s="4">
        <v>3.0</v>
      </c>
      <c r="G2654" s="4" t="s">
        <v>4578</v>
      </c>
    </row>
    <row r="2655">
      <c r="A2655" s="1">
        <v>2653.0</v>
      </c>
      <c r="B2655" s="4" t="s">
        <v>4572</v>
      </c>
      <c r="C2655" s="4" t="str">
        <f>IFERROR(__xludf.DUMMYFUNCTION("GOOGLETRANSLATE(D:D,""auto"",""en"")"),"When Mark live for himself a haircut")</f>
        <v>When Mark live for himself a haircut</v>
      </c>
      <c r="D2655" s="4" t="s">
        <v>4530</v>
      </c>
      <c r="E2655" s="4">
        <v>1.0774103E7</v>
      </c>
      <c r="F2655" s="4">
        <v>4.0</v>
      </c>
      <c r="G2655" s="4" t="s">
        <v>4531</v>
      </c>
    </row>
    <row r="2656">
      <c r="A2656" s="1">
        <v>2654.0</v>
      </c>
      <c r="B2656" s="4" t="s">
        <v>4572</v>
      </c>
      <c r="C2656" s="4" t="str">
        <f>IFERROR(__xludf.DUMMYFUNCTION("GOOGLETRANSLATE(D:D,""auto"",""en"")"),"Zhou deep do not know his name")</f>
        <v>Zhou deep do not know his name</v>
      </c>
      <c r="D2656" s="4" t="s">
        <v>4579</v>
      </c>
      <c r="E2656" s="4">
        <v>1.0703986E7</v>
      </c>
      <c r="F2656" s="4">
        <v>5.0</v>
      </c>
      <c r="G2656" s="4" t="s">
        <v>4580</v>
      </c>
    </row>
    <row r="2657">
      <c r="A2657" s="1">
        <v>2655.0</v>
      </c>
      <c r="B2657" s="4" t="s">
        <v>4572</v>
      </c>
      <c r="C2657" s="4" t="str">
        <f>IFERROR(__xludf.DUMMYFUNCTION("GOOGLETRANSLATE(D:D,""auto"",""en"")"),"Chinese girl being harassed on the streets of India domineering back to hate")</f>
        <v>Chinese girl being harassed on the streets of India domineering back to hate</v>
      </c>
      <c r="D2657" s="4" t="s">
        <v>4520</v>
      </c>
      <c r="E2657" s="4">
        <v>1.0422842E7</v>
      </c>
      <c r="F2657" s="4">
        <v>6.0</v>
      </c>
      <c r="G2657" s="4" t="s">
        <v>4521</v>
      </c>
    </row>
    <row r="2658">
      <c r="A2658" s="1">
        <v>2656.0</v>
      </c>
      <c r="B2658" s="4" t="s">
        <v>4572</v>
      </c>
      <c r="C2658" s="4" t="str">
        <f>IFERROR(__xludf.DUMMYFUNCTION("GOOGLETRANSLATE(D:D,""auto"",""en"")"),"China's first reusable masks")</f>
        <v>China's first reusable masks</v>
      </c>
      <c r="D2658" s="4" t="s">
        <v>4581</v>
      </c>
      <c r="E2658" s="4">
        <v>1.0316448E7</v>
      </c>
      <c r="F2658" s="4">
        <v>7.0</v>
      </c>
      <c r="G2658" s="4" t="s">
        <v>4582</v>
      </c>
    </row>
    <row r="2659">
      <c r="A2659" s="1">
        <v>2657.0</v>
      </c>
      <c r="B2659" s="4" t="s">
        <v>4572</v>
      </c>
      <c r="C2659" s="4" t="str">
        <f>IFERROR(__xludf.DUMMYFUNCTION("GOOGLETRANSLATE(D:D,""auto"",""en"")"),"The only kid at home exercise")</f>
        <v>The only kid at home exercise</v>
      </c>
      <c r="D2659" s="4" t="s">
        <v>4583</v>
      </c>
      <c r="E2659" s="4">
        <v>1.0222296E7</v>
      </c>
      <c r="F2659" s="4">
        <v>8.0</v>
      </c>
      <c r="G2659" s="4" t="s">
        <v>4584</v>
      </c>
    </row>
    <row r="2660">
      <c r="A2660" s="1">
        <v>2658.0</v>
      </c>
      <c r="B2660" s="4" t="s">
        <v>4572</v>
      </c>
      <c r="C2660" s="4" t="str">
        <f>IFERROR(__xludf.DUMMYFUNCTION("GOOGLETRANSLATE(D:D,""auto"",""en"")"),"Du Yulu died performing artists")</f>
        <v>Du Yulu died performing artists</v>
      </c>
      <c r="D2660" s="4" t="s">
        <v>4585</v>
      </c>
      <c r="E2660" s="4">
        <v>1.0078405E7</v>
      </c>
      <c r="F2660" s="4">
        <v>9.0</v>
      </c>
      <c r="G2660" s="4" t="s">
        <v>4586</v>
      </c>
    </row>
    <row r="2661">
      <c r="A2661" s="1">
        <v>2659.0</v>
      </c>
      <c r="B2661" s="4" t="s">
        <v>4572</v>
      </c>
      <c r="C2661" s="4" t="str">
        <f>IFERROR(__xludf.DUMMYFUNCTION("GOOGLETRANSLATE(D:D,""auto"",""en"")"),"The 21 provinces and autonomous regions to achieve zero new 22")</f>
        <v>The 21 provinces and autonomous regions to achieve zero new 22</v>
      </c>
      <c r="D2661" s="4" t="s">
        <v>4587</v>
      </c>
      <c r="E2661" s="4">
        <v>9547295.0</v>
      </c>
      <c r="F2661" s="4">
        <v>10.0</v>
      </c>
      <c r="G2661" s="4" t="s">
        <v>4588</v>
      </c>
    </row>
    <row r="2662">
      <c r="A2662" s="1">
        <v>2660.0</v>
      </c>
      <c r="B2662" s="4" t="s">
        <v>4572</v>
      </c>
      <c r="C2662" s="4" t="str">
        <f>IFERROR(__xludf.DUMMYFUNCTION("GOOGLETRANSLATE(D:D,""auto"",""en"")"),"Wu Min Xia live Fancy husband steal the spotlight")</f>
        <v>Wu Min Xia live Fancy husband steal the spotlight</v>
      </c>
      <c r="D2662" s="4" t="s">
        <v>4589</v>
      </c>
      <c r="E2662" s="4">
        <v>9536965.0</v>
      </c>
      <c r="F2662" s="4">
        <v>11.0</v>
      </c>
      <c r="G2662" s="4" t="s">
        <v>4590</v>
      </c>
    </row>
    <row r="2663">
      <c r="A2663" s="1">
        <v>2661.0</v>
      </c>
      <c r="B2663" s="4" t="s">
        <v>4572</v>
      </c>
      <c r="C2663" s="4" t="str">
        <f>IFERROR(__xludf.DUMMYFUNCTION("GOOGLETRANSLATE(D:D,""auto"",""en"")"),"Wu Lei was appointed director of Prison Administration of Shandong Province")</f>
        <v>Wu Lei was appointed director of Prison Administration of Shandong Province</v>
      </c>
      <c r="D2663" s="4" t="s">
        <v>4591</v>
      </c>
      <c r="E2663" s="4">
        <v>9506023.0</v>
      </c>
      <c r="F2663" s="4">
        <v>12.0</v>
      </c>
      <c r="G2663" s="4" t="s">
        <v>4592</v>
      </c>
    </row>
    <row r="2664">
      <c r="A2664" s="1">
        <v>2662.0</v>
      </c>
      <c r="B2664" s="4" t="s">
        <v>4572</v>
      </c>
      <c r="C2664" s="4" t="str">
        <f>IFERROR(__xludf.DUMMYFUNCTION("GOOGLETRANSLATE(D:D,""auto"",""en"")"),"Jay fans cheer for health care")</f>
        <v>Jay fans cheer for health care</v>
      </c>
      <c r="D2664" s="4" t="s">
        <v>4593</v>
      </c>
      <c r="E2664" s="4">
        <v>9260817.0</v>
      </c>
      <c r="F2664" s="4">
        <v>13.0</v>
      </c>
      <c r="G2664" s="4" t="s">
        <v>4594</v>
      </c>
    </row>
    <row r="2665">
      <c r="A2665" s="1">
        <v>2663.0</v>
      </c>
      <c r="B2665" s="4" t="s">
        <v>4572</v>
      </c>
      <c r="C2665" s="4" t="str">
        <f>IFERROR(__xludf.DUMMYFUNCTION("GOOGLETRANSLATE(D:D,""auto"",""en"")"),"Tianjin, Wuhan support nurse shouted Zhang Yixing")</f>
        <v>Tianjin, Wuhan support nurse shouted Zhang Yixing</v>
      </c>
      <c r="D2665" s="4" t="s">
        <v>4595</v>
      </c>
      <c r="E2665" s="4">
        <v>9167921.0</v>
      </c>
      <c r="F2665" s="4">
        <v>14.0</v>
      </c>
      <c r="G2665" s="4" t="s">
        <v>4596</v>
      </c>
    </row>
    <row r="2666">
      <c r="A2666" s="1">
        <v>2664.0</v>
      </c>
      <c r="B2666" s="4" t="s">
        <v>4572</v>
      </c>
      <c r="C2666" s="4" t="str">
        <f>IFERROR(__xludf.DUMMYFUNCTION("GOOGLETRANSLATE(D:D,""auto"",""en"")"),"You from me.")</f>
        <v>You from me.</v>
      </c>
      <c r="D2666" s="4" t="s">
        <v>4556</v>
      </c>
      <c r="E2666" s="4">
        <v>9100015.0</v>
      </c>
      <c r="F2666" s="4">
        <v>15.0</v>
      </c>
      <c r="G2666" s="4" t="s">
        <v>4557</v>
      </c>
    </row>
    <row r="2667">
      <c r="A2667" s="1">
        <v>2665.0</v>
      </c>
      <c r="B2667" s="4" t="s">
        <v>4572</v>
      </c>
      <c r="C2667" s="4" t="str">
        <f>IFERROR(__xludf.DUMMYFUNCTION("GOOGLETRANSLATE(D:D,""auto"",""en"")"),"Hubei new confirmed cases 630 cases")</f>
        <v>Hubei new confirmed cases 630 cases</v>
      </c>
      <c r="D2667" s="4" t="s">
        <v>4597</v>
      </c>
      <c r="E2667" s="4">
        <v>9059902.0</v>
      </c>
      <c r="F2667" s="4">
        <v>16.0</v>
      </c>
      <c r="G2667" s="4" t="s">
        <v>4598</v>
      </c>
    </row>
    <row r="2668">
      <c r="A2668" s="1">
        <v>2666.0</v>
      </c>
      <c r="B2668" s="4" t="s">
        <v>4572</v>
      </c>
      <c r="C2668" s="4" t="str">
        <f>IFERROR(__xludf.DUMMYFUNCTION("GOOGLETRANSLATE(D:D,""auto"",""en"")"),"Seoul Mayor advised the public to disband protests were besieged")</f>
        <v>Seoul Mayor advised the public to disband protests were besieged</v>
      </c>
      <c r="D2668" s="4" t="s">
        <v>4599</v>
      </c>
      <c r="E2668" s="4">
        <v>9040182.0</v>
      </c>
      <c r="F2668" s="4">
        <v>17.0</v>
      </c>
      <c r="G2668" s="4" t="s">
        <v>4600</v>
      </c>
    </row>
    <row r="2669">
      <c r="A2669" s="1">
        <v>2667.0</v>
      </c>
      <c r="B2669" s="4" t="s">
        <v>4572</v>
      </c>
      <c r="C2669" s="4" t="str">
        <f>IFERROR(__xludf.DUMMYFUNCTION("GOOGLETRANSLATE(D:D,""auto"",""en"")"),"23 day cruise disembark without the virus were detected")</f>
        <v>23 day cruise disembark without the virus were detected</v>
      </c>
      <c r="D2669" s="4" t="s">
        <v>4601</v>
      </c>
      <c r="E2669" s="4">
        <v>8830213.0</v>
      </c>
      <c r="F2669" s="4">
        <v>18.0</v>
      </c>
      <c r="G2669" s="4" t="s">
        <v>4602</v>
      </c>
    </row>
    <row r="2670">
      <c r="A2670" s="1">
        <v>2668.0</v>
      </c>
      <c r="B2670" s="4" t="s">
        <v>4572</v>
      </c>
      <c r="C2670" s="4" t="str">
        <f>IFERROR(__xludf.DUMMYFUNCTION("GOOGLETRANSLATE(D:D,""auto"",""en"")"),"98-year-old mother walked three hours to deliver meals to the 70-year-old daughter")</f>
        <v>98-year-old mother walked three hours to deliver meals to the 70-year-old daughter</v>
      </c>
      <c r="D2670" s="4" t="s">
        <v>4603</v>
      </c>
      <c r="E2670" s="4">
        <v>8766817.0</v>
      </c>
      <c r="F2670" s="4">
        <v>19.0</v>
      </c>
      <c r="G2670" s="4" t="s">
        <v>4604</v>
      </c>
    </row>
    <row r="2671">
      <c r="A2671" s="1">
        <v>2669.0</v>
      </c>
      <c r="B2671" s="4" t="s">
        <v>4572</v>
      </c>
      <c r="C2671" s="4" t="str">
        <f>IFERROR(__xludf.DUMMYFUNCTION("GOOGLETRANSLATE(D:D,""auto"",""en"")"),"Sichuan people get together to drink tea masks unloading")</f>
        <v>Sichuan people get together to drink tea masks unloading</v>
      </c>
      <c r="D2671" s="4" t="s">
        <v>4605</v>
      </c>
      <c r="E2671" s="4">
        <v>8706898.0</v>
      </c>
      <c r="F2671" s="4">
        <v>20.0</v>
      </c>
      <c r="G2671" s="4" t="s">
        <v>4606</v>
      </c>
    </row>
    <row r="2672">
      <c r="A2672" s="1">
        <v>2670.0</v>
      </c>
      <c r="B2672" s="4" t="s">
        <v>4572</v>
      </c>
      <c r="C2672" s="4" t="str">
        <f>IFERROR(__xludf.DUMMYFUNCTION("GOOGLETRANSLATE(D:D,""auto"",""en"")"),"Cerebral palsy takeaway brother mom confession")</f>
        <v>Cerebral palsy takeaway brother mom confession</v>
      </c>
      <c r="D2672" s="4" t="s">
        <v>4607</v>
      </c>
      <c r="E2672" s="4">
        <v>8617130.0</v>
      </c>
      <c r="F2672" s="4">
        <v>21.0</v>
      </c>
      <c r="G2672" s="4" t="s">
        <v>4608</v>
      </c>
    </row>
    <row r="2673">
      <c r="A2673" s="1">
        <v>2671.0</v>
      </c>
      <c r="B2673" s="4" t="s">
        <v>4572</v>
      </c>
      <c r="C2673" s="4" t="str">
        <f>IFERROR(__xludf.DUMMYFUNCTION("GOOGLETRANSLATE(D:D,""auto"",""en"")"),"New Korea confirmed cases 123 cases")</f>
        <v>New Korea confirmed cases 123 cases</v>
      </c>
      <c r="D2673" s="4" t="s">
        <v>4609</v>
      </c>
      <c r="E2673" s="4">
        <v>8579935.0</v>
      </c>
      <c r="F2673" s="4">
        <v>22.0</v>
      </c>
      <c r="G2673" s="4" t="s">
        <v>4610</v>
      </c>
    </row>
    <row r="2674">
      <c r="A2674" s="1">
        <v>2672.0</v>
      </c>
      <c r="B2674" s="4" t="s">
        <v>4572</v>
      </c>
      <c r="C2674" s="4" t="str">
        <f>IFERROR(__xludf.DUMMYFUNCTION("GOOGLETRANSLATE(D:D,""auto"",""en"")"),"Should real estate license plus the name of daughter")</f>
        <v>Should real estate license plus the name of daughter</v>
      </c>
      <c r="D2674" s="4" t="s">
        <v>4611</v>
      </c>
      <c r="E2674" s="4">
        <v>8522567.0</v>
      </c>
      <c r="F2674" s="4">
        <v>23.0</v>
      </c>
      <c r="G2674" s="4" t="s">
        <v>4612</v>
      </c>
    </row>
    <row r="2675">
      <c r="A2675" s="1">
        <v>2673.0</v>
      </c>
      <c r="B2675" s="4" t="s">
        <v>4572</v>
      </c>
      <c r="C2675" s="4" t="str">
        <f>IFERROR(__xludf.DUMMYFUNCTION("GOOGLETRANSLATE(D:D,""auto"",""en"")"),"One person make life and social recovery")</f>
        <v>One person make life and social recovery</v>
      </c>
      <c r="D2675" s="4" t="s">
        <v>4613</v>
      </c>
      <c r="E2675" s="4">
        <v>8277475.0</v>
      </c>
      <c r="F2675" s="4">
        <v>24.0</v>
      </c>
      <c r="G2675" s="4" t="s">
        <v>4614</v>
      </c>
    </row>
    <row r="2676">
      <c r="A2676" s="1">
        <v>2674.0</v>
      </c>
      <c r="B2676" s="4" t="s">
        <v>4572</v>
      </c>
      <c r="C2676" s="4" t="str">
        <f>IFERROR(__xludf.DUMMYFUNCTION("GOOGLETRANSLATE(D:D,""auto"",""en"")"),"Huangshan restored and opened to visitors only come one")</f>
        <v>Huangshan restored and opened to visitors only come one</v>
      </c>
      <c r="D2676" s="4" t="s">
        <v>4615</v>
      </c>
      <c r="E2676" s="4">
        <v>8259027.0</v>
      </c>
      <c r="F2676" s="4">
        <v>25.0</v>
      </c>
      <c r="G2676" s="4" t="s">
        <v>4616</v>
      </c>
    </row>
    <row r="2677">
      <c r="A2677" s="1">
        <v>2675.0</v>
      </c>
      <c r="B2677" s="4" t="s">
        <v>4572</v>
      </c>
      <c r="C2677" s="4" t="str">
        <f>IFERROR(__xludf.DUMMYFUNCTION("GOOGLETRANSLATE(D:D,""auto"",""en"")"),"Anson Hu Wen Wen quarrel in style duet")</f>
        <v>Anson Hu Wen Wen quarrel in style duet</v>
      </c>
      <c r="D2677" s="4" t="s">
        <v>4617</v>
      </c>
      <c r="E2677" s="4">
        <v>8192541.0</v>
      </c>
      <c r="F2677" s="4">
        <v>26.0</v>
      </c>
      <c r="G2677" s="4" t="s">
        <v>4618</v>
      </c>
    </row>
    <row r="2678">
      <c r="A2678" s="1">
        <v>2676.0</v>
      </c>
      <c r="B2678" s="4" t="s">
        <v>4572</v>
      </c>
      <c r="C2678" s="4" t="str">
        <f>IFERROR(__xludf.DUMMYFUNCTION("GOOGLETRANSLATE(D:D,""auto"",""en"")"),"Hangzhou woman wearing top hats bath cover to buy food")</f>
        <v>Hangzhou woman wearing top hats bath cover to buy food</v>
      </c>
      <c r="D2678" s="4" t="s">
        <v>4619</v>
      </c>
      <c r="E2678" s="4">
        <v>7998392.0</v>
      </c>
      <c r="F2678" s="4">
        <v>27.0</v>
      </c>
      <c r="G2678" s="4" t="s">
        <v>4620</v>
      </c>
    </row>
    <row r="2679">
      <c r="A2679" s="1">
        <v>2677.0</v>
      </c>
      <c r="B2679" s="4" t="s">
        <v>4572</v>
      </c>
      <c r="C2679" s="4" t="str">
        <f>IFERROR(__xludf.DUMMYFUNCTION("GOOGLETRANSLATE(D:D,""auto"",""en"")"),"Tu Cao Yu Shuxin Zhang Yu Jian")</f>
        <v>Tu Cao Yu Shuxin Zhang Yu Jian</v>
      </c>
      <c r="D2679" s="4" t="s">
        <v>4621</v>
      </c>
      <c r="E2679" s="4">
        <v>7917995.0</v>
      </c>
      <c r="F2679" s="4">
        <v>28.0</v>
      </c>
      <c r="G2679" s="4" t="s">
        <v>4622</v>
      </c>
    </row>
    <row r="2680">
      <c r="A2680" s="1">
        <v>2678.0</v>
      </c>
      <c r="B2680" s="4" t="s">
        <v>4572</v>
      </c>
      <c r="C2680" s="4" t="str">
        <f>IFERROR(__xludf.DUMMYFUNCTION("GOOGLETRANSLATE(D:D,""auto"",""en"")"),"CCTV Interview virus hunter")</f>
        <v>CCTV Interview virus hunter</v>
      </c>
      <c r="D2680" s="4" t="s">
        <v>4623</v>
      </c>
      <c r="E2680" s="4">
        <v>7883700.0</v>
      </c>
      <c r="F2680" s="4">
        <v>29.0</v>
      </c>
      <c r="G2680" s="4" t="s">
        <v>4624</v>
      </c>
    </row>
    <row r="2681">
      <c r="A2681" s="1">
        <v>2679.0</v>
      </c>
      <c r="B2681" s="4" t="s">
        <v>4572</v>
      </c>
      <c r="C2681" s="4" t="str">
        <f>IFERROR(__xludf.DUMMYFUNCTION("GOOGLETRANSLATE(D:D,""auto"",""en"")"),"Reduce corporate power stage gas costs")</f>
        <v>Reduce corporate power stage gas costs</v>
      </c>
      <c r="D2681" s="4" t="s">
        <v>4625</v>
      </c>
      <c r="E2681" s="4">
        <v>7830918.0</v>
      </c>
      <c r="F2681" s="4">
        <v>30.0</v>
      </c>
      <c r="G2681" s="4" t="s">
        <v>4626</v>
      </c>
    </row>
    <row r="2682">
      <c r="A2682" s="1">
        <v>2680.0</v>
      </c>
      <c r="B2682" s="4" t="s">
        <v>4572</v>
      </c>
      <c r="C2682" s="4" t="str">
        <f>IFERROR(__xludf.DUMMYFUNCTION("GOOGLETRANSLATE(D:D,""auto"",""en"")"),"Wuhan 29-year-old female doctor died of pneumonia infecting new crown")</f>
        <v>Wuhan 29-year-old female doctor died of pneumonia infecting new crown</v>
      </c>
      <c r="D2682" s="4" t="s">
        <v>4627</v>
      </c>
      <c r="E2682" s="4">
        <v>7826430.0</v>
      </c>
      <c r="F2682" s="4">
        <v>31.0</v>
      </c>
      <c r="G2682" s="4" t="s">
        <v>4628</v>
      </c>
    </row>
    <row r="2683">
      <c r="A2683" s="1">
        <v>2681.0</v>
      </c>
      <c r="B2683" s="4" t="s">
        <v>4572</v>
      </c>
      <c r="C2683" s="4" t="str">
        <f>IFERROR(__xludf.DUMMYFUNCTION("GOOGLETRANSLATE(D:D,""auto"",""en"")"),"Allen Lin coax her mother while his wife textbooks")</f>
        <v>Allen Lin coax her mother while his wife textbooks</v>
      </c>
      <c r="D2683" s="4" t="s">
        <v>4629</v>
      </c>
      <c r="E2683" s="4">
        <v>7800769.0</v>
      </c>
      <c r="F2683" s="4">
        <v>32.0</v>
      </c>
      <c r="G2683" s="4" t="s">
        <v>4630</v>
      </c>
    </row>
    <row r="2684">
      <c r="A2684" s="1">
        <v>2682.0</v>
      </c>
      <c r="B2684" s="4" t="s">
        <v>4572</v>
      </c>
      <c r="C2684" s="4" t="str">
        <f>IFERROR(__xludf.DUMMYFUNCTION("GOOGLETRANSLATE(D:D,""auto"",""en"")"),"Zhang Yixing Spring Festival Evening dress rehearsal fall backflip")</f>
        <v>Zhang Yixing Spring Festival Evening dress rehearsal fall backflip</v>
      </c>
      <c r="D2684" s="4" t="s">
        <v>4631</v>
      </c>
      <c r="E2684" s="4">
        <v>7789398.0</v>
      </c>
      <c r="F2684" s="4">
        <v>33.0</v>
      </c>
      <c r="G2684" s="4" t="s">
        <v>4632</v>
      </c>
    </row>
    <row r="2685">
      <c r="A2685" s="1">
        <v>2683.0</v>
      </c>
      <c r="B2685" s="4" t="s">
        <v>4572</v>
      </c>
      <c r="C2685" s="4" t="str">
        <f>IFERROR(__xludf.DUMMYFUNCTION("GOOGLETRANSLATE(D:D,""auto"",""en"")"),"Chengdu implementation of the two first-line mode of commuting")</f>
        <v>Chengdu implementation of the two first-line mode of commuting</v>
      </c>
      <c r="D2685" s="4" t="s">
        <v>4633</v>
      </c>
      <c r="E2685" s="4">
        <v>7788080.0</v>
      </c>
      <c r="F2685" s="4">
        <v>34.0</v>
      </c>
      <c r="G2685" s="4" t="s">
        <v>4634</v>
      </c>
    </row>
    <row r="2686">
      <c r="A2686" s="1">
        <v>2684.0</v>
      </c>
      <c r="B2686" s="4" t="s">
        <v>4572</v>
      </c>
      <c r="C2686" s="4" t="str">
        <f>IFERROR(__xludf.DUMMYFUNCTION("GOOGLETRANSLATE(D:D,""auto"",""en"")"),"Isolation of the elderly to escape from the hospital to go home to eat noodles")</f>
        <v>Isolation of the elderly to escape from the hospital to go home to eat noodles</v>
      </c>
      <c r="D2686" s="4" t="s">
        <v>4635</v>
      </c>
      <c r="E2686" s="4">
        <v>7694958.0</v>
      </c>
      <c r="F2686" s="4">
        <v>35.0</v>
      </c>
      <c r="G2686" s="4" t="s">
        <v>4636</v>
      </c>
    </row>
    <row r="2687">
      <c r="A2687" s="1">
        <v>2685.0</v>
      </c>
      <c r="B2687" s="4" t="s">
        <v>4572</v>
      </c>
      <c r="C2687" s="4" t="str">
        <f>IFERROR(__xludf.DUMMYFUNCTION("GOOGLETRANSLATE(D:D,""auto"",""en"")"),"Vulcan Hill Hospital and then discharged 71 people")</f>
        <v>Vulcan Hill Hospital and then discharged 71 people</v>
      </c>
      <c r="D2687" s="4" t="s">
        <v>4637</v>
      </c>
      <c r="E2687" s="4">
        <v>7637179.0</v>
      </c>
      <c r="F2687" s="4">
        <v>36.0</v>
      </c>
      <c r="G2687" s="4" t="s">
        <v>4638</v>
      </c>
    </row>
    <row r="2688">
      <c r="A2688" s="1">
        <v>2686.0</v>
      </c>
      <c r="B2688" s="4" t="s">
        <v>4572</v>
      </c>
      <c r="C2688" s="4" t="str">
        <f>IFERROR(__xludf.DUMMYFUNCTION("GOOGLETRANSLATE(D:D,""auto"",""en"")"),"Wuhan girl's diary Vulcan Mountain")</f>
        <v>Wuhan girl's diary Vulcan Mountain</v>
      </c>
      <c r="D2688" s="4" t="s">
        <v>4639</v>
      </c>
      <c r="E2688" s="4">
        <v>7628945.0</v>
      </c>
      <c r="F2688" s="4">
        <v>37.0</v>
      </c>
      <c r="G2688" s="4" t="s">
        <v>4640</v>
      </c>
    </row>
    <row r="2689">
      <c r="A2689" s="1">
        <v>2687.0</v>
      </c>
      <c r="B2689" s="4" t="s">
        <v>4572</v>
      </c>
      <c r="C2689" s="4" t="str">
        <f>IFERROR(__xludf.DUMMYFUNCTION("GOOGLETRANSLATE(D:D,""auto"",""en"")"),"Rice cooker cake roll scene")</f>
        <v>Rice cooker cake roll scene</v>
      </c>
      <c r="D2689" s="4" t="s">
        <v>4641</v>
      </c>
      <c r="E2689" s="4">
        <v>7625490.0</v>
      </c>
      <c r="F2689" s="4">
        <v>38.0</v>
      </c>
      <c r="G2689" s="4" t="s">
        <v>4642</v>
      </c>
    </row>
    <row r="2690">
      <c r="A2690" s="1">
        <v>2688.0</v>
      </c>
      <c r="B2690" s="4" t="s">
        <v>4572</v>
      </c>
      <c r="C2690" s="4" t="str">
        <f>IFERROR(__xludf.DUMMYFUNCTION("GOOGLETRANSLATE(D:D,""auto"",""en"")"),"Over 5,000 people yesterday flocked to the West Lake Broken Bridge")</f>
        <v>Over 5,000 people yesterday flocked to the West Lake Broken Bridge</v>
      </c>
      <c r="D2690" s="4" t="s">
        <v>4643</v>
      </c>
      <c r="E2690" s="4">
        <v>7616250.0</v>
      </c>
      <c r="F2690" s="4">
        <v>39.0</v>
      </c>
      <c r="G2690" s="4" t="s">
        <v>4644</v>
      </c>
    </row>
    <row r="2691">
      <c r="A2691" s="1">
        <v>2689.0</v>
      </c>
      <c r="B2691" s="4" t="s">
        <v>4572</v>
      </c>
      <c r="C2691" s="4" t="str">
        <f>IFERROR(__xludf.DUMMYFUNCTION("GOOGLETRANSLATE(D:D,""auto"",""en"")"),"Angela Wang Xi pre-dawn darkness")</f>
        <v>Angela Wang Xi pre-dawn darkness</v>
      </c>
      <c r="D2691" s="4" t="s">
        <v>4645</v>
      </c>
      <c r="E2691" s="4">
        <v>7446631.0</v>
      </c>
      <c r="F2691" s="4">
        <v>40.0</v>
      </c>
      <c r="G2691" s="4" t="s">
        <v>4646</v>
      </c>
    </row>
    <row r="2692">
      <c r="A2692" s="1">
        <v>2690.0</v>
      </c>
      <c r="B2692" s="4" t="s">
        <v>4572</v>
      </c>
      <c r="C2692" s="4" t="str">
        <f>IFERROR(__xludf.DUMMYFUNCTION("GOOGLETRANSLATE(D:D,""auto"",""en"")"),"Alec Su Chen Zhipeng fit")</f>
        <v>Alec Su Chen Zhipeng fit</v>
      </c>
      <c r="D2692" s="4" t="s">
        <v>4647</v>
      </c>
      <c r="E2692" s="4">
        <v>7439334.0</v>
      </c>
      <c r="F2692" s="4">
        <v>41.0</v>
      </c>
      <c r="G2692" s="4" t="s">
        <v>4648</v>
      </c>
    </row>
    <row r="2693">
      <c r="A2693" s="1">
        <v>2691.0</v>
      </c>
      <c r="B2693" s="4" t="s">
        <v>4572</v>
      </c>
      <c r="C2693" s="4" t="str">
        <f>IFERROR(__xludf.DUMMYFUNCTION("GOOGLETRANSLATE(D:D,""auto"",""en"")"),"The epidemic has not yet appeared inflection point")</f>
        <v>The epidemic has not yet appeared inflection point</v>
      </c>
      <c r="D2693" s="4" t="s">
        <v>4649</v>
      </c>
      <c r="E2693" s="4">
        <v>7430135.0</v>
      </c>
      <c r="F2693" s="4">
        <v>42.0</v>
      </c>
      <c r="G2693" s="4" t="s">
        <v>4650</v>
      </c>
    </row>
    <row r="2694">
      <c r="A2694" s="1">
        <v>2692.0</v>
      </c>
      <c r="B2694" s="4" t="s">
        <v>4572</v>
      </c>
      <c r="C2694" s="4" t="str">
        <f>IFERROR(__xludf.DUMMYFUNCTION("GOOGLETRANSLATE(D:D,""auto"",""en"")"),"Messi Luckiest Man")</f>
        <v>Messi Luckiest Man</v>
      </c>
      <c r="D2694" s="4" t="s">
        <v>4651</v>
      </c>
      <c r="E2694" s="4">
        <v>7407713.0</v>
      </c>
      <c r="F2694" s="4">
        <v>43.0</v>
      </c>
      <c r="G2694" s="4" t="s">
        <v>4652</v>
      </c>
    </row>
    <row r="2695">
      <c r="A2695" s="1">
        <v>2693.0</v>
      </c>
      <c r="B2695" s="4" t="s">
        <v>4572</v>
      </c>
      <c r="C2695" s="4" t="str">
        <f>IFERROR(__xludf.DUMMYFUNCTION("GOOGLETRANSLATE(D:D,""auto"",""en"")"),"Comments Angela Ding Tai Shing Wang Xi")</f>
        <v>Comments Angela Ding Tai Shing Wang Xi</v>
      </c>
      <c r="D2695" s="4" t="s">
        <v>4653</v>
      </c>
      <c r="E2695" s="4">
        <v>7336025.0</v>
      </c>
      <c r="F2695" s="4">
        <v>44.0</v>
      </c>
      <c r="G2695" s="4" t="s">
        <v>4654</v>
      </c>
    </row>
    <row r="2696">
      <c r="A2696" s="1">
        <v>2694.0</v>
      </c>
      <c r="B2696" s="4" t="s">
        <v>4572</v>
      </c>
      <c r="C2696" s="4" t="str">
        <f>IFERROR(__xludf.DUMMYFUNCTION("GOOGLETRANSLATE(D:D,""auto"",""en"")"),"Wade jersey retirement ceremony")</f>
        <v>Wade jersey retirement ceremony</v>
      </c>
      <c r="D2696" s="4" t="s">
        <v>4655</v>
      </c>
      <c r="E2696" s="4">
        <v>7267216.0</v>
      </c>
      <c r="F2696" s="4">
        <v>45.0</v>
      </c>
      <c r="G2696" s="4" t="s">
        <v>4656</v>
      </c>
    </row>
    <row r="2697">
      <c r="A2697" s="1">
        <v>2695.0</v>
      </c>
      <c r="B2697" s="4" t="s">
        <v>4572</v>
      </c>
      <c r="C2697" s="4" t="str">
        <f>IFERROR(__xludf.DUMMYFUNCTION("GOOGLETRANSLATE(D:D,""auto"",""en"")"),"Chai Hospital Moscow Symphony Orchestra played for my country")</f>
        <v>Chai Hospital Moscow Symphony Orchestra played for my country</v>
      </c>
      <c r="D2697" s="4" t="s">
        <v>4657</v>
      </c>
      <c r="E2697" s="4">
        <v>7226803.0</v>
      </c>
      <c r="F2697" s="4">
        <v>46.0</v>
      </c>
      <c r="G2697" s="4" t="s">
        <v>4658</v>
      </c>
    </row>
    <row r="2698">
      <c r="A2698" s="1">
        <v>2696.0</v>
      </c>
      <c r="B2698" s="4" t="s">
        <v>4572</v>
      </c>
      <c r="C2698" s="4" t="str">
        <f>IFERROR(__xludf.DUMMYFUNCTION("GOOGLETRANSLATE(D:D,""auto"",""en"")"),"The flow of people get together and appear more scenes")</f>
        <v>The flow of people get together and appear more scenes</v>
      </c>
      <c r="D2698" s="4" t="s">
        <v>4659</v>
      </c>
      <c r="E2698" s="4">
        <v>7193117.0</v>
      </c>
      <c r="F2698" s="4">
        <v>47.0</v>
      </c>
      <c r="G2698" s="4" t="s">
        <v>4660</v>
      </c>
    </row>
    <row r="2699">
      <c r="A2699" s="1">
        <v>2697.0</v>
      </c>
      <c r="B2699" s="4" t="s">
        <v>4572</v>
      </c>
      <c r="C2699" s="4" t="str">
        <f>IFERROR(__xludf.DUMMYFUNCTION("GOOGLETRANSLATE(D:D,""auto"",""en"")"),"Contagion front-line police drying out face masks")</f>
        <v>Contagion front-line police drying out face masks</v>
      </c>
      <c r="D2699" s="4" t="s">
        <v>4661</v>
      </c>
      <c r="E2699" s="4">
        <v>7102088.0</v>
      </c>
      <c r="F2699" s="4">
        <v>48.0</v>
      </c>
      <c r="G2699" s="4" t="s">
        <v>4662</v>
      </c>
    </row>
    <row r="2700">
      <c r="A2700" s="1">
        <v>2698.0</v>
      </c>
      <c r="B2700" s="4" t="s">
        <v>4572</v>
      </c>
      <c r="C2700" s="4" t="str">
        <f>IFERROR(__xludf.DUMMYFUNCTION("GOOGLETRANSLATE(D:D,""auto"",""en"")"),"Anhui province revoke all roads quarantine site")</f>
        <v>Anhui province revoke all roads quarantine site</v>
      </c>
      <c r="D2700" s="4" t="s">
        <v>4663</v>
      </c>
      <c r="E2700" s="4">
        <v>7025890.0</v>
      </c>
      <c r="F2700" s="4">
        <v>49.0</v>
      </c>
      <c r="G2700" s="4" t="s">
        <v>4664</v>
      </c>
    </row>
    <row r="2701">
      <c r="A2701" s="1">
        <v>2699.0</v>
      </c>
      <c r="B2701" s="4" t="s">
        <v>4572</v>
      </c>
      <c r="C2701" s="4" t="str">
        <f>IFERROR(__xludf.DUMMYFUNCTION("GOOGLETRANSLATE(D:D,""auto"",""en"")"),"Sichuan people get together to drink tea event be accountable")</f>
        <v>Sichuan people get together to drink tea event be accountable</v>
      </c>
      <c r="D2701" s="4" t="s">
        <v>4665</v>
      </c>
      <c r="E2701" s="4">
        <v>6851739.0</v>
      </c>
      <c r="F2701" s="4">
        <v>50.0</v>
      </c>
      <c r="G2701" s="4" t="s">
        <v>4666</v>
      </c>
    </row>
    <row r="2702">
      <c r="A2702" s="1">
        <v>2700.0</v>
      </c>
      <c r="B2702" s="4" t="s">
        <v>4667</v>
      </c>
      <c r="C2702" s="4" t="str">
        <f>IFERROR(__xludf.DUMMYFUNCTION("GOOGLETRANSLATE(D:D,""auto"",""en"")"),"Zhou Jun Wei Hidetoshi early marriage")</f>
        <v>Zhou Jun Wei Hidetoshi early marriage</v>
      </c>
      <c r="D2702" s="4" t="s">
        <v>4668</v>
      </c>
      <c r="E2702" s="4">
        <v>1.2589636E7</v>
      </c>
      <c r="F2702" s="4">
        <v>1.0</v>
      </c>
      <c r="G2702" s="4" t="s">
        <v>4669</v>
      </c>
    </row>
    <row r="2703">
      <c r="A2703" s="1">
        <v>2701.0</v>
      </c>
      <c r="B2703" s="4" t="s">
        <v>4667</v>
      </c>
      <c r="C2703" s="4" t="str">
        <f>IFERROR(__xludf.DUMMYFUNCTION("GOOGLETRANSLATE(D:D,""auto"",""en"")"),"The national total of 77,150 cases of pneumonia diagnosed with the new crown")</f>
        <v>The national total of 77,150 cases of pneumonia diagnosed with the new crown</v>
      </c>
      <c r="D2703" s="4" t="s">
        <v>4670</v>
      </c>
      <c r="E2703" s="4">
        <v>1.1826622E7</v>
      </c>
      <c r="F2703" s="4">
        <v>2.0</v>
      </c>
      <c r="G2703" s="4" t="s">
        <v>4671</v>
      </c>
    </row>
    <row r="2704">
      <c r="A2704" s="1">
        <v>2702.0</v>
      </c>
      <c r="B2704" s="4" t="s">
        <v>4667</v>
      </c>
      <c r="C2704" s="4" t="str">
        <f>IFERROR(__xludf.DUMMYFUNCTION("GOOGLETRANSLATE(D:D,""auto"",""en"")"),"Stella found her husband derailment")</f>
        <v>Stella found her husband derailment</v>
      </c>
      <c r="D2704" s="4" t="s">
        <v>4672</v>
      </c>
      <c r="E2704" s="4">
        <v>1.1506978E7</v>
      </c>
      <c r="F2704" s="4">
        <v>3.0</v>
      </c>
      <c r="G2704" s="4" t="s">
        <v>4673</v>
      </c>
    </row>
    <row r="2705">
      <c r="A2705" s="1">
        <v>2703.0</v>
      </c>
      <c r="B2705" s="4" t="s">
        <v>4667</v>
      </c>
      <c r="C2705" s="4" t="str">
        <f>IFERROR(__xludf.DUMMYFUNCTION("GOOGLETRANSLATE(D:D,""auto"",""en"")"),"Yi Xi smelt one thousand military uniform style")</f>
        <v>Yi Xi smelt one thousand military uniform style</v>
      </c>
      <c r="D2705" s="4" t="s">
        <v>4674</v>
      </c>
      <c r="E2705" s="4">
        <v>1.1406173E7</v>
      </c>
      <c r="F2705" s="4">
        <v>4.0</v>
      </c>
      <c r="G2705" s="4" t="s">
        <v>4675</v>
      </c>
    </row>
    <row r="2706">
      <c r="A2706" s="1">
        <v>2704.0</v>
      </c>
      <c r="B2706" s="4" t="s">
        <v>4667</v>
      </c>
      <c r="C2706" s="4" t="str">
        <f>IFERROR(__xludf.DUMMYFUNCTION("GOOGLETRANSLATE(D:D,""auto"",""en"")"),"Hubei new confirmed cases 398 cases")</f>
        <v>Hubei new confirmed cases 398 cases</v>
      </c>
      <c r="D2706" s="4" t="s">
        <v>4676</v>
      </c>
      <c r="E2706" s="4">
        <v>1.118292E7</v>
      </c>
      <c r="F2706" s="4">
        <v>5.0</v>
      </c>
      <c r="G2706" s="4" t="s">
        <v>4677</v>
      </c>
    </row>
    <row r="2707">
      <c r="A2707" s="1">
        <v>2705.0</v>
      </c>
      <c r="B2707" s="4" t="s">
        <v>4667</v>
      </c>
      <c r="C2707" s="4" t="str">
        <f>IFERROR(__xludf.DUMMYFUNCTION("GOOGLETRANSLATE(D:D,""auto"",""en"")"),"Tu Cao Yu Shuxin Zhang Yu Jian")</f>
        <v>Tu Cao Yu Shuxin Zhang Yu Jian</v>
      </c>
      <c r="D2707" s="4" t="s">
        <v>4621</v>
      </c>
      <c r="E2707" s="4">
        <v>1.089272E7</v>
      </c>
      <c r="F2707" s="4">
        <v>6.0</v>
      </c>
      <c r="G2707" s="4" t="s">
        <v>4622</v>
      </c>
    </row>
    <row r="2708">
      <c r="A2708" s="1">
        <v>2706.0</v>
      </c>
      <c r="B2708" s="4" t="s">
        <v>4667</v>
      </c>
      <c r="C2708" s="4" t="str">
        <f>IFERROR(__xludf.DUMMYFUNCTION("GOOGLETRANSLATE(D:D,""auto"",""en"")"),"James winning jump shot is very much like Kobe Bryant")</f>
        <v>James winning jump shot is very much like Kobe Bryant</v>
      </c>
      <c r="D2708" s="4" t="s">
        <v>4678</v>
      </c>
      <c r="E2708" s="4">
        <v>1.083848E7</v>
      </c>
      <c r="F2708" s="4">
        <v>7.0</v>
      </c>
      <c r="G2708" s="4" t="s">
        <v>4679</v>
      </c>
    </row>
    <row r="2709">
      <c r="A2709" s="1">
        <v>2707.0</v>
      </c>
      <c r="B2709" s="4" t="s">
        <v>4667</v>
      </c>
      <c r="C2709" s="4" t="str">
        <f>IFERROR(__xludf.DUMMYFUNCTION("GOOGLETRANSLATE(D:D,""auto"",""en"")"),"Wu Lei was appointed director of Prison Administration of Shandong Province")</f>
        <v>Wu Lei was appointed director of Prison Administration of Shandong Province</v>
      </c>
      <c r="D2709" s="4" t="s">
        <v>4591</v>
      </c>
      <c r="E2709" s="4">
        <v>1.061982E7</v>
      </c>
      <c r="F2709" s="4">
        <v>8.0</v>
      </c>
      <c r="G2709" s="4" t="s">
        <v>4592</v>
      </c>
    </row>
    <row r="2710">
      <c r="A2710" s="1">
        <v>2708.0</v>
      </c>
      <c r="B2710" s="4" t="s">
        <v>4667</v>
      </c>
      <c r="C2710" s="4" t="str">
        <f>IFERROR(__xludf.DUMMYFUNCTION("GOOGLETRANSLATE(D:D,""auto"",""en"")"),"Chinese people can stay in the field out of the city")</f>
        <v>Chinese people can stay in the field out of the city</v>
      </c>
      <c r="D2710" s="4" t="s">
        <v>4680</v>
      </c>
      <c r="E2710" s="4">
        <v>1.061951E7</v>
      </c>
      <c r="F2710" s="4">
        <v>9.0</v>
      </c>
      <c r="G2710" s="4" t="s">
        <v>4681</v>
      </c>
    </row>
    <row r="2711">
      <c r="A2711" s="1">
        <v>2709.0</v>
      </c>
      <c r="B2711" s="4" t="s">
        <v>4667</v>
      </c>
      <c r="C2711" s="4" t="str">
        <f>IFERROR(__xludf.DUMMYFUNCTION("GOOGLETRANSLATE(D:D,""auto"",""en"")"),"Smile help all the people dou Contagion")</f>
        <v>Smile help all the people dou Contagion</v>
      </c>
      <c r="D2711" s="4" t="s">
        <v>4682</v>
      </c>
      <c r="E2711" s="4">
        <v>1.0510321E7</v>
      </c>
      <c r="F2711" s="4">
        <v>10.0</v>
      </c>
      <c r="G2711" s="4" t="s">
        <v>4683</v>
      </c>
    </row>
    <row r="2712">
      <c r="A2712" s="1">
        <v>2710.0</v>
      </c>
      <c r="B2712" s="4" t="s">
        <v>4667</v>
      </c>
      <c r="C2712" s="4" t="str">
        <f>IFERROR(__xludf.DUMMYFUNCTION("GOOGLETRANSLATE(D:D,""auto"",""en"")"),"Peace of mind to return heart-warming return post")</f>
        <v>Peace of mind to return heart-warming return post</v>
      </c>
      <c r="D2712" s="4" t="s">
        <v>4684</v>
      </c>
      <c r="E2712" s="4">
        <v>1.0469956E7</v>
      </c>
      <c r="F2712" s="4">
        <v>11.0</v>
      </c>
      <c r="G2712" s="4" t="s">
        <v>4685</v>
      </c>
    </row>
    <row r="2713">
      <c r="A2713" s="1">
        <v>2711.0</v>
      </c>
      <c r="B2713" s="4" t="s">
        <v>4667</v>
      </c>
      <c r="C2713" s="4" t="str">
        <f>IFERROR(__xludf.DUMMYFUNCTION("GOOGLETRANSLATE(D:D,""auto"",""en"")"),"Xie Guangkun respond to provoke angry users")</f>
        <v>Xie Guangkun respond to provoke angry users</v>
      </c>
      <c r="D2713" s="4" t="s">
        <v>4573</v>
      </c>
      <c r="E2713" s="4">
        <v>1.0400823E7</v>
      </c>
      <c r="F2713" s="4">
        <v>12.0</v>
      </c>
      <c r="G2713" s="4" t="s">
        <v>4574</v>
      </c>
    </row>
    <row r="2714">
      <c r="A2714" s="1">
        <v>2712.0</v>
      </c>
      <c r="B2714" s="4" t="s">
        <v>4667</v>
      </c>
      <c r="C2714" s="4" t="str">
        <f>IFERROR(__xludf.DUMMYFUNCTION("GOOGLETRANSLATE(D:D,""auto"",""en"")"),"Arctic methane")</f>
        <v>Arctic methane</v>
      </c>
      <c r="D2714" s="4" t="s">
        <v>4686</v>
      </c>
      <c r="E2714" s="4">
        <v>1.0320403E7</v>
      </c>
      <c r="F2714" s="4">
        <v>13.0</v>
      </c>
      <c r="G2714" s="4" t="s">
        <v>4687</v>
      </c>
    </row>
    <row r="2715">
      <c r="A2715" s="1">
        <v>2713.0</v>
      </c>
      <c r="B2715" s="4" t="s">
        <v>4667</v>
      </c>
      <c r="C2715" s="4" t="str">
        <f>IFERROR(__xludf.DUMMYFUNCTION("GOOGLETRANSLATE(D:D,""auto"",""en"")"),"US mad inventor multiply homemade rockets fall death")</f>
        <v>US mad inventor multiply homemade rockets fall death</v>
      </c>
      <c r="D2715" s="4" t="s">
        <v>4688</v>
      </c>
      <c r="E2715" s="4">
        <v>1.0270878E7</v>
      </c>
      <c r="F2715" s="4">
        <v>14.0</v>
      </c>
      <c r="G2715" s="4" t="s">
        <v>4689</v>
      </c>
    </row>
    <row r="2716">
      <c r="A2716" s="1">
        <v>2714.0</v>
      </c>
      <c r="B2716" s="4" t="s">
        <v>4667</v>
      </c>
      <c r="C2716" s="4" t="str">
        <f>IFERROR(__xludf.DUMMYFUNCTION("GOOGLETRANSLATE(D:D,""auto"",""en"")"),"Xie Na belly")</f>
        <v>Xie Na belly</v>
      </c>
      <c r="D2716" s="4" t="s">
        <v>4690</v>
      </c>
      <c r="E2716" s="4">
        <v>1.0235062E7</v>
      </c>
      <c r="F2716" s="4">
        <v>15.0</v>
      </c>
      <c r="G2716" s="4" t="s">
        <v>4691</v>
      </c>
    </row>
    <row r="2717">
      <c r="A2717" s="1">
        <v>2715.0</v>
      </c>
      <c r="B2717" s="4" t="s">
        <v>4667</v>
      </c>
      <c r="C2717" s="4" t="str">
        <f>IFERROR(__xludf.DUMMYFUNCTION("GOOGLETRANSLATE(D:D,""auto"",""en"")"),"28 years ago, Southern Medical cracked the case of the girls were killed")</f>
        <v>28 years ago, Southern Medical cracked the case of the girls were killed</v>
      </c>
      <c r="D2717" s="4" t="s">
        <v>4692</v>
      </c>
      <c r="E2717" s="4">
        <v>1.0108122E7</v>
      </c>
      <c r="F2717" s="4">
        <v>16.0</v>
      </c>
      <c r="G2717" s="4" t="s">
        <v>4693</v>
      </c>
    </row>
    <row r="2718">
      <c r="A2718" s="1">
        <v>2716.0</v>
      </c>
      <c r="B2718" s="4" t="s">
        <v>4667</v>
      </c>
      <c r="C2718" s="4" t="str">
        <f>IFERROR(__xludf.DUMMYFUNCTION("GOOGLETRANSLATE(D:D,""auto"",""en"")"),"Li Yi Feng sister tease Dan")</f>
        <v>Li Yi Feng sister tease Dan</v>
      </c>
      <c r="D2718" s="4" t="s">
        <v>4694</v>
      </c>
      <c r="E2718" s="4">
        <v>1.0073209E7</v>
      </c>
      <c r="F2718" s="4">
        <v>17.0</v>
      </c>
      <c r="G2718" s="4" t="s">
        <v>4695</v>
      </c>
    </row>
    <row r="2719">
      <c r="A2719" s="1">
        <v>2717.0</v>
      </c>
      <c r="B2719" s="4" t="s">
        <v>4667</v>
      </c>
      <c r="C2719" s="4" t="str">
        <f>IFERROR(__xludf.DUMMYFUNCTION("GOOGLETRANSLATE(D:D,""auto"",""en"")"),"The impact of the epidemic on the Chinese economy is temporary and short-term")</f>
        <v>The impact of the epidemic on the Chinese economy is temporary and short-term</v>
      </c>
      <c r="D2719" s="4" t="s">
        <v>4696</v>
      </c>
      <c r="E2719" s="4">
        <v>9974340.0</v>
      </c>
      <c r="F2719" s="4">
        <v>18.0</v>
      </c>
      <c r="G2719" s="4" t="s">
        <v>4697</v>
      </c>
    </row>
    <row r="2720">
      <c r="A2720" s="1">
        <v>2718.0</v>
      </c>
      <c r="B2720" s="4" t="s">
        <v>4667</v>
      </c>
      <c r="C2720" s="4" t="str">
        <f>IFERROR(__xludf.DUMMYFUNCTION("GOOGLETRANSLATE(D:D,""auto"",""en"")"),"Korea added 161 cases of pneumonia new crown")</f>
        <v>Korea added 161 cases of pneumonia new crown</v>
      </c>
      <c r="D2720" s="4" t="s">
        <v>4698</v>
      </c>
      <c r="E2720" s="4">
        <v>9890455.0</v>
      </c>
      <c r="F2720" s="4">
        <v>19.0</v>
      </c>
      <c r="G2720" s="4" t="s">
        <v>4699</v>
      </c>
    </row>
    <row r="2721">
      <c r="A2721" s="1">
        <v>2719.0</v>
      </c>
      <c r="B2721" s="4" t="s">
        <v>4667</v>
      </c>
      <c r="C2721" s="4" t="str">
        <f>IFERROR(__xludf.DUMMYFUNCTION("GOOGLETRANSLATE(D:D,""auto"",""en"")"),"Now is the time to Sahuan children yet")</f>
        <v>Now is the time to Sahuan children yet</v>
      </c>
      <c r="D2721" s="4" t="s">
        <v>4700</v>
      </c>
      <c r="E2721" s="4">
        <v>9757087.0</v>
      </c>
      <c r="F2721" s="4">
        <v>20.0</v>
      </c>
      <c r="G2721" s="4" t="s">
        <v>4701</v>
      </c>
    </row>
    <row r="2722">
      <c r="A2722" s="1">
        <v>2720.0</v>
      </c>
      <c r="B2722" s="4" t="s">
        <v>4667</v>
      </c>
      <c r="C2722" s="4" t="str">
        <f>IFERROR(__xludf.DUMMYFUNCTION("GOOGLETRANSLATE(D:D,""auto"",""en"")"),"Huangshan restored and opened to visitors only come one")</f>
        <v>Huangshan restored and opened to visitors only come one</v>
      </c>
      <c r="D2722" s="4" t="s">
        <v>4615</v>
      </c>
      <c r="E2722" s="4">
        <v>9636560.0</v>
      </c>
      <c r="F2722" s="4">
        <v>21.0</v>
      </c>
      <c r="G2722" s="4" t="s">
        <v>4616</v>
      </c>
    </row>
    <row r="2723">
      <c r="A2723" s="1">
        <v>2721.0</v>
      </c>
      <c r="B2723" s="4" t="s">
        <v>4667</v>
      </c>
      <c r="C2723" s="4" t="str">
        <f>IFERROR(__xludf.DUMMYFUNCTION("GOOGLETRANSLATE(D:D,""auto"",""en"")"),"Wu Min Xia live Fancy husband steal the spotlight")</f>
        <v>Wu Min Xia live Fancy husband steal the spotlight</v>
      </c>
      <c r="D2723" s="4" t="s">
        <v>4589</v>
      </c>
      <c r="E2723" s="4">
        <v>9574281.0</v>
      </c>
      <c r="F2723" s="4">
        <v>22.0</v>
      </c>
      <c r="G2723" s="4" t="s">
        <v>4590</v>
      </c>
    </row>
    <row r="2724">
      <c r="A2724" s="1">
        <v>2722.0</v>
      </c>
      <c r="B2724" s="4" t="s">
        <v>4667</v>
      </c>
      <c r="C2724" s="4" t="str">
        <f>IFERROR(__xludf.DUMMYFUNCTION("GOOGLETRANSLATE(D:D,""auto"",""en"")"),"Soda fit")</f>
        <v>Soda fit</v>
      </c>
      <c r="D2724" s="4" t="s">
        <v>4702</v>
      </c>
      <c r="E2724" s="4">
        <v>9455357.0</v>
      </c>
      <c r="F2724" s="4">
        <v>23.0</v>
      </c>
      <c r="G2724" s="4" t="s">
        <v>4703</v>
      </c>
    </row>
    <row r="2725">
      <c r="A2725" s="1">
        <v>2723.0</v>
      </c>
      <c r="B2725" s="4" t="s">
        <v>4667</v>
      </c>
      <c r="C2725" s="4" t="str">
        <f>IFERROR(__xludf.DUMMYFUNCTION("GOOGLETRANSLATE(D:D,""auto"",""en"")"),"Hunan new confirmed cases to zero for the first time")</f>
        <v>Hunan new confirmed cases to zero for the first time</v>
      </c>
      <c r="D2725" s="4" t="s">
        <v>4704</v>
      </c>
      <c r="E2725" s="4">
        <v>9423233.0</v>
      </c>
      <c r="F2725" s="4">
        <v>24.0</v>
      </c>
      <c r="G2725" s="4" t="s">
        <v>4705</v>
      </c>
    </row>
    <row r="2726">
      <c r="A2726" s="1">
        <v>2724.0</v>
      </c>
      <c r="B2726" s="4" t="s">
        <v>4667</v>
      </c>
      <c r="C2726" s="4" t="str">
        <f>IFERROR(__xludf.DUMMYFUNCTION("GOOGLETRANSLATE(D:D,""auto"",""en"")"),"11 municipalities in northern Italy closed city isolation")</f>
        <v>11 municipalities in northern Italy closed city isolation</v>
      </c>
      <c r="D2726" s="4" t="s">
        <v>4706</v>
      </c>
      <c r="E2726" s="4">
        <v>9387092.0</v>
      </c>
      <c r="F2726" s="4">
        <v>25.0</v>
      </c>
      <c r="G2726" s="4" t="s">
        <v>4707</v>
      </c>
    </row>
    <row r="2727">
      <c r="A2727" s="1">
        <v>2725.0</v>
      </c>
      <c r="B2727" s="4" t="s">
        <v>4667</v>
      </c>
      <c r="C2727" s="4" t="str">
        <f>IFERROR(__xludf.DUMMYFUNCTION("GOOGLETRANSLATE(D:D,""auto"",""en"")"),"From isolation to the onset of symptoms up to 27 days")</f>
        <v>From isolation to the onset of symptoms up to 27 days</v>
      </c>
      <c r="D2727" s="4" t="s">
        <v>4708</v>
      </c>
      <c r="E2727" s="4">
        <v>9364208.0</v>
      </c>
      <c r="F2727" s="4">
        <v>26.0</v>
      </c>
      <c r="G2727" s="4" t="s">
        <v>4709</v>
      </c>
    </row>
    <row r="2728">
      <c r="A2728" s="1">
        <v>2726.0</v>
      </c>
      <c r="B2728" s="4" t="s">
        <v>4667</v>
      </c>
      <c r="C2728" s="4" t="str">
        <f>IFERROR(__xludf.DUMMYFUNCTION("GOOGLETRANSLATE(D:D,""auto"",""en"")"),"Huang Wenjun had written Qingzhan book are not due to bad fortune to avoid the trend")</f>
        <v>Huang Wenjun had written Qingzhan book are not due to bad fortune to avoid the trend</v>
      </c>
      <c r="D2728" s="4" t="s">
        <v>4710</v>
      </c>
      <c r="E2728" s="4">
        <v>9347081.0</v>
      </c>
      <c r="F2728" s="4">
        <v>27.0</v>
      </c>
      <c r="G2728" s="4" t="s">
        <v>4711</v>
      </c>
    </row>
    <row r="2729">
      <c r="A2729" s="1">
        <v>2727.0</v>
      </c>
      <c r="B2729" s="4" t="s">
        <v>4667</v>
      </c>
      <c r="C2729" s="4" t="str">
        <f>IFERROR(__xludf.DUMMYFUNCTION("GOOGLETRANSLATE(D:D,""auto"",""en"")"),"Zheng together Keiko not wash your hair artifact")</f>
        <v>Zheng together Keiko not wash your hair artifact</v>
      </c>
      <c r="D2729" s="4" t="s">
        <v>4712</v>
      </c>
      <c r="E2729" s="4">
        <v>9316746.0</v>
      </c>
      <c r="F2729" s="4">
        <v>28.0</v>
      </c>
      <c r="G2729" s="4" t="s">
        <v>4713</v>
      </c>
    </row>
    <row r="2730">
      <c r="A2730" s="1">
        <v>2728.0</v>
      </c>
      <c r="B2730" s="4" t="s">
        <v>4667</v>
      </c>
      <c r="C2730" s="4" t="str">
        <f>IFERROR(__xludf.DUMMYFUNCTION("GOOGLETRANSLATE(D:D,""auto"",""en"")"),"3387 cases among health care workers nationwide new crown pneumonia")</f>
        <v>3387 cases among health care workers nationwide new crown pneumonia</v>
      </c>
      <c r="D2730" s="4" t="s">
        <v>4714</v>
      </c>
      <c r="E2730" s="4">
        <v>9308544.0</v>
      </c>
      <c r="F2730" s="4">
        <v>29.0</v>
      </c>
      <c r="G2730" s="4" t="s">
        <v>4715</v>
      </c>
    </row>
    <row r="2731">
      <c r="A2731" s="1">
        <v>2729.0</v>
      </c>
      <c r="B2731" s="4" t="s">
        <v>4667</v>
      </c>
      <c r="C2731" s="4" t="str">
        <f>IFERROR(__xludf.DUMMYFUNCTION("GOOGLETRANSLATE(D:D,""auto"",""en"")"),"Li Jiaqi hair long article denounced violence network")</f>
        <v>Li Jiaqi hair long article denounced violence network</v>
      </c>
      <c r="D2731" s="4" t="s">
        <v>4716</v>
      </c>
      <c r="E2731" s="4">
        <v>9259961.0</v>
      </c>
      <c r="F2731" s="4">
        <v>30.0</v>
      </c>
      <c r="G2731" s="4" t="s">
        <v>4717</v>
      </c>
    </row>
    <row r="2732">
      <c r="A2732" s="1">
        <v>2730.0</v>
      </c>
      <c r="B2732" s="4" t="s">
        <v>4667</v>
      </c>
      <c r="C2732" s="4" t="str">
        <f>IFERROR(__xludf.DUMMYFUNCTION("GOOGLETRANSLATE(D:D,""auto"",""en"")"),"Zhang Wei Wang Yibo large dubbing Westward Journey")</f>
        <v>Zhang Wei Wang Yibo large dubbing Westward Journey</v>
      </c>
      <c r="D2732" s="4" t="s">
        <v>4718</v>
      </c>
      <c r="E2732" s="4">
        <v>9252074.0</v>
      </c>
      <c r="F2732" s="4">
        <v>31.0</v>
      </c>
      <c r="G2732" s="4" t="s">
        <v>4719</v>
      </c>
    </row>
    <row r="2733">
      <c r="A2733" s="1">
        <v>2731.0</v>
      </c>
      <c r="B2733" s="4" t="s">
        <v>4667</v>
      </c>
      <c r="C2733" s="4" t="str">
        <f>IFERROR(__xludf.DUMMYFUNCTION("GOOGLETRANSLATE(D:D,""auto"",""en"")"),"Everest long grass")</f>
        <v>Everest long grass</v>
      </c>
      <c r="D2733" s="4" t="s">
        <v>4720</v>
      </c>
      <c r="E2733" s="4">
        <v>9198814.0</v>
      </c>
      <c r="F2733" s="4">
        <v>32.0</v>
      </c>
      <c r="G2733" s="4" t="s">
        <v>4721</v>
      </c>
    </row>
    <row r="2734">
      <c r="A2734" s="1">
        <v>2732.0</v>
      </c>
      <c r="B2734" s="4" t="s">
        <v>4667</v>
      </c>
      <c r="C2734" s="4" t="str">
        <f>IFERROR(__xludf.DUMMYFUNCTION("GOOGLETRANSLATE(D:D,""auto"",""en"")"),"Tu Lei recorded vibrato should have a sense of ritual")</f>
        <v>Tu Lei recorded vibrato should have a sense of ritual</v>
      </c>
      <c r="D2734" s="4" t="s">
        <v>4722</v>
      </c>
      <c r="E2734" s="4">
        <v>9148064.0</v>
      </c>
      <c r="F2734" s="4">
        <v>33.0</v>
      </c>
      <c r="G2734" s="4" t="s">
        <v>4723</v>
      </c>
    </row>
    <row r="2735">
      <c r="A2735" s="1">
        <v>2733.0</v>
      </c>
      <c r="B2735" s="4" t="s">
        <v>4667</v>
      </c>
      <c r="C2735" s="4" t="str">
        <f>IFERROR(__xludf.DUMMYFUNCTION("GOOGLETRANSLATE(D:D,""auto"",""en"")"),"Zhong Nanshan was discharged again represents a very small possibility of infection")</f>
        <v>Zhong Nanshan was discharged again represents a very small possibility of infection</v>
      </c>
      <c r="D2735" s="4" t="s">
        <v>4724</v>
      </c>
      <c r="E2735" s="4">
        <v>9122982.0</v>
      </c>
      <c r="F2735" s="4">
        <v>34.0</v>
      </c>
      <c r="G2735" s="4" t="s">
        <v>4725</v>
      </c>
    </row>
    <row r="2736">
      <c r="A2736" s="1">
        <v>2734.0</v>
      </c>
      <c r="B2736" s="4" t="s">
        <v>4667</v>
      </c>
      <c r="C2736" s="4" t="str">
        <f>IFERROR(__xludf.DUMMYFUNCTION("GOOGLETRANSLATE(D:D,""auto"",""en"")"),"Any city prison isolation of a ex-convict flight")</f>
        <v>Any city prison isolation of a ex-convict flight</v>
      </c>
      <c r="D2736" s="4" t="s">
        <v>4726</v>
      </c>
      <c r="E2736" s="4">
        <v>8998326.0</v>
      </c>
      <c r="F2736" s="4">
        <v>35.0</v>
      </c>
      <c r="G2736" s="4" t="s">
        <v>4727</v>
      </c>
    </row>
    <row r="2737">
      <c r="A2737" s="1">
        <v>2735.0</v>
      </c>
      <c r="B2737" s="4" t="s">
        <v>4667</v>
      </c>
      <c r="C2737" s="4" t="str">
        <f>IFERROR(__xludf.DUMMYFUNCTION("GOOGLETRANSLATE(D:D,""auto"",""en"")"),"University school before the epidemic is not under control")</f>
        <v>University school before the epidemic is not under control</v>
      </c>
      <c r="D2737" s="4" t="s">
        <v>4728</v>
      </c>
      <c r="E2737" s="4">
        <v>8907932.0</v>
      </c>
      <c r="F2737" s="4">
        <v>36.0</v>
      </c>
      <c r="G2737" s="4" t="s">
        <v>4729</v>
      </c>
    </row>
    <row r="2738">
      <c r="A2738" s="1">
        <v>2736.0</v>
      </c>
      <c r="B2738" s="4" t="s">
        <v>4667</v>
      </c>
      <c r="C2738" s="4" t="str">
        <f>IFERROR(__xludf.DUMMYFUNCTION("GOOGLETRANSLATE(D:D,""auto"",""en"")"),"An emergency response is adjusted to two Shanxi")</f>
        <v>An emergency response is adjusted to two Shanxi</v>
      </c>
      <c r="D2738" s="4" t="s">
        <v>4730</v>
      </c>
      <c r="E2738" s="4">
        <v>8799959.0</v>
      </c>
      <c r="F2738" s="4">
        <v>37.0</v>
      </c>
      <c r="G2738" s="4" t="s">
        <v>4731</v>
      </c>
    </row>
    <row r="2739">
      <c r="A2739" s="1">
        <v>2737.0</v>
      </c>
      <c r="B2739" s="4" t="s">
        <v>4667</v>
      </c>
      <c r="C2739" s="4" t="str">
        <f>IFERROR(__xludf.DUMMYFUNCTION("GOOGLETRANSLATE(D:D,""auto"",""en"")"),"E doctor colleague aid for stitching up wounds hair")</f>
        <v>E doctor colleague aid for stitching up wounds hair</v>
      </c>
      <c r="D2739" s="4" t="s">
        <v>4732</v>
      </c>
      <c r="E2739" s="4">
        <v>8758105.0</v>
      </c>
      <c r="F2739" s="4">
        <v>38.0</v>
      </c>
      <c r="G2739" s="4" t="s">
        <v>4733</v>
      </c>
    </row>
    <row r="2740">
      <c r="A2740" s="1">
        <v>2738.0</v>
      </c>
      <c r="B2740" s="4" t="s">
        <v>4667</v>
      </c>
      <c r="C2740" s="4" t="str">
        <f>IFERROR(__xludf.DUMMYFUNCTION("GOOGLETRANSLATE(D:D,""auto"",""en"")"),"Military Games five foreign players are suffering from malaria")</f>
        <v>Military Games five foreign players are suffering from malaria</v>
      </c>
      <c r="D2740" s="4" t="s">
        <v>4734</v>
      </c>
      <c r="E2740" s="4">
        <v>8734685.0</v>
      </c>
      <c r="F2740" s="4">
        <v>39.0</v>
      </c>
      <c r="G2740" s="4" t="s">
        <v>4735</v>
      </c>
    </row>
    <row r="2741">
      <c r="A2741" s="1">
        <v>2739.0</v>
      </c>
      <c r="B2741" s="4" t="s">
        <v>4667</v>
      </c>
      <c r="C2741" s="4" t="str">
        <f>IFERROR(__xludf.DUMMYFUNCTION("GOOGLETRANSLATE(D:D,""auto"",""en"")"),"Levitation")</f>
        <v>Levitation</v>
      </c>
      <c r="D2741" s="4" t="s">
        <v>4736</v>
      </c>
      <c r="E2741" s="4">
        <v>8565732.0</v>
      </c>
      <c r="F2741" s="4">
        <v>40.0</v>
      </c>
      <c r="G2741" s="4" t="s">
        <v>4737</v>
      </c>
    </row>
    <row r="2742">
      <c r="A2742" s="1">
        <v>2740.0</v>
      </c>
      <c r="B2742" s="4" t="s">
        <v>4667</v>
      </c>
      <c r="C2742" s="4" t="str">
        <f>IFERROR(__xludf.DUMMYFUNCTION("GOOGLETRANSLATE(D:D,""auto"",""en"")"),"Wuhan district village administration will continue for 24 hours closed")</f>
        <v>Wuhan district village administration will continue for 24 hours closed</v>
      </c>
      <c r="D2742" s="4" t="s">
        <v>4738</v>
      </c>
      <c r="E2742" s="4">
        <v>8541429.0</v>
      </c>
      <c r="F2742" s="4">
        <v>41.0</v>
      </c>
      <c r="G2742" s="4" t="s">
        <v>4739</v>
      </c>
    </row>
    <row r="2743">
      <c r="A2743" s="1">
        <v>2741.0</v>
      </c>
      <c r="B2743" s="4" t="s">
        <v>4667</v>
      </c>
      <c r="C2743" s="4" t="str">
        <f>IFERROR(__xludf.DUMMYFUNCTION("GOOGLETRANSLATE(D:D,""auto"",""en"")"),"Wu Lei shave online")</f>
        <v>Wu Lei shave online</v>
      </c>
      <c r="D2743" s="4" t="s">
        <v>4740</v>
      </c>
      <c r="E2743" s="4">
        <v>8534051.0</v>
      </c>
      <c r="F2743" s="4">
        <v>42.0</v>
      </c>
      <c r="G2743" s="4" t="s">
        <v>4741</v>
      </c>
    </row>
    <row r="2744">
      <c r="A2744" s="1">
        <v>2742.0</v>
      </c>
      <c r="B2744" s="4" t="s">
        <v>4667</v>
      </c>
      <c r="C2744" s="4" t="str">
        <f>IFERROR(__xludf.DUMMYFUNCTION("GOOGLETRANSLATE(D:D,""auto"",""en"")"),"Doctors and patients across time and space salute")</f>
        <v>Doctors and patients across time and space salute</v>
      </c>
      <c r="D2744" s="4" t="s">
        <v>4742</v>
      </c>
      <c r="E2744" s="4">
        <v>8531640.0</v>
      </c>
      <c r="F2744" s="4">
        <v>43.0</v>
      </c>
      <c r="G2744" s="4" t="s">
        <v>4743</v>
      </c>
    </row>
    <row r="2745">
      <c r="A2745" s="1">
        <v>2743.0</v>
      </c>
      <c r="B2745" s="4" t="s">
        <v>4667</v>
      </c>
      <c r="C2745" s="4" t="str">
        <f>IFERROR(__xludf.DUMMYFUNCTION("GOOGLETRANSLATE(D:D,""auto"",""en"")"),"The new virus crown obviously not mutate")</f>
        <v>The new virus crown obviously not mutate</v>
      </c>
      <c r="D2745" s="4" t="s">
        <v>4744</v>
      </c>
      <c r="E2745" s="4">
        <v>8480644.0</v>
      </c>
      <c r="F2745" s="4">
        <v>44.0</v>
      </c>
      <c r="G2745" s="4" t="s">
        <v>4745</v>
      </c>
    </row>
    <row r="2746">
      <c r="A2746" s="1">
        <v>2744.0</v>
      </c>
      <c r="B2746" s="4" t="s">
        <v>4667</v>
      </c>
      <c r="C2746" s="4" t="str">
        <f>IFERROR(__xludf.DUMMYFUNCTION("GOOGLETRANSLATE(D:D,""auto"",""en"")"),"European scientists recombinant virus a new crown")</f>
        <v>European scientists recombinant virus a new crown</v>
      </c>
      <c r="D2746" s="4" t="s">
        <v>4746</v>
      </c>
      <c r="E2746" s="4">
        <v>8363939.0</v>
      </c>
      <c r="F2746" s="4">
        <v>45.0</v>
      </c>
      <c r="G2746" s="4" t="s">
        <v>4747</v>
      </c>
    </row>
    <row r="2747">
      <c r="A2747" s="1">
        <v>2745.0</v>
      </c>
      <c r="B2747" s="4" t="s">
        <v>4667</v>
      </c>
      <c r="C2747" s="4" t="str">
        <f>IFERROR(__xludf.DUMMYFUNCTION("GOOGLETRANSLATE(D:D,""auto"",""en"")"),"February Barber do not get together")</f>
        <v>February Barber do not get together</v>
      </c>
      <c r="D2747" s="4" t="s">
        <v>4748</v>
      </c>
      <c r="E2747" s="4">
        <v>8361215.0</v>
      </c>
      <c r="F2747" s="4">
        <v>46.0</v>
      </c>
      <c r="G2747" s="4" t="s">
        <v>4749</v>
      </c>
    </row>
    <row r="2748">
      <c r="A2748" s="1">
        <v>2746.0</v>
      </c>
      <c r="B2748" s="4" t="s">
        <v>4667</v>
      </c>
      <c r="C2748" s="4" t="str">
        <f>IFERROR(__xludf.DUMMYFUNCTION("GOOGLETRANSLATE(D:D,""auto"",""en"")"),"The little boy wearing a mask as scavengers")</f>
        <v>The little boy wearing a mask as scavengers</v>
      </c>
      <c r="D2748" s="4" t="s">
        <v>4750</v>
      </c>
      <c r="E2748" s="4">
        <v>8358917.0</v>
      </c>
      <c r="F2748" s="4">
        <v>47.0</v>
      </c>
      <c r="G2748" s="4" t="s">
        <v>4751</v>
      </c>
    </row>
    <row r="2749">
      <c r="A2749" s="1">
        <v>2747.0</v>
      </c>
      <c r="B2749" s="4" t="s">
        <v>4667</v>
      </c>
      <c r="C2749" s="4" t="str">
        <f>IFERROR(__xludf.DUMMYFUNCTION("GOOGLETRANSLATE(D:D,""auto"",""en"")"),"Yiyangqianxi uniforms")</f>
        <v>Yiyangqianxi uniforms</v>
      </c>
      <c r="D2749" s="4" t="s">
        <v>4752</v>
      </c>
      <c r="E2749" s="4">
        <v>8274976.0</v>
      </c>
      <c r="F2749" s="4">
        <v>48.0</v>
      </c>
      <c r="G2749" s="4" t="s">
        <v>4753</v>
      </c>
    </row>
    <row r="2750">
      <c r="A2750" s="1">
        <v>2748.0</v>
      </c>
      <c r="B2750" s="4" t="s">
        <v>4667</v>
      </c>
      <c r="C2750" s="4" t="str">
        <f>IFERROR(__xludf.DUMMYFUNCTION("GOOGLETRANSLATE(D:D,""auto"",""en"")"),"Dali illegal seizure masks mayor was removed from office")</f>
        <v>Dali illegal seizure masks mayor was removed from office</v>
      </c>
      <c r="D2750" s="4" t="s">
        <v>4754</v>
      </c>
      <c r="E2750" s="4">
        <v>8252445.0</v>
      </c>
      <c r="F2750" s="4">
        <v>49.0</v>
      </c>
      <c r="G2750" s="4" t="s">
        <v>4755</v>
      </c>
    </row>
    <row r="2751">
      <c r="A2751" s="1">
        <v>2749.0</v>
      </c>
      <c r="B2751" s="4" t="s">
        <v>4667</v>
      </c>
      <c r="C2751" s="4" t="str">
        <f>IFERROR(__xludf.DUMMYFUNCTION("GOOGLETRANSLATE(D:D,""auto"",""en"")"),"Hubei to be promoted reuse of four first-line cadres fight against SARS")</f>
        <v>Hubei to be promoted reuse of four first-line cadres fight against SARS</v>
      </c>
      <c r="D2751" s="4" t="s">
        <v>4756</v>
      </c>
      <c r="E2751" s="4">
        <v>8189009.0</v>
      </c>
      <c r="F2751" s="4">
        <v>50.0</v>
      </c>
      <c r="G2751" s="4" t="s">
        <v>4757</v>
      </c>
    </row>
    <row r="2752">
      <c r="A2752" s="1">
        <v>2750.0</v>
      </c>
      <c r="B2752" s="4" t="s">
        <v>4758</v>
      </c>
      <c r="C2752" s="4" t="str">
        <f>IFERROR(__xludf.DUMMYFUNCTION("GOOGLETRANSLATE(D:D,""auto"",""en"")"),"Beyonce sang favorite songs Bryant")</f>
        <v>Beyonce sang favorite songs Bryant</v>
      </c>
      <c r="D2752" s="4" t="s">
        <v>4759</v>
      </c>
      <c r="E2752" s="4">
        <v>1.2940872E7</v>
      </c>
      <c r="F2752" s="4">
        <v>1.0</v>
      </c>
      <c r="G2752" s="4" t="s">
        <v>4760</v>
      </c>
    </row>
    <row r="2753">
      <c r="A2753" s="1">
        <v>2751.0</v>
      </c>
      <c r="B2753" s="4" t="s">
        <v>4758</v>
      </c>
      <c r="C2753" s="4" t="str">
        <f>IFERROR(__xludf.DUMMYFUNCTION("GOOGLETRANSLATE(D:D,""auto"",""en"")"),"Vanessa Bryant memory of gigi")</f>
        <v>Vanessa Bryant memory of gigi</v>
      </c>
      <c r="D2753" s="4" t="s">
        <v>4761</v>
      </c>
      <c r="E2753" s="4">
        <v>1.2771037E7</v>
      </c>
      <c r="F2753" s="4">
        <v>2.0</v>
      </c>
      <c r="G2753" s="4" t="s">
        <v>4762</v>
      </c>
    </row>
    <row r="2754">
      <c r="A2754" s="1">
        <v>2752.0</v>
      </c>
      <c r="B2754" s="4" t="s">
        <v>4758</v>
      </c>
      <c r="C2754" s="4" t="str">
        <f>IFERROR(__xludf.DUMMYFUNCTION("GOOGLETRANSLATE(D:D,""auto"",""en"")"),"Xiaozhan haircut")</f>
        <v>Xiaozhan haircut</v>
      </c>
      <c r="D2754" s="4" t="s">
        <v>4763</v>
      </c>
      <c r="E2754" s="4">
        <v>1.2624628E7</v>
      </c>
      <c r="F2754" s="4">
        <v>3.0</v>
      </c>
      <c r="G2754" s="4" t="s">
        <v>4764</v>
      </c>
    </row>
    <row r="2755">
      <c r="A2755" s="1">
        <v>2753.0</v>
      </c>
      <c r="B2755" s="4" t="s">
        <v>4758</v>
      </c>
      <c r="C2755" s="4" t="str">
        <f>IFERROR(__xludf.DUMMYFUNCTION("GOOGLETRANSLATE(D:D,""auto"",""en"")"),"O'Neal Bryant teach all the technical daughter")</f>
        <v>O'Neal Bryant teach all the technical daughter</v>
      </c>
      <c r="D2755" s="4" t="s">
        <v>4765</v>
      </c>
      <c r="E2755" s="4">
        <v>1.2189428E7</v>
      </c>
      <c r="F2755" s="4">
        <v>4.0</v>
      </c>
      <c r="G2755" s="4" t="s">
        <v>4766</v>
      </c>
    </row>
    <row r="2756">
      <c r="A2756" s="1">
        <v>2754.0</v>
      </c>
      <c r="B2756" s="4" t="s">
        <v>4758</v>
      </c>
      <c r="C2756" s="4" t="str">
        <f>IFERROR(__xludf.DUMMYFUNCTION("GOOGLETRANSLATE(D:D,""auto"",""en"")"),"Dr. Hu Ming Dr. Yuan Haitao line together")</f>
        <v>Dr. Hu Ming Dr. Yuan Haitao line together</v>
      </c>
      <c r="D2756" s="4" t="s">
        <v>4767</v>
      </c>
      <c r="E2756" s="4">
        <v>1.185195E7</v>
      </c>
      <c r="F2756" s="4">
        <v>5.0</v>
      </c>
      <c r="G2756" s="4" t="s">
        <v>4768</v>
      </c>
    </row>
    <row r="2757">
      <c r="A2757" s="1">
        <v>2755.0</v>
      </c>
      <c r="B2757" s="4" t="s">
        <v>4758</v>
      </c>
      <c r="C2757" s="4" t="str">
        <f>IFERROR(__xludf.DUMMYFUNCTION("GOOGLETRANSLATE(D:D,""auto"",""en"")"),"BLACKPINK magazine hate Face Slapping")</f>
        <v>BLACKPINK magazine hate Face Slapping</v>
      </c>
      <c r="D2757" s="4" t="s">
        <v>4769</v>
      </c>
      <c r="E2757" s="4">
        <v>1.1837648E7</v>
      </c>
      <c r="F2757" s="4">
        <v>6.0</v>
      </c>
      <c r="G2757" s="4" t="s">
        <v>4770</v>
      </c>
    </row>
    <row r="2758">
      <c r="A2758" s="1">
        <v>2756.0</v>
      </c>
      <c r="B2758" s="4" t="s">
        <v>4758</v>
      </c>
      <c r="C2758" s="4" t="str">
        <f>IFERROR(__xludf.DUMMYFUNCTION("GOOGLETRANSLATE(D:D,""auto"",""en"")"),"Nan Zhang Xuguang Han If your wedding")</f>
        <v>Nan Zhang Xuguang Han If your wedding</v>
      </c>
      <c r="D2758" s="4" t="s">
        <v>4771</v>
      </c>
      <c r="E2758" s="4">
        <v>1.1781092E7</v>
      </c>
      <c r="F2758" s="4">
        <v>7.0</v>
      </c>
      <c r="G2758" s="4" t="s">
        <v>4772</v>
      </c>
    </row>
    <row r="2759">
      <c r="A2759" s="1">
        <v>2757.0</v>
      </c>
      <c r="B2759" s="4" t="s">
        <v>4758</v>
      </c>
      <c r="C2759" s="4" t="str">
        <f>IFERROR(__xludf.DUMMYFUNCTION("GOOGLETRANSLATE(D:D,""auto"",""en"")"),"Stella hate small three")</f>
        <v>Stella hate small three</v>
      </c>
      <c r="D2759" s="4" t="s">
        <v>4773</v>
      </c>
      <c r="E2759" s="4">
        <v>1.1561444E7</v>
      </c>
      <c r="F2759" s="4">
        <v>8.0</v>
      </c>
      <c r="G2759" s="4" t="s">
        <v>4774</v>
      </c>
    </row>
    <row r="2760">
      <c r="A2760" s="1">
        <v>2758.0</v>
      </c>
      <c r="B2760" s="4" t="s">
        <v>4758</v>
      </c>
      <c r="C2760" s="4" t="str">
        <f>IFERROR(__xludf.DUMMYFUNCTION("GOOGLETRANSLATE(D:D,""auto"",""en"")"),"Online cloud look-up service is not closing")</f>
        <v>Online cloud look-up service is not closing</v>
      </c>
      <c r="D2760" s="4" t="s">
        <v>4775</v>
      </c>
      <c r="E2760" s="4">
        <v>1.1444832E7</v>
      </c>
      <c r="F2760" s="4">
        <v>9.0</v>
      </c>
      <c r="G2760" s="4" t="s">
        <v>4776</v>
      </c>
    </row>
    <row r="2761">
      <c r="A2761" s="1">
        <v>2759.0</v>
      </c>
      <c r="B2761" s="4" t="s">
        <v>4758</v>
      </c>
      <c r="C2761" s="4" t="str">
        <f>IFERROR(__xludf.DUMMYFUNCTION("GOOGLETRANSLATE(D:D,""auto"",""en"")"),"Xu aunt saw my wife derailment")</f>
        <v>Xu aunt saw my wife derailment</v>
      </c>
      <c r="D2761" s="4" t="s">
        <v>4777</v>
      </c>
      <c r="E2761" s="4">
        <v>1.1328221E7</v>
      </c>
      <c r="F2761" s="4">
        <v>10.0</v>
      </c>
      <c r="G2761" s="4" t="s">
        <v>4778</v>
      </c>
    </row>
    <row r="2762">
      <c r="A2762" s="1">
        <v>2760.0</v>
      </c>
      <c r="B2762" s="4" t="s">
        <v>4758</v>
      </c>
      <c r="C2762" s="4" t="str">
        <f>IFERROR(__xludf.DUMMYFUNCTION("GOOGLETRANSLATE(D:D,""auto"",""en"")"),"Jordan cried")</f>
        <v>Jordan cried</v>
      </c>
      <c r="D2762" s="4" t="s">
        <v>4779</v>
      </c>
      <c r="E2762" s="4">
        <v>1.1148114E7</v>
      </c>
      <c r="F2762" s="4">
        <v>11.0</v>
      </c>
      <c r="G2762" s="4" t="s">
        <v>4780</v>
      </c>
    </row>
    <row r="2763">
      <c r="A2763" s="1">
        <v>2761.0</v>
      </c>
      <c r="B2763" s="4" t="s">
        <v>4758</v>
      </c>
      <c r="C2763" s="4" t="str">
        <f>IFERROR(__xludf.DUMMYFUNCTION("GOOGLETRANSLATE(D:D,""auto"",""en"")"),"Sin can be sweet")</f>
        <v>Sin can be sweet</v>
      </c>
      <c r="D2763" s="4" t="s">
        <v>4781</v>
      </c>
      <c r="E2763" s="4">
        <v>1.0952106E7</v>
      </c>
      <c r="F2763" s="4">
        <v>12.0</v>
      </c>
      <c r="G2763" s="4" t="s">
        <v>4782</v>
      </c>
    </row>
    <row r="2764">
      <c r="A2764" s="1">
        <v>2762.0</v>
      </c>
      <c r="B2764" s="4" t="s">
        <v>4758</v>
      </c>
      <c r="C2764" s="4" t="str">
        <f>IFERROR(__xludf.DUMMYFUNCTION("GOOGLETRANSLATE(D:D,""auto"",""en"")"),"Zhang Yu sword as if the card screen")</f>
        <v>Zhang Yu sword as if the card screen</v>
      </c>
      <c r="D2764" s="4" t="s">
        <v>4783</v>
      </c>
      <c r="E2764" s="4">
        <v>1.0855732E7</v>
      </c>
      <c r="F2764" s="4">
        <v>13.0</v>
      </c>
      <c r="G2764" s="4" t="s">
        <v>4784</v>
      </c>
    </row>
    <row r="2765">
      <c r="A2765" s="1">
        <v>2763.0</v>
      </c>
      <c r="B2765" s="4" t="s">
        <v>4758</v>
      </c>
      <c r="C2765" s="4" t="str">
        <f>IFERROR(__xludf.DUMMYFUNCTION("GOOGLETRANSLATE(D:D,""auto"",""en"")"),"Li Jiaqi hair long article denounced violence network")</f>
        <v>Li Jiaqi hair long article denounced violence network</v>
      </c>
      <c r="D2765" s="4" t="s">
        <v>4716</v>
      </c>
      <c r="E2765" s="4">
        <v>1.0794744E7</v>
      </c>
      <c r="F2765" s="4">
        <v>14.0</v>
      </c>
      <c r="G2765" s="4" t="s">
        <v>4717</v>
      </c>
    </row>
    <row r="2766">
      <c r="A2766" s="1">
        <v>2764.0</v>
      </c>
      <c r="B2766" s="4" t="s">
        <v>4758</v>
      </c>
      <c r="C2766" s="4" t="str">
        <f>IFERROR(__xludf.DUMMYFUNCTION("GOOGLETRANSLATE(D:D,""auto"",""en"")"),"When the Vulcan Mountain in ICU nurse from work")</f>
        <v>When the Vulcan Mountain in ICU nurse from work</v>
      </c>
      <c r="D2766" s="4" t="s">
        <v>4785</v>
      </c>
      <c r="E2766" s="4">
        <v>1.0560013E7</v>
      </c>
      <c r="F2766" s="4">
        <v>15.0</v>
      </c>
      <c r="G2766" s="4" t="s">
        <v>4786</v>
      </c>
    </row>
    <row r="2767">
      <c r="A2767" s="1">
        <v>2765.0</v>
      </c>
      <c r="B2767" s="4" t="s">
        <v>4758</v>
      </c>
      <c r="C2767" s="4" t="str">
        <f>IFERROR(__xludf.DUMMYFUNCTION("GOOGLETRANSLATE(D:D,""auto"",""en"")"),"Bryant memorial")</f>
        <v>Bryant memorial</v>
      </c>
      <c r="D2767" s="4" t="s">
        <v>4787</v>
      </c>
      <c r="E2767" s="4">
        <v>1.0361993E7</v>
      </c>
      <c r="F2767" s="4">
        <v>16.0</v>
      </c>
      <c r="G2767" s="4" t="s">
        <v>4788</v>
      </c>
    </row>
    <row r="2768">
      <c r="A2768" s="1">
        <v>2766.0</v>
      </c>
      <c r="B2768" s="4" t="s">
        <v>4758</v>
      </c>
      <c r="C2768" s="4" t="str">
        <f>IFERROR(__xludf.DUMMYFUNCTION("GOOGLETRANSLATE(D:D,""auto"",""en"")"),"Liverpool's 18 Premier League winning streak")</f>
        <v>Liverpool's 18 Premier League winning streak</v>
      </c>
      <c r="D2768" s="4" t="s">
        <v>4789</v>
      </c>
      <c r="E2768" s="4">
        <v>1.0336418E7</v>
      </c>
      <c r="F2768" s="4">
        <v>17.0</v>
      </c>
      <c r="G2768" s="4" t="s">
        <v>4790</v>
      </c>
    </row>
    <row r="2769">
      <c r="A2769" s="1">
        <v>2767.0</v>
      </c>
      <c r="B2769" s="4" t="s">
        <v>4758</v>
      </c>
      <c r="C2769" s="4" t="str">
        <f>IFERROR(__xludf.DUMMYFUNCTION("GOOGLETRANSLATE(D:D,""auto"",""en"")"),"Henan cancel all high-speed toll control measures")</f>
        <v>Henan cancel all high-speed toll control measures</v>
      </c>
      <c r="D2769" s="4" t="s">
        <v>4791</v>
      </c>
      <c r="E2769" s="4">
        <v>1.0206995E7</v>
      </c>
      <c r="F2769" s="4">
        <v>18.0</v>
      </c>
      <c r="G2769" s="4" t="s">
        <v>4792</v>
      </c>
    </row>
    <row r="2770">
      <c r="A2770" s="1">
        <v>2768.0</v>
      </c>
      <c r="B2770" s="4" t="s">
        <v>4758</v>
      </c>
      <c r="C2770" s="4" t="str">
        <f>IFERROR(__xludf.DUMMYFUNCTION("GOOGLETRANSLATE(D:D,""auto"",""en"")"),"Netherlands brother learned how not spoilers")</f>
        <v>Netherlands brother learned how not spoilers</v>
      </c>
      <c r="D2770" s="4" t="s">
        <v>4793</v>
      </c>
      <c r="E2770" s="4">
        <v>1.0046384E7</v>
      </c>
      <c r="F2770" s="4">
        <v>19.0</v>
      </c>
      <c r="G2770" s="4" t="s">
        <v>4794</v>
      </c>
    </row>
    <row r="2771">
      <c r="A2771" s="1">
        <v>2769.0</v>
      </c>
      <c r="B2771" s="4" t="s">
        <v>4758</v>
      </c>
      <c r="C2771" s="4" t="str">
        <f>IFERROR(__xludf.DUMMYFUNCTION("GOOGLETRANSLATE(D:D,""auto"",""en"")"),"It may be the last to stay up late Bryant")</f>
        <v>It may be the last to stay up late Bryant</v>
      </c>
      <c r="D2771" s="4" t="s">
        <v>4795</v>
      </c>
      <c r="E2771" s="4">
        <v>1.0007691E7</v>
      </c>
      <c r="F2771" s="4">
        <v>20.0</v>
      </c>
      <c r="G2771" s="4" t="s">
        <v>4796</v>
      </c>
    </row>
    <row r="2772">
      <c r="A2772" s="1">
        <v>2770.0</v>
      </c>
      <c r="B2772" s="4" t="s">
        <v>4758</v>
      </c>
      <c r="C2772" s="4" t="str">
        <f>IFERROR(__xludf.DUMMYFUNCTION("GOOGLETRANSLATE(D:D,""auto"",""en"")"),"Medical staff diagnosed over 90% from Hubei")</f>
        <v>Medical staff diagnosed over 90% from Hubei</v>
      </c>
      <c r="D2772" s="4" t="s">
        <v>4797</v>
      </c>
      <c r="E2772" s="4">
        <v>9959271.0</v>
      </c>
      <c r="F2772" s="4">
        <v>21.0</v>
      </c>
      <c r="G2772" s="4" t="s">
        <v>4798</v>
      </c>
    </row>
    <row r="2773">
      <c r="A2773" s="1">
        <v>2771.0</v>
      </c>
      <c r="B2773" s="4" t="s">
        <v>4758</v>
      </c>
      <c r="C2773" s="4" t="str">
        <f>IFERROR(__xludf.DUMMYFUNCTION("GOOGLETRANSLATE(D:D,""auto"",""en"")"),"Hubei new confirmed cases 499 cases")</f>
        <v>Hubei new confirmed cases 499 cases</v>
      </c>
      <c r="D2773" s="4" t="s">
        <v>4799</v>
      </c>
      <c r="E2773" s="4">
        <v>9914929.0</v>
      </c>
      <c r="F2773" s="4">
        <v>22.0</v>
      </c>
      <c r="G2773" s="4" t="s">
        <v>4800</v>
      </c>
    </row>
    <row r="2774">
      <c r="A2774" s="1">
        <v>2772.0</v>
      </c>
      <c r="B2774" s="4" t="s">
        <v>4758</v>
      </c>
      <c r="C2774" s="4" t="str">
        <f>IFERROR(__xludf.DUMMYFUNCTION("GOOGLETRANSLATE(D:D,""auto"",""en"")"),"Jingzhou Li is now the Foshan Li refueling now")</f>
        <v>Jingzhou Li is now the Foshan Li refueling now</v>
      </c>
      <c r="D2774" s="4" t="s">
        <v>4801</v>
      </c>
      <c r="E2774" s="4">
        <v>9878942.0</v>
      </c>
      <c r="F2774" s="4">
        <v>23.0</v>
      </c>
      <c r="G2774" s="4" t="s">
        <v>4802</v>
      </c>
    </row>
    <row r="2775">
      <c r="A2775" s="1">
        <v>2773.0</v>
      </c>
      <c r="B2775" s="4" t="s">
        <v>4758</v>
      </c>
      <c r="C2775" s="4" t="str">
        <f>IFERROR(__xludf.DUMMYFUNCTION("GOOGLETRANSLATE(D:D,""auto"",""en"")"),"South Korea confirmed sick aunt to participate in cult activities")</f>
        <v>South Korea confirmed sick aunt to participate in cult activities</v>
      </c>
      <c r="D2775" s="4" t="s">
        <v>4803</v>
      </c>
      <c r="E2775" s="4">
        <v>9776090.0</v>
      </c>
      <c r="F2775" s="4">
        <v>24.0</v>
      </c>
      <c r="G2775" s="4" t="s">
        <v>4804</v>
      </c>
    </row>
    <row r="2776">
      <c r="A2776" s="1">
        <v>2774.0</v>
      </c>
      <c r="B2776" s="4" t="s">
        <v>4758</v>
      </c>
      <c r="C2776" s="4" t="str">
        <f>IFERROR(__xludf.DUMMYFUNCTION("GOOGLETRANSLATE(D:D,""auto"",""en"")"),"The national total of 77,658 cases of pneumonia diagnosed with the new crown")</f>
        <v>The national total of 77,658 cases of pneumonia diagnosed with the new crown</v>
      </c>
      <c r="D2776" s="4" t="s">
        <v>4805</v>
      </c>
      <c r="E2776" s="4">
        <v>9663898.0</v>
      </c>
      <c r="F2776" s="4">
        <v>25.0</v>
      </c>
      <c r="G2776" s="4" t="s">
        <v>4806</v>
      </c>
    </row>
    <row r="2777">
      <c r="A2777" s="1">
        <v>2775.0</v>
      </c>
      <c r="B2777" s="4" t="s">
        <v>4758</v>
      </c>
      <c r="C2777" s="4" t="str">
        <f>IFERROR(__xludf.DUMMYFUNCTION("GOOGLETRANSLATE(D:D,""auto"",""en"")"),"James Bryant memorial")</f>
        <v>James Bryant memorial</v>
      </c>
      <c r="D2777" s="4" t="s">
        <v>4807</v>
      </c>
      <c r="E2777" s="4">
        <v>9553535.0</v>
      </c>
      <c r="F2777" s="4">
        <v>26.0</v>
      </c>
      <c r="G2777" s="4" t="s">
        <v>4808</v>
      </c>
    </row>
    <row r="2778">
      <c r="A2778" s="1">
        <v>2776.0</v>
      </c>
      <c r="B2778" s="4" t="s">
        <v>4758</v>
      </c>
      <c r="C2778" s="4" t="str">
        <f>IFERROR(__xludf.DUMMYFUNCTION("GOOGLETRANSLATE(D:D,""auto"",""en"")"),"Jiang also academician Yuan's death")</f>
        <v>Jiang also academician Yuan's death</v>
      </c>
      <c r="D2778" s="4" t="s">
        <v>4809</v>
      </c>
      <c r="E2778" s="4">
        <v>9499203.0</v>
      </c>
      <c r="F2778" s="4">
        <v>27.0</v>
      </c>
      <c r="G2778" s="4" t="s">
        <v>4810</v>
      </c>
    </row>
    <row r="2779">
      <c r="A2779" s="1">
        <v>2777.0</v>
      </c>
      <c r="B2779" s="4" t="s">
        <v>4758</v>
      </c>
      <c r="C2779" s="4" t="str">
        <f>IFERROR(__xludf.DUMMYFUNCTION("GOOGLETRANSLATE(D:D,""auto"",""en"")"),"Yi Xi smelt one thousand military uniform style")</f>
        <v>Yi Xi smelt one thousand military uniform style</v>
      </c>
      <c r="D2779" s="4" t="s">
        <v>4674</v>
      </c>
      <c r="E2779" s="4">
        <v>9427985.0</v>
      </c>
      <c r="F2779" s="4">
        <v>28.0</v>
      </c>
      <c r="G2779" s="4" t="s">
        <v>4675</v>
      </c>
    </row>
    <row r="2780">
      <c r="A2780" s="1">
        <v>2778.0</v>
      </c>
      <c r="B2780" s="4" t="s">
        <v>4758</v>
      </c>
      <c r="C2780" s="4" t="str">
        <f>IFERROR(__xludf.DUMMYFUNCTION("GOOGLETRANSLATE(D:D,""auto"",""en"")"),"Small ears Haoheng")</f>
        <v>Small ears Haoheng</v>
      </c>
      <c r="D2780" s="4" t="s">
        <v>4811</v>
      </c>
      <c r="E2780" s="4">
        <v>9414542.0</v>
      </c>
      <c r="F2780" s="4">
        <v>29.0</v>
      </c>
      <c r="G2780" s="4" t="s">
        <v>4812</v>
      </c>
    </row>
    <row r="2781">
      <c r="A2781" s="1">
        <v>2779.0</v>
      </c>
      <c r="B2781" s="4" t="s">
        <v>4758</v>
      </c>
      <c r="C2781" s="4" t="str">
        <f>IFERROR(__xludf.DUMMYFUNCTION("GOOGLETRANSLATE(D:D,""auto"",""en"")"),"6-year-old brother domineering father responded education brother")</f>
        <v>6-year-old brother domineering father responded education brother</v>
      </c>
      <c r="D2781" s="4" t="s">
        <v>4813</v>
      </c>
      <c r="E2781" s="4">
        <v>9350812.0</v>
      </c>
      <c r="F2781" s="4">
        <v>30.0</v>
      </c>
      <c r="G2781" s="4" t="s">
        <v>4814</v>
      </c>
    </row>
    <row r="2782">
      <c r="A2782" s="1">
        <v>2780.0</v>
      </c>
      <c r="B2782" s="4" t="s">
        <v>4758</v>
      </c>
      <c r="C2782" s="4" t="str">
        <f>IFERROR(__xludf.DUMMYFUNCTION("GOOGLETRANSLATE(D:D,""auto"",""en"")"),"Guangdong ten million people are expected to return in batches")</f>
        <v>Guangdong ten million people are expected to return in batches</v>
      </c>
      <c r="D2782" s="4" t="s">
        <v>4815</v>
      </c>
      <c r="E2782" s="4">
        <v>9249710.0</v>
      </c>
      <c r="F2782" s="4">
        <v>31.0</v>
      </c>
      <c r="G2782" s="4" t="s">
        <v>4816</v>
      </c>
    </row>
    <row r="2783">
      <c r="A2783" s="1">
        <v>2781.0</v>
      </c>
      <c r="B2783" s="4" t="s">
        <v>4758</v>
      </c>
      <c r="C2783" s="4" t="str">
        <f>IFERROR(__xludf.DUMMYFUNCTION("GOOGLETRANSLATE(D:D,""auto"",""en"")"),"Yong should continue to strictly control away from the Han E channel")</f>
        <v>Yong should continue to strictly control away from the Han E channel</v>
      </c>
      <c r="D2783" s="4" t="s">
        <v>4817</v>
      </c>
      <c r="E2783" s="4">
        <v>9229246.0</v>
      </c>
      <c r="F2783" s="4">
        <v>32.0</v>
      </c>
      <c r="G2783" s="4" t="s">
        <v>4818</v>
      </c>
    </row>
    <row r="2784">
      <c r="A2784" s="1">
        <v>2782.0</v>
      </c>
      <c r="B2784" s="4" t="s">
        <v>4758</v>
      </c>
      <c r="C2784" s="4" t="str">
        <f>IFERROR(__xludf.DUMMYFUNCTION("GOOGLETRANSLATE(D:D,""auto"",""en"")"),"Hengshui secondary school principals to-air playground speech")</f>
        <v>Hengshui secondary school principals to-air playground speech</v>
      </c>
      <c r="D2784" s="4" t="s">
        <v>4819</v>
      </c>
      <c r="E2784" s="4">
        <v>9188072.0</v>
      </c>
      <c r="F2784" s="4">
        <v>33.0</v>
      </c>
      <c r="G2784" s="4" t="s">
        <v>4820</v>
      </c>
    </row>
    <row r="2785">
      <c r="A2785" s="1">
        <v>2783.0</v>
      </c>
      <c r="B2785" s="4" t="s">
        <v>4758</v>
      </c>
      <c r="C2785" s="4" t="str">
        <f>IFERROR(__xludf.DUMMYFUNCTION("GOOGLETRANSLATE(D:D,""auto"",""en"")"),"2G network Shen Teng")</f>
        <v>2G network Shen Teng</v>
      </c>
      <c r="D2785" s="4" t="s">
        <v>4821</v>
      </c>
      <c r="E2785" s="4">
        <v>9168636.0</v>
      </c>
      <c r="F2785" s="4">
        <v>34.0</v>
      </c>
      <c r="G2785" s="4" t="s">
        <v>4822</v>
      </c>
    </row>
    <row r="2786">
      <c r="A2786" s="1">
        <v>2784.0</v>
      </c>
      <c r="B2786" s="4" t="s">
        <v>4758</v>
      </c>
      <c r="C2786" s="4" t="str">
        <f>IFERROR(__xludf.DUMMYFUNCTION("GOOGLETRANSLATE(D:D,""auto"",""en"")"),"Hubei Province is the first time the Auxiliary collective record third class")</f>
        <v>Hubei Province is the first time the Auxiliary collective record third class</v>
      </c>
      <c r="D2786" s="4" t="s">
        <v>4823</v>
      </c>
      <c r="E2786" s="4">
        <v>9108706.0</v>
      </c>
      <c r="F2786" s="4">
        <v>35.0</v>
      </c>
      <c r="G2786" s="4" t="s">
        <v>4824</v>
      </c>
    </row>
    <row r="2787">
      <c r="A2787" s="1">
        <v>2785.0</v>
      </c>
      <c r="B2787" s="4" t="s">
        <v>4758</v>
      </c>
      <c r="C2787" s="4" t="str">
        <f>IFERROR(__xludf.DUMMYFUNCTION("GOOGLETRANSLATE(D:D,""auto"",""en"")"),"Chinese method is a method proved successful")</f>
        <v>Chinese method is a method proved successful</v>
      </c>
      <c r="D2787" s="4" t="s">
        <v>4825</v>
      </c>
      <c r="E2787" s="4">
        <v>9078641.0</v>
      </c>
      <c r="F2787" s="4">
        <v>36.0</v>
      </c>
      <c r="G2787" s="4" t="s">
        <v>4826</v>
      </c>
    </row>
    <row r="2788">
      <c r="A2788" s="1">
        <v>2786.0</v>
      </c>
      <c r="B2788" s="4" t="s">
        <v>4758</v>
      </c>
      <c r="C2788" s="4" t="str">
        <f>IFERROR(__xludf.DUMMYFUNCTION("GOOGLETRANSLATE(D:D,""auto"",""en"")"),"The new crown pneumonia remains non-global pandemic")</f>
        <v>The new crown pneumonia remains non-global pandemic</v>
      </c>
      <c r="D2788" s="4" t="s">
        <v>4827</v>
      </c>
      <c r="E2788" s="4">
        <v>9061577.0</v>
      </c>
      <c r="F2788" s="4">
        <v>37.0</v>
      </c>
      <c r="G2788" s="4" t="s">
        <v>4828</v>
      </c>
    </row>
    <row r="2789">
      <c r="A2789" s="1">
        <v>2787.0</v>
      </c>
      <c r="B2789" s="4" t="s">
        <v>4758</v>
      </c>
      <c r="C2789" s="4" t="str">
        <f>IFERROR(__xludf.DUMMYFUNCTION("GOOGLETRANSLATE(D:D,""auto"",""en"")"),"Seoul official response fly full flights Qingdao")</f>
        <v>Seoul official response fly full flights Qingdao</v>
      </c>
      <c r="D2789" s="4" t="s">
        <v>4829</v>
      </c>
      <c r="E2789" s="4">
        <v>9040400.0</v>
      </c>
      <c r="F2789" s="4">
        <v>38.0</v>
      </c>
      <c r="G2789" s="4" t="s">
        <v>4830</v>
      </c>
    </row>
    <row r="2790">
      <c r="A2790" s="1">
        <v>2788.0</v>
      </c>
      <c r="B2790" s="4" t="s">
        <v>4758</v>
      </c>
      <c r="C2790" s="4" t="str">
        <f>IFERROR(__xludf.DUMMYFUNCTION("GOOGLETRANSLATE(D:D,""auto"",""en"")"),"In the direction of Japan donor nucleic acid detection kit")</f>
        <v>In the direction of Japan donor nucleic acid detection kit</v>
      </c>
      <c r="D2790" s="4" t="s">
        <v>4831</v>
      </c>
      <c r="E2790" s="4">
        <v>9031082.0</v>
      </c>
      <c r="F2790" s="4">
        <v>39.0</v>
      </c>
      <c r="G2790" s="4" t="s">
        <v>4832</v>
      </c>
    </row>
    <row r="2791">
      <c r="A2791" s="1">
        <v>2789.0</v>
      </c>
      <c r="B2791" s="4" t="s">
        <v>4758</v>
      </c>
      <c r="C2791" s="4" t="str">
        <f>IFERROR(__xludf.DUMMYFUNCTION("GOOGLETRANSLATE(D:D,""auto"",""en"")"),"Now is the time to Sahuan children yet")</f>
        <v>Now is the time to Sahuan children yet</v>
      </c>
      <c r="D2791" s="4" t="s">
        <v>4700</v>
      </c>
      <c r="E2791" s="4">
        <v>9021710.0</v>
      </c>
      <c r="F2791" s="4">
        <v>40.0</v>
      </c>
      <c r="G2791" s="4" t="s">
        <v>4701</v>
      </c>
    </row>
    <row r="2792">
      <c r="A2792" s="1">
        <v>2790.0</v>
      </c>
      <c r="B2792" s="4" t="s">
        <v>4758</v>
      </c>
      <c r="C2792" s="4" t="str">
        <f>IFERROR(__xludf.DUMMYFUNCTION("GOOGLETRANSLATE(D:D,""auto"",""en"")"),"0 growth in the region of 28 days to re-assured")</f>
        <v>0 growth in the region of 28 days to re-assured</v>
      </c>
      <c r="D2792" s="4" t="s">
        <v>4833</v>
      </c>
      <c r="E2792" s="4">
        <v>8964539.0</v>
      </c>
      <c r="F2792" s="4">
        <v>41.0</v>
      </c>
      <c r="G2792" s="4" t="s">
        <v>4834</v>
      </c>
    </row>
    <row r="2793">
      <c r="A2793" s="1">
        <v>2791.0</v>
      </c>
      <c r="B2793" s="4" t="s">
        <v>4758</v>
      </c>
      <c r="C2793" s="4" t="str">
        <f>IFERROR(__xludf.DUMMYFUNCTION("GOOGLETRANSLATE(D:D,""auto"",""en"")"),"Jiangsu Province, a response adjustment for the two")</f>
        <v>Jiangsu Province, a response adjustment for the two</v>
      </c>
      <c r="D2793" s="4" t="s">
        <v>4835</v>
      </c>
      <c r="E2793" s="4">
        <v>8960960.0</v>
      </c>
      <c r="F2793" s="4">
        <v>42.0</v>
      </c>
      <c r="G2793" s="4" t="s">
        <v>4836</v>
      </c>
    </row>
    <row r="2794">
      <c r="A2794" s="1">
        <v>2792.0</v>
      </c>
      <c r="B2794" s="4" t="s">
        <v>4758</v>
      </c>
      <c r="C2794" s="4" t="str">
        <f>IFERROR(__xludf.DUMMYFUNCTION("GOOGLETRANSLATE(D:D,""auto"",""en"")"),"WHO says China has passed the peak of the epidemic")</f>
        <v>WHO says China has passed the peak of the epidemic</v>
      </c>
      <c r="D2794" s="4" t="s">
        <v>4837</v>
      </c>
      <c r="E2794" s="4">
        <v>8941047.0</v>
      </c>
      <c r="F2794" s="4">
        <v>43.0</v>
      </c>
      <c r="G2794" s="4" t="s">
        <v>4838</v>
      </c>
    </row>
    <row r="2795">
      <c r="A2795" s="1">
        <v>2793.0</v>
      </c>
      <c r="B2795" s="4" t="s">
        <v>4758</v>
      </c>
      <c r="C2795" s="4" t="str">
        <f>IFERROR(__xludf.DUMMYFUNCTION("GOOGLETRANSLATE(D:D,""auto"",""en"")"),"Sun Li sneaked into the intermediary undercover intern")</f>
        <v>Sun Li sneaked into the intermediary undercover intern</v>
      </c>
      <c r="D2795" s="4" t="s">
        <v>4839</v>
      </c>
      <c r="E2795" s="4">
        <v>8909521.0</v>
      </c>
      <c r="F2795" s="4">
        <v>44.0</v>
      </c>
      <c r="G2795" s="4" t="s">
        <v>4840</v>
      </c>
    </row>
    <row r="2796">
      <c r="A2796" s="1">
        <v>2794.0</v>
      </c>
      <c r="B2796" s="4" t="s">
        <v>4758</v>
      </c>
      <c r="C2796" s="4" t="str">
        <f>IFERROR(__xludf.DUMMYFUNCTION("GOOGLETRANSLATE(D:D,""auto"",""en"")"),"WHO expert evaluation heard little sister choked translation")</f>
        <v>WHO expert evaluation heard little sister choked translation</v>
      </c>
      <c r="D2796" s="4" t="s">
        <v>4841</v>
      </c>
      <c r="E2796" s="4">
        <v>8899145.0</v>
      </c>
      <c r="F2796" s="4">
        <v>45.0</v>
      </c>
      <c r="G2796" s="4" t="s">
        <v>4842</v>
      </c>
    </row>
    <row r="2797">
      <c r="A2797" s="1">
        <v>2795.0</v>
      </c>
      <c r="B2797" s="4" t="s">
        <v>4758</v>
      </c>
      <c r="C2797" s="4" t="str">
        <f>IFERROR(__xludf.DUMMYFUNCTION("GOOGLETRANSLATE(D:D,""auto"",""en"")"),"Message Du Fuguo Contagion sister line")</f>
        <v>Message Du Fuguo Contagion sister line</v>
      </c>
      <c r="D2797" s="4" t="s">
        <v>4843</v>
      </c>
      <c r="E2797" s="4">
        <v>8801625.0</v>
      </c>
      <c r="F2797" s="4">
        <v>46.0</v>
      </c>
      <c r="G2797" s="4" t="s">
        <v>4844</v>
      </c>
    </row>
    <row r="2798">
      <c r="A2798" s="1">
        <v>2796.0</v>
      </c>
      <c r="B2798" s="4" t="s">
        <v>4758</v>
      </c>
      <c r="C2798" s="4" t="str">
        <f>IFERROR(__xludf.DUMMYFUNCTION("GOOGLETRANSLATE(D:D,""auto"",""en"")"),"Aaron Kwok mother died")</f>
        <v>Aaron Kwok mother died</v>
      </c>
      <c r="D2798" s="4" t="s">
        <v>4845</v>
      </c>
      <c r="E2798" s="4">
        <v>8692820.0</v>
      </c>
      <c r="F2798" s="4">
        <v>47.0</v>
      </c>
      <c r="G2798" s="4" t="s">
        <v>4846</v>
      </c>
    </row>
    <row r="2799">
      <c r="A2799" s="1">
        <v>2797.0</v>
      </c>
      <c r="B2799" s="4" t="s">
        <v>4758</v>
      </c>
      <c r="C2799" s="4" t="str">
        <f>IFERROR(__xludf.DUMMYFUNCTION("GOOGLETRANSLATE(D:D,""auto"",""en"")"),"South Korean people line up buying a few hundred meters masks")</f>
        <v>South Korean people line up buying a few hundred meters masks</v>
      </c>
      <c r="D2799" s="4" t="s">
        <v>4847</v>
      </c>
      <c r="E2799" s="4">
        <v>8617081.0</v>
      </c>
      <c r="F2799" s="4">
        <v>48.0</v>
      </c>
      <c r="G2799" s="4" t="s">
        <v>4848</v>
      </c>
    </row>
    <row r="2800">
      <c r="A2800" s="1">
        <v>2798.0</v>
      </c>
      <c r="B2800" s="4" t="s">
        <v>4758</v>
      </c>
      <c r="C2800" s="4" t="str">
        <f>IFERROR(__xludf.DUMMYFUNCTION("GOOGLETRANSLATE(D:D,""auto"",""en"")"),"Yi Xi smelt one thousand dirty jeans")</f>
        <v>Yi Xi smelt one thousand dirty jeans</v>
      </c>
      <c r="D2800" s="4" t="s">
        <v>4849</v>
      </c>
      <c r="E2800" s="4">
        <v>8515471.0</v>
      </c>
      <c r="F2800" s="4">
        <v>49.0</v>
      </c>
      <c r="G2800" s="4" t="s">
        <v>4850</v>
      </c>
    </row>
    <row r="2801">
      <c r="A2801" s="1">
        <v>2799.0</v>
      </c>
      <c r="B2801" s="4" t="s">
        <v>4758</v>
      </c>
      <c r="C2801" s="4" t="str">
        <f>IFERROR(__xludf.DUMMYFUNCTION("GOOGLETRANSLATE(D:D,""auto"",""en"")"),"Shanghai there are seven cases of confirmed cases were discharged")</f>
        <v>Shanghai there are seven cases of confirmed cases were discharged</v>
      </c>
      <c r="D2801" s="4" t="s">
        <v>4851</v>
      </c>
      <c r="E2801" s="4">
        <v>8511402.0</v>
      </c>
      <c r="F2801" s="4">
        <v>50.0</v>
      </c>
      <c r="G2801" s="4" t="s">
        <v>4852</v>
      </c>
    </row>
    <row r="2802">
      <c r="A2802" s="1">
        <v>2800.0</v>
      </c>
      <c r="B2802" s="4" t="s">
        <v>4853</v>
      </c>
      <c r="C2802" s="4" t="str">
        <f>IFERROR(__xludf.DUMMYFUNCTION("GOOGLETRANSLATE(D:D,""auto"",""en"")"),"Petit testers")</f>
        <v>Petit testers</v>
      </c>
      <c r="D2802" s="4" t="s">
        <v>4854</v>
      </c>
      <c r="E2802" s="4">
        <v>1.2347177E7</v>
      </c>
      <c r="F2802" s="4">
        <v>1.0</v>
      </c>
      <c r="G2802" s="4" t="s">
        <v>4855</v>
      </c>
    </row>
    <row r="2803">
      <c r="A2803" s="1">
        <v>2801.0</v>
      </c>
      <c r="B2803" s="4" t="s">
        <v>4853</v>
      </c>
      <c r="C2803" s="4" t="str">
        <f>IFERROR(__xludf.DUMMYFUNCTION("GOOGLETRANSLATE(D:D,""auto"",""en"")"),"The national total of 78,064 cases of pneumonia diagnosed with the new crown")</f>
        <v>The national total of 78,064 cases of pneumonia diagnosed with the new crown</v>
      </c>
      <c r="D2803" s="4" t="s">
        <v>4856</v>
      </c>
      <c r="E2803" s="4">
        <v>1.0646619E7</v>
      </c>
      <c r="F2803" s="4">
        <v>2.0</v>
      </c>
      <c r="G2803" s="4" t="s">
        <v>4857</v>
      </c>
    </row>
    <row r="2804">
      <c r="A2804" s="1">
        <v>2802.0</v>
      </c>
      <c r="B2804" s="4" t="s">
        <v>4853</v>
      </c>
      <c r="C2804" s="4" t="str">
        <f>IFERROR(__xludf.DUMMYFUNCTION("GOOGLETRANSLATE(D:D,""auto"",""en"")"),"Hubei new confirmed cases 401 cases")</f>
        <v>Hubei new confirmed cases 401 cases</v>
      </c>
      <c r="D2804" s="4" t="s">
        <v>4858</v>
      </c>
      <c r="E2804" s="4">
        <v>1.0437429E7</v>
      </c>
      <c r="F2804" s="4">
        <v>3.0</v>
      </c>
      <c r="G2804" s="4" t="s">
        <v>4859</v>
      </c>
    </row>
    <row r="2805">
      <c r="A2805" s="1">
        <v>2803.0</v>
      </c>
      <c r="B2805" s="4" t="s">
        <v>4853</v>
      </c>
      <c r="C2805" s="4" t="str">
        <f>IFERROR(__xludf.DUMMYFUNCTION("GOOGLETRANSLATE(D:D,""auto"",""en"")"),"Small ears Haoheng")</f>
        <v>Small ears Haoheng</v>
      </c>
      <c r="D2805" s="4" t="s">
        <v>4811</v>
      </c>
      <c r="E2805" s="4">
        <v>1.0163455E7</v>
      </c>
      <c r="F2805" s="4">
        <v>4.0</v>
      </c>
      <c r="G2805" s="4" t="s">
        <v>4812</v>
      </c>
    </row>
    <row r="2806">
      <c r="A2806" s="1">
        <v>2804.0</v>
      </c>
      <c r="B2806" s="4" t="s">
        <v>4853</v>
      </c>
      <c r="C2806" s="4" t="str">
        <f>IFERROR(__xludf.DUMMYFUNCTION("GOOGLETRANSLATE(D:D,""auto"",""en"")"),"Jingzhou Li is now the Foshan Li refueling now")</f>
        <v>Jingzhou Li is now the Foshan Li refueling now</v>
      </c>
      <c r="D2806" s="4" t="s">
        <v>4801</v>
      </c>
      <c r="E2806" s="4">
        <v>9908627.0</v>
      </c>
      <c r="F2806" s="4">
        <v>5.0</v>
      </c>
      <c r="G2806" s="4" t="s">
        <v>4802</v>
      </c>
    </row>
    <row r="2807">
      <c r="A2807" s="1">
        <v>2805.0</v>
      </c>
      <c r="B2807" s="4" t="s">
        <v>4853</v>
      </c>
      <c r="C2807" s="4" t="str">
        <f>IFERROR(__xludf.DUMMYFUNCTION("GOOGLETRANSLATE(D:D,""auto"",""en"")"),"6-year-old brother domineering father responded education brother")</f>
        <v>6-year-old brother domineering father responded education brother</v>
      </c>
      <c r="D2807" s="4" t="s">
        <v>4813</v>
      </c>
      <c r="E2807" s="4">
        <v>9764164.0</v>
      </c>
      <c r="F2807" s="4">
        <v>6.0</v>
      </c>
      <c r="G2807" s="4" t="s">
        <v>4814</v>
      </c>
    </row>
    <row r="2808">
      <c r="A2808" s="1">
        <v>2806.0</v>
      </c>
      <c r="B2808" s="4" t="s">
        <v>4853</v>
      </c>
      <c r="C2808" s="4" t="str">
        <f>IFERROR(__xludf.DUMMYFUNCTION("GOOGLETRANSLATE(D:D,""auto"",""en"")"),"Wu Bai concert do not have to sing")</f>
        <v>Wu Bai concert do not have to sing</v>
      </c>
      <c r="D2808" s="4" t="s">
        <v>4860</v>
      </c>
      <c r="E2808" s="4">
        <v>9516522.0</v>
      </c>
      <c r="F2808" s="4">
        <v>7.0</v>
      </c>
      <c r="G2808" s="4" t="s">
        <v>4861</v>
      </c>
    </row>
    <row r="2809">
      <c r="A2809" s="1">
        <v>2807.0</v>
      </c>
      <c r="B2809" s="4" t="s">
        <v>4853</v>
      </c>
      <c r="C2809" s="4" t="str">
        <f>IFERROR(__xludf.DUMMYFUNCTION("GOOGLETRANSLATE(D:D,""auto"",""en"")"),"Huang Zaitao kiss the ring")</f>
        <v>Huang Zaitao kiss the ring</v>
      </c>
      <c r="D2809" s="4" t="s">
        <v>4862</v>
      </c>
      <c r="E2809" s="4">
        <v>9504362.0</v>
      </c>
      <c r="F2809" s="4">
        <v>8.0</v>
      </c>
      <c r="G2809" s="4" t="s">
        <v>4863</v>
      </c>
    </row>
    <row r="2810">
      <c r="A2810" s="1">
        <v>2808.0</v>
      </c>
      <c r="B2810" s="4" t="s">
        <v>4853</v>
      </c>
      <c r="C2810" s="4" t="str">
        <f>IFERROR(__xludf.DUMMYFUNCTION("GOOGLETRANSLATE(D:D,""auto"",""en"")"),"Li Jiaqi forgot to turn off live")</f>
        <v>Li Jiaqi forgot to turn off live</v>
      </c>
      <c r="D2810" s="4" t="s">
        <v>4864</v>
      </c>
      <c r="E2810" s="4">
        <v>9497308.0</v>
      </c>
      <c r="F2810" s="4">
        <v>9.0</v>
      </c>
      <c r="G2810" s="4" t="s">
        <v>4865</v>
      </c>
    </row>
    <row r="2811">
      <c r="A2811" s="1">
        <v>2809.0</v>
      </c>
      <c r="B2811" s="4" t="s">
        <v>4853</v>
      </c>
      <c r="C2811" s="4" t="str">
        <f>IFERROR(__xludf.DUMMYFUNCTION("GOOGLETRANSLATE(D:D,""auto"",""en"")"),"Sin can be sweet")</f>
        <v>Sin can be sweet</v>
      </c>
      <c r="D2811" s="4" t="s">
        <v>4781</v>
      </c>
      <c r="E2811" s="4">
        <v>9470164.0</v>
      </c>
      <c r="F2811" s="4">
        <v>10.0</v>
      </c>
      <c r="G2811" s="4" t="s">
        <v>4782</v>
      </c>
    </row>
    <row r="2812">
      <c r="A2812" s="1">
        <v>2810.0</v>
      </c>
      <c r="B2812" s="4" t="s">
        <v>4853</v>
      </c>
      <c r="C2812" s="4" t="str">
        <f>IFERROR(__xludf.DUMMYFUNCTION("GOOGLETRANSLATE(D:D,""auto"",""en"")"),"Laiguan Lin back hate friends")</f>
        <v>Laiguan Lin back hate friends</v>
      </c>
      <c r="D2812" s="4" t="s">
        <v>4866</v>
      </c>
      <c r="E2812" s="4">
        <v>9249765.0</v>
      </c>
      <c r="F2812" s="4">
        <v>11.0</v>
      </c>
      <c r="G2812" s="4" t="s">
        <v>4867</v>
      </c>
    </row>
    <row r="2813">
      <c r="A2813" s="1">
        <v>2811.0</v>
      </c>
      <c r="B2813" s="4" t="s">
        <v>4853</v>
      </c>
      <c r="C2813" s="4" t="str">
        <f>IFERROR(__xludf.DUMMYFUNCTION("GOOGLETRANSLATE(D:D,""auto"",""en"")"),"Chen Shu Shredded slag male")</f>
        <v>Chen Shu Shredded slag male</v>
      </c>
      <c r="D2813" s="4" t="s">
        <v>4868</v>
      </c>
      <c r="E2813" s="4">
        <v>9056579.0</v>
      </c>
      <c r="F2813" s="4">
        <v>12.0</v>
      </c>
      <c r="G2813" s="4" t="s">
        <v>4869</v>
      </c>
    </row>
    <row r="2814">
      <c r="A2814" s="1">
        <v>2812.0</v>
      </c>
      <c r="B2814" s="4" t="s">
        <v>4853</v>
      </c>
      <c r="C2814" s="4" t="str">
        <f>IFERROR(__xludf.DUMMYFUNCTION("GOOGLETRANSLATE(D:D,""auto"",""en"")"),"Lee Hom sang Wuhan medical aid Fans")</f>
        <v>Lee Hom sang Wuhan medical aid Fans</v>
      </c>
      <c r="D2814" s="4" t="s">
        <v>4870</v>
      </c>
      <c r="E2814" s="4">
        <v>8778248.0</v>
      </c>
      <c r="F2814" s="4">
        <v>13.0</v>
      </c>
      <c r="G2814" s="4" t="s">
        <v>4871</v>
      </c>
    </row>
    <row r="2815">
      <c r="A2815" s="1">
        <v>2813.0</v>
      </c>
      <c r="B2815" s="4" t="s">
        <v>4853</v>
      </c>
      <c r="C2815" s="4" t="str">
        <f>IFERROR(__xludf.DUMMYFUNCTION("GOOGLETRANSLATE(D:D,""auto"",""en"")"),"Smile help all the people dou Contagion")</f>
        <v>Smile help all the people dou Contagion</v>
      </c>
      <c r="D2815" s="4" t="s">
        <v>4682</v>
      </c>
      <c r="E2815" s="4">
        <v>8701606.0</v>
      </c>
      <c r="F2815" s="4">
        <v>14.0</v>
      </c>
      <c r="G2815" s="4" t="s">
        <v>4683</v>
      </c>
    </row>
    <row r="2816">
      <c r="A2816" s="1">
        <v>2814.0</v>
      </c>
      <c r="B2816" s="4" t="s">
        <v>4853</v>
      </c>
      <c r="C2816" s="4" t="str">
        <f>IFERROR(__xludf.DUMMYFUNCTION("GOOGLETRANSLATE(D:D,""auto"",""en"")"),"Hubei local medical aid team won the highest specifications courtesy")</f>
        <v>Hubei local medical aid team won the highest specifications courtesy</v>
      </c>
      <c r="D2816" s="4" t="s">
        <v>4872</v>
      </c>
      <c r="E2816" s="4">
        <v>8698559.0</v>
      </c>
      <c r="F2816" s="4">
        <v>15.0</v>
      </c>
      <c r="G2816" s="4" t="s">
        <v>4873</v>
      </c>
    </row>
    <row r="2817">
      <c r="A2817" s="1">
        <v>2815.0</v>
      </c>
      <c r="B2817" s="4" t="s">
        <v>4853</v>
      </c>
      <c r="C2817" s="4" t="str">
        <f>IFERROR(__xludf.DUMMYFUNCTION("GOOGLETRANSLATE(D:D,""auto"",""en"")"),"South Korea confirmed a total of 1146 cases of pneumonia new crown")</f>
        <v>South Korea confirmed a total of 1146 cases of pneumonia new crown</v>
      </c>
      <c r="D2817" s="4" t="s">
        <v>4874</v>
      </c>
      <c r="E2817" s="4">
        <v>8575888.0</v>
      </c>
      <c r="F2817" s="4">
        <v>16.0</v>
      </c>
      <c r="G2817" s="4" t="s">
        <v>4875</v>
      </c>
    </row>
    <row r="2818">
      <c r="A2818" s="1">
        <v>2816.0</v>
      </c>
      <c r="B2818" s="4" t="s">
        <v>4853</v>
      </c>
      <c r="C2818" s="4" t="str">
        <f>IFERROR(__xludf.DUMMYFUNCTION("GOOGLETRANSLATE(D:D,""auto"",""en"")"),"After school teacher wearing a mask is recommended teaching")</f>
        <v>After school teacher wearing a mask is recommended teaching</v>
      </c>
      <c r="D2818" s="4" t="s">
        <v>4876</v>
      </c>
      <c r="E2818" s="4">
        <v>8540817.0</v>
      </c>
      <c r="F2818" s="4">
        <v>17.0</v>
      </c>
      <c r="G2818" s="4" t="s">
        <v>4877</v>
      </c>
    </row>
    <row r="2819">
      <c r="A2819" s="1">
        <v>2817.0</v>
      </c>
      <c r="B2819" s="4" t="s">
        <v>4853</v>
      </c>
      <c r="C2819" s="4" t="str">
        <f>IFERROR(__xludf.DUMMYFUNCTION("GOOGLETRANSLATE(D:D,""auto"",""en"")"),"Iran's Deputy Minister of the Ministry of Health confirmed the new crown pneumonia")</f>
        <v>Iran's Deputy Minister of the Ministry of Health confirmed the new crown pneumonia</v>
      </c>
      <c r="D2819" s="4" t="s">
        <v>4878</v>
      </c>
      <c r="E2819" s="4">
        <v>8446502.0</v>
      </c>
      <c r="F2819" s="4">
        <v>18.0</v>
      </c>
      <c r="G2819" s="4" t="s">
        <v>4879</v>
      </c>
    </row>
    <row r="2820">
      <c r="A2820" s="1">
        <v>2818.0</v>
      </c>
      <c r="B2820" s="4" t="s">
        <v>4853</v>
      </c>
      <c r="C2820" s="4" t="str">
        <f>IFERROR(__xludf.DUMMYFUNCTION("GOOGLETRANSLATE(D:D,""auto"",""en"")"),"Shiyan elderly died leaving 6-year-old grandson")</f>
        <v>Shiyan elderly died leaving 6-year-old grandson</v>
      </c>
      <c r="D2820" s="4" t="s">
        <v>4880</v>
      </c>
      <c r="E2820" s="4">
        <v>8353115.0</v>
      </c>
      <c r="F2820" s="4">
        <v>19.0</v>
      </c>
      <c r="G2820" s="4" t="s">
        <v>4881</v>
      </c>
    </row>
    <row r="2821">
      <c r="A2821" s="1">
        <v>2819.0</v>
      </c>
      <c r="B2821" s="4" t="s">
        <v>4853</v>
      </c>
      <c r="C2821" s="4" t="str">
        <f>IFERROR(__xludf.DUMMYFUNCTION("GOOGLETRANSLATE(D:D,""auto"",""en"")"),"Wu Ying opened up early")</f>
        <v>Wu Ying opened up early</v>
      </c>
      <c r="D2821" s="4" t="s">
        <v>4882</v>
      </c>
      <c r="E2821" s="4">
        <v>8297907.0</v>
      </c>
      <c r="F2821" s="4">
        <v>20.0</v>
      </c>
      <c r="G2821" s="4" t="s">
        <v>4883</v>
      </c>
    </row>
    <row r="2822">
      <c r="A2822" s="1">
        <v>2820.0</v>
      </c>
      <c r="B2822" s="4" t="s">
        <v>4853</v>
      </c>
      <c r="C2822" s="4" t="str">
        <f>IFERROR(__xludf.DUMMYFUNCTION("GOOGLETRANSLATE(D:D,""auto"",""en"")"),"The first Erfei Nan Jing flights found three passengers fever")</f>
        <v>The first Erfei Nan Jing flights found three passengers fever</v>
      </c>
      <c r="D2822" s="4" t="s">
        <v>4884</v>
      </c>
      <c r="E2822" s="4">
        <v>8230075.0</v>
      </c>
      <c r="F2822" s="4">
        <v>21.0</v>
      </c>
      <c r="G2822" s="4" t="s">
        <v>4885</v>
      </c>
    </row>
    <row r="2823">
      <c r="A2823" s="1">
        <v>2821.0</v>
      </c>
      <c r="B2823" s="4" t="s">
        <v>4853</v>
      </c>
      <c r="C2823" s="4" t="str">
        <f>IFERROR(__xludf.DUMMYFUNCTION("GOOGLETRANSLATE(D:D,""auto"",""en"")"),"Cadres not leave without permission to go out reconstruction Raytheon Hill")</f>
        <v>Cadres not leave without permission to go out reconstruction Raytheon Hill</v>
      </c>
      <c r="D2823" s="4" t="s">
        <v>4886</v>
      </c>
      <c r="E2823" s="4">
        <v>8183810.0</v>
      </c>
      <c r="F2823" s="4">
        <v>22.0</v>
      </c>
      <c r="G2823" s="4" t="s">
        <v>4887</v>
      </c>
    </row>
    <row r="2824">
      <c r="A2824" s="1">
        <v>2822.0</v>
      </c>
      <c r="B2824" s="4" t="s">
        <v>4853</v>
      </c>
      <c r="C2824" s="4" t="str">
        <f>IFERROR(__xludf.DUMMYFUNCTION("GOOGLETRANSLATE(D:D,""auto"",""en"")"),"Community Grid members incarnation ammunition brother")</f>
        <v>Community Grid members incarnation ammunition brother</v>
      </c>
      <c r="D2824" s="4" t="s">
        <v>4888</v>
      </c>
      <c r="E2824" s="4">
        <v>8156862.0</v>
      </c>
      <c r="F2824" s="4">
        <v>23.0</v>
      </c>
      <c r="G2824" s="4" t="s">
        <v>4889</v>
      </c>
    </row>
    <row r="2825">
      <c r="A2825" s="1">
        <v>2823.0</v>
      </c>
      <c r="B2825" s="4" t="s">
        <v>4853</v>
      </c>
      <c r="C2825" s="4" t="str">
        <f>IFERROR(__xludf.DUMMYFUNCTION("GOOGLETRANSLATE(D:D,""auto"",""en"")"),"Tokyo Olympic Games may be canceled")</f>
        <v>Tokyo Olympic Games may be canceled</v>
      </c>
      <c r="D2825" s="4" t="s">
        <v>4890</v>
      </c>
      <c r="E2825" s="4">
        <v>8139111.0</v>
      </c>
      <c r="F2825" s="4">
        <v>24.0</v>
      </c>
      <c r="G2825" s="4" t="s">
        <v>4891</v>
      </c>
    </row>
    <row r="2826">
      <c r="A2826" s="1">
        <v>2824.0</v>
      </c>
      <c r="B2826" s="4" t="s">
        <v>4853</v>
      </c>
      <c r="C2826" s="4" t="str">
        <f>IFERROR(__xludf.DUMMYFUNCTION("GOOGLETRANSLATE(D:D,""auto"",""en"")"),"UN Secretary-General thanked the Chinese people")</f>
        <v>UN Secretary-General thanked the Chinese people</v>
      </c>
      <c r="D2826" s="4" t="s">
        <v>4892</v>
      </c>
      <c r="E2826" s="4">
        <v>8126185.0</v>
      </c>
      <c r="F2826" s="4">
        <v>25.0</v>
      </c>
      <c r="G2826" s="4" t="s">
        <v>4893</v>
      </c>
    </row>
    <row r="2827">
      <c r="A2827" s="1">
        <v>2825.0</v>
      </c>
      <c r="B2827" s="4" t="s">
        <v>4853</v>
      </c>
      <c r="C2827" s="4" t="str">
        <f>IFERROR(__xludf.DUMMYFUNCTION("GOOGLETRANSLATE(D:D,""auto"",""en"")"),"Austria first confirmed cases of pneumonia in 2 cases the new crown")</f>
        <v>Austria first confirmed cases of pneumonia in 2 cases the new crown</v>
      </c>
      <c r="D2827" s="4" t="s">
        <v>4894</v>
      </c>
      <c r="E2827" s="4">
        <v>8005393.0</v>
      </c>
      <c r="F2827" s="4">
        <v>26.0</v>
      </c>
      <c r="G2827" s="4" t="s">
        <v>4895</v>
      </c>
    </row>
    <row r="2828">
      <c r="A2828" s="1">
        <v>2826.0</v>
      </c>
      <c r="B2828" s="4" t="s">
        <v>4853</v>
      </c>
      <c r="C2828" s="4" t="str">
        <f>IFERROR(__xludf.DUMMYFUNCTION("GOOGLETRANSLATE(D:D,""auto"",""en"")"),"Room bright bedrooms and four wells")</f>
        <v>Room bright bedrooms and four wells</v>
      </c>
      <c r="D2828" s="4" t="s">
        <v>4896</v>
      </c>
      <c r="E2828" s="4">
        <v>7991196.0</v>
      </c>
      <c r="F2828" s="4">
        <v>27.0</v>
      </c>
      <c r="G2828" s="4" t="s">
        <v>4897</v>
      </c>
    </row>
    <row r="2829">
      <c r="A2829" s="1">
        <v>2827.0</v>
      </c>
      <c r="B2829" s="4" t="s">
        <v>4853</v>
      </c>
      <c r="C2829" s="4" t="str">
        <f>IFERROR(__xludf.DUMMYFUNCTION("GOOGLETRANSLATE(D:D,""auto"",""en"")"),"Zhang Ni overbought his son to do it manually")</f>
        <v>Zhang Ni overbought his son to do it manually</v>
      </c>
      <c r="D2829" s="4" t="s">
        <v>4898</v>
      </c>
      <c r="E2829" s="4">
        <v>7902352.0</v>
      </c>
      <c r="F2829" s="4">
        <v>28.0</v>
      </c>
      <c r="G2829" s="4" t="s">
        <v>4899</v>
      </c>
    </row>
    <row r="2830">
      <c r="A2830" s="1">
        <v>2828.0</v>
      </c>
      <c r="B2830" s="4" t="s">
        <v>4853</v>
      </c>
      <c r="C2830" s="4" t="str">
        <f>IFERROR(__xludf.DUMMYFUNCTION("GOOGLETRANSLATE(D:D,""auto"",""en"")"),"Yi Xi smelt one thousand incarnation of the play Admissions Office official")</f>
        <v>Yi Xi smelt one thousand incarnation of the play Admissions Office official</v>
      </c>
      <c r="D2830" s="4" t="s">
        <v>4900</v>
      </c>
      <c r="E2830" s="4">
        <v>7814823.0</v>
      </c>
      <c r="F2830" s="4">
        <v>29.0</v>
      </c>
      <c r="G2830" s="4" t="s">
        <v>4901</v>
      </c>
    </row>
    <row r="2831">
      <c r="A2831" s="1">
        <v>2829.0</v>
      </c>
      <c r="B2831" s="4" t="s">
        <v>4853</v>
      </c>
      <c r="C2831" s="4" t="str">
        <f>IFERROR(__xludf.DUMMYFUNCTION("GOOGLETRANSLATE(D:D,""auto"",""en"")"),"Qingdao Airport inbound passengers in Korean passenger less than 20%")</f>
        <v>Qingdao Airport inbound passengers in Korean passenger less than 20%</v>
      </c>
      <c r="D2831" s="4" t="s">
        <v>4902</v>
      </c>
      <c r="E2831" s="4">
        <v>7780512.0</v>
      </c>
      <c r="F2831" s="4">
        <v>30.0</v>
      </c>
      <c r="G2831" s="4" t="s">
        <v>4903</v>
      </c>
    </row>
    <row r="2832">
      <c r="A2832" s="1">
        <v>2830.0</v>
      </c>
      <c r="B2832" s="4" t="s">
        <v>4853</v>
      </c>
      <c r="C2832" s="4" t="str">
        <f>IFERROR(__xludf.DUMMYFUNCTION("GOOGLETRANSLATE(D:D,""auto"",""en"")"),"Switzerland's first crown new cases of pneumonia")</f>
        <v>Switzerland's first crown new cases of pneumonia</v>
      </c>
      <c r="D2832" s="4" t="s">
        <v>4904</v>
      </c>
      <c r="E2832" s="4">
        <v>7778175.0</v>
      </c>
      <c r="F2832" s="4">
        <v>31.0</v>
      </c>
      <c r="G2832" s="4" t="s">
        <v>4905</v>
      </c>
    </row>
    <row r="2833">
      <c r="A2833" s="1">
        <v>2831.0</v>
      </c>
      <c r="B2833" s="4" t="s">
        <v>4853</v>
      </c>
      <c r="C2833" s="4" t="str">
        <f>IFERROR(__xludf.DUMMYFUNCTION("GOOGLETRANSLATE(D:D,""auto"",""en"")"),"Xiaozhan thirty-three narration")</f>
        <v>Xiaozhan thirty-three narration</v>
      </c>
      <c r="D2833" s="4" t="s">
        <v>4906</v>
      </c>
      <c r="E2833" s="4">
        <v>7767645.0</v>
      </c>
      <c r="F2833" s="4">
        <v>32.0</v>
      </c>
      <c r="G2833" s="4" t="s">
        <v>4907</v>
      </c>
    </row>
    <row r="2834">
      <c r="A2834" s="1">
        <v>2832.0</v>
      </c>
      <c r="B2834" s="4" t="s">
        <v>4853</v>
      </c>
      <c r="C2834" s="4" t="str">
        <f>IFERROR(__xludf.DUMMYFUNCTION("GOOGLETRANSLATE(D:D,""auto"",""en"")"),"Who had been infected with the diagnosed patients pass")</f>
        <v>Who had been infected with the diagnosed patients pass</v>
      </c>
      <c r="D2834" s="4" t="s">
        <v>4908</v>
      </c>
      <c r="E2834" s="4">
        <v>7734762.0</v>
      </c>
      <c r="F2834" s="4">
        <v>33.0</v>
      </c>
      <c r="G2834" s="4" t="s">
        <v>4909</v>
      </c>
    </row>
    <row r="2835">
      <c r="A2835" s="1">
        <v>2833.0</v>
      </c>
      <c r="B2835" s="4" t="s">
        <v>4853</v>
      </c>
      <c r="C2835" s="4" t="str">
        <f>IFERROR(__xludf.DUMMYFUNCTION("GOOGLETRANSLATE(D:D,""auto"",""en"")"),"Zhu Yilong lettering on carrot")</f>
        <v>Zhu Yilong lettering on carrot</v>
      </c>
      <c r="D2835" s="4" t="s">
        <v>4910</v>
      </c>
      <c r="E2835" s="4">
        <v>7629580.0</v>
      </c>
      <c r="F2835" s="4">
        <v>34.0</v>
      </c>
      <c r="G2835" s="4" t="s">
        <v>4911</v>
      </c>
    </row>
    <row r="2836">
      <c r="A2836" s="1">
        <v>2834.0</v>
      </c>
      <c r="B2836" s="4" t="s">
        <v>4853</v>
      </c>
      <c r="C2836" s="4" t="str">
        <f>IFERROR(__xludf.DUMMYFUNCTION("GOOGLETRANSLATE(D:D,""auto"",""en"")"),"User subdued Xie Guangkun")</f>
        <v>User subdued Xie Guangkun</v>
      </c>
      <c r="D2836" s="4" t="s">
        <v>4912</v>
      </c>
      <c r="E2836" s="4">
        <v>7627284.0</v>
      </c>
      <c r="F2836" s="4">
        <v>35.0</v>
      </c>
      <c r="G2836" s="4" t="s">
        <v>4913</v>
      </c>
    </row>
    <row r="2837">
      <c r="A2837" s="1">
        <v>2835.0</v>
      </c>
      <c r="B2837" s="4" t="s">
        <v>4853</v>
      </c>
      <c r="C2837" s="4" t="str">
        <f>IFERROR(__xludf.DUMMYFUNCTION("GOOGLETRANSLATE(D:D,""auto"",""en"")"),"Chinese Foreign Ministry to respond to the reputation of stealing research")</f>
        <v>Chinese Foreign Ministry to respond to the reputation of stealing research</v>
      </c>
      <c r="D2837" s="4" t="s">
        <v>4914</v>
      </c>
      <c r="E2837" s="4">
        <v>7626557.0</v>
      </c>
      <c r="F2837" s="4">
        <v>36.0</v>
      </c>
      <c r="G2837" s="4" t="s">
        <v>4915</v>
      </c>
    </row>
    <row r="2838">
      <c r="A2838" s="1">
        <v>2836.0</v>
      </c>
      <c r="B2838" s="4" t="s">
        <v>4853</v>
      </c>
      <c r="C2838" s="4" t="str">
        <f>IFERROR(__xludf.DUMMYFUNCTION("GOOGLETRANSLATE(D:D,""auto"",""en"")"),"Hubei Province exempt from VAT small-scale taxpayers three months")</f>
        <v>Hubei Province exempt from VAT small-scale taxpayers three months</v>
      </c>
      <c r="D2838" s="4" t="s">
        <v>4916</v>
      </c>
      <c r="E2838" s="4">
        <v>7591309.0</v>
      </c>
      <c r="F2838" s="4">
        <v>37.0</v>
      </c>
      <c r="G2838" s="4" t="s">
        <v>4917</v>
      </c>
    </row>
    <row r="2839">
      <c r="A2839" s="1">
        <v>2837.0</v>
      </c>
      <c r="B2839" s="4" t="s">
        <v>4853</v>
      </c>
      <c r="C2839" s="4" t="str">
        <f>IFERROR(__xludf.DUMMYFUNCTION("GOOGLETRANSLATE(D:D,""auto"",""en"")"),"Hubei sudden death in a family physician is not recognized injury")</f>
        <v>Hubei sudden death in a family physician is not recognized injury</v>
      </c>
      <c r="D2839" s="4" t="s">
        <v>4918</v>
      </c>
      <c r="E2839" s="4">
        <v>7570083.0</v>
      </c>
      <c r="F2839" s="4">
        <v>38.0</v>
      </c>
      <c r="G2839" s="4" t="s">
        <v>4919</v>
      </c>
    </row>
    <row r="2840">
      <c r="A2840" s="1">
        <v>2838.0</v>
      </c>
      <c r="B2840" s="4" t="s">
        <v>4853</v>
      </c>
      <c r="C2840" s="4" t="str">
        <f>IFERROR(__xludf.DUMMYFUNCTION("GOOGLETRANSLATE(D:D,""auto"",""en"")"),"O'Neal Bryant teach all the technical daughter")</f>
        <v>O'Neal Bryant teach all the technical daughter</v>
      </c>
      <c r="D2840" s="4" t="s">
        <v>4765</v>
      </c>
      <c r="E2840" s="4">
        <v>7373850.0</v>
      </c>
      <c r="F2840" s="4">
        <v>39.0</v>
      </c>
      <c r="G2840" s="4" t="s">
        <v>4766</v>
      </c>
    </row>
    <row r="2841">
      <c r="A2841" s="1">
        <v>2839.0</v>
      </c>
      <c r="B2841" s="4" t="s">
        <v>4853</v>
      </c>
      <c r="C2841" s="4" t="str">
        <f>IFERROR(__xludf.DUMMYFUNCTION("GOOGLETRANSLATE(D:D,""auto"",""en"")"),"Courier virus samples")</f>
        <v>Courier virus samples</v>
      </c>
      <c r="D2841" s="4" t="s">
        <v>4920</v>
      </c>
      <c r="E2841" s="4">
        <v>7351466.0</v>
      </c>
      <c r="F2841" s="4">
        <v>40.0</v>
      </c>
      <c r="G2841" s="4" t="s">
        <v>4921</v>
      </c>
    </row>
    <row r="2842">
      <c r="A2842" s="1">
        <v>2840.0</v>
      </c>
      <c r="B2842" s="4" t="s">
        <v>4853</v>
      </c>
      <c r="C2842" s="4" t="str">
        <f>IFERROR(__xludf.DUMMYFUNCTION("GOOGLETRANSLATE(D:D,""auto"",""en"")"),"Ministry of Foreign Affairs in Japan and South Korea face the epidemic should help each other")</f>
        <v>Ministry of Foreign Affairs in Japan and South Korea face the epidemic should help each other</v>
      </c>
      <c r="D2842" s="4" t="s">
        <v>4922</v>
      </c>
      <c r="E2842" s="4">
        <v>7252748.0</v>
      </c>
      <c r="F2842" s="4">
        <v>41.0</v>
      </c>
      <c r="G2842" s="4" t="s">
        <v>4923</v>
      </c>
    </row>
    <row r="2843">
      <c r="A2843" s="1">
        <v>2841.0</v>
      </c>
      <c r="B2843" s="4" t="s">
        <v>4853</v>
      </c>
      <c r="C2843" s="4" t="str">
        <f>IFERROR(__xludf.DUMMYFUNCTION("GOOGLETRANSLATE(D:D,""auto"",""en"")"),"ZHANG Wen-hong Tucao medical experts foul temper")</f>
        <v>ZHANG Wen-hong Tucao medical experts foul temper</v>
      </c>
      <c r="D2843" s="4" t="s">
        <v>4924</v>
      </c>
      <c r="E2843" s="4">
        <v>7106657.0</v>
      </c>
      <c r="F2843" s="4">
        <v>42.0</v>
      </c>
      <c r="G2843" s="4" t="s">
        <v>4925</v>
      </c>
    </row>
    <row r="2844">
      <c r="A2844" s="1">
        <v>2842.0</v>
      </c>
      <c r="B2844" s="4" t="s">
        <v>4853</v>
      </c>
      <c r="C2844" s="4" t="str">
        <f>IFERROR(__xludf.DUMMYFUNCTION("GOOGLETRANSLATE(D:D,""auto"",""en"")"),"New cases outside of Hubei five cases")</f>
        <v>New cases outside of Hubei five cases</v>
      </c>
      <c r="D2844" s="4" t="s">
        <v>4926</v>
      </c>
      <c r="E2844" s="4">
        <v>7048667.0</v>
      </c>
      <c r="F2844" s="4">
        <v>43.0</v>
      </c>
      <c r="G2844" s="4" t="s">
        <v>4927</v>
      </c>
    </row>
    <row r="2845">
      <c r="A2845" s="1">
        <v>2843.0</v>
      </c>
      <c r="B2845" s="4" t="s">
        <v>4853</v>
      </c>
      <c r="C2845" s="4" t="str">
        <f>IFERROR(__xludf.DUMMYFUNCTION("GOOGLETRANSLATE(D:D,""auto"",""en"")"),"Why Li Yi Feng think so if Zhang Yun")</f>
        <v>Why Li Yi Feng think so if Zhang Yun</v>
      </c>
      <c r="D2845" s="4" t="s">
        <v>4928</v>
      </c>
      <c r="E2845" s="4">
        <v>7019466.0</v>
      </c>
      <c r="F2845" s="4">
        <v>44.0</v>
      </c>
      <c r="G2845" s="4" t="s">
        <v>4929</v>
      </c>
    </row>
    <row r="2846">
      <c r="A2846" s="1">
        <v>2844.0</v>
      </c>
      <c r="B2846" s="4" t="s">
        <v>4853</v>
      </c>
      <c r="C2846" s="4" t="str">
        <f>IFERROR(__xludf.DUMMYFUNCTION("GOOGLETRANSLATE(D:D,""auto"",""en"")"),"Forensic talk about the first case of the new cases of pneumonia anatomical crown")</f>
        <v>Forensic talk about the first case of the new cases of pneumonia anatomical crown</v>
      </c>
      <c r="D2846" s="4" t="s">
        <v>4930</v>
      </c>
      <c r="E2846" s="4">
        <v>6997514.0</v>
      </c>
      <c r="F2846" s="4">
        <v>45.0</v>
      </c>
      <c r="G2846" s="4" t="s">
        <v>4931</v>
      </c>
    </row>
    <row r="2847">
      <c r="A2847" s="1">
        <v>2845.0</v>
      </c>
      <c r="B2847" s="4" t="s">
        <v>4853</v>
      </c>
      <c r="C2847" s="4" t="str">
        <f>IFERROR(__xludf.DUMMYFUNCTION("GOOGLETRANSLATE(D:D,""auto"",""en"")"),"Italy confirmed the new crown rose to 323 cases of pneumonia")</f>
        <v>Italy confirmed the new crown rose to 323 cases of pneumonia</v>
      </c>
      <c r="D2847" s="4" t="s">
        <v>4932</v>
      </c>
      <c r="E2847" s="4">
        <v>6984661.0</v>
      </c>
      <c r="F2847" s="4">
        <v>46.0</v>
      </c>
      <c r="G2847" s="4" t="s">
        <v>4933</v>
      </c>
    </row>
    <row r="2848">
      <c r="A2848" s="1">
        <v>2846.0</v>
      </c>
      <c r="B2848" s="4" t="s">
        <v>4853</v>
      </c>
      <c r="C2848" s="4" t="str">
        <f>IFERROR(__xludf.DUMMYFUNCTION("GOOGLETRANSLATE(D:D,""auto"",""en"")"),"Ronghao to Zhang Yixing live brush gift")</f>
        <v>Ronghao to Zhang Yixing live brush gift</v>
      </c>
      <c r="D2848" s="4" t="s">
        <v>4934</v>
      </c>
      <c r="E2848" s="4">
        <v>6943912.0</v>
      </c>
      <c r="F2848" s="4">
        <v>47.0</v>
      </c>
      <c r="G2848" s="4" t="s">
        <v>4935</v>
      </c>
    </row>
    <row r="2849">
      <c r="A2849" s="1">
        <v>2847.0</v>
      </c>
      <c r="B2849" s="4" t="s">
        <v>4853</v>
      </c>
      <c r="C2849" s="4" t="str">
        <f>IFERROR(__xludf.DUMMYFUNCTION("GOOGLETRANSLATE(D:D,""auto"",""en"")"),"Curry will be back next week")</f>
        <v>Curry will be back next week</v>
      </c>
      <c r="D2849" s="4" t="s">
        <v>4936</v>
      </c>
      <c r="E2849" s="4">
        <v>6937952.0</v>
      </c>
      <c r="F2849" s="4">
        <v>48.0</v>
      </c>
      <c r="G2849" s="4" t="s">
        <v>4937</v>
      </c>
    </row>
    <row r="2850">
      <c r="A2850" s="1">
        <v>2848.0</v>
      </c>
      <c r="B2850" s="4" t="s">
        <v>4853</v>
      </c>
      <c r="C2850" s="4" t="str">
        <f>IFERROR(__xludf.DUMMYFUNCTION("GOOGLETRANSLATE(D:D,""auto"",""en"")"),"Cuiying Jun slag male Quotations")</f>
        <v>Cuiying Jun slag male Quotations</v>
      </c>
      <c r="D2850" s="4" t="s">
        <v>4938</v>
      </c>
      <c r="E2850" s="4">
        <v>6879739.0</v>
      </c>
      <c r="F2850" s="4">
        <v>49.0</v>
      </c>
      <c r="G2850" s="4" t="s">
        <v>4939</v>
      </c>
    </row>
    <row r="2851">
      <c r="A2851" s="1">
        <v>2849.0</v>
      </c>
      <c r="B2851" s="4" t="s">
        <v>4853</v>
      </c>
      <c r="C2851" s="4" t="str">
        <f>IFERROR(__xludf.DUMMYFUNCTION("GOOGLETRANSLATE(D:D,""auto"",""en"")"),"Veterans virus turned couriers")</f>
        <v>Veterans virus turned couriers</v>
      </c>
      <c r="D2851" s="4" t="s">
        <v>4940</v>
      </c>
      <c r="E2851" s="4">
        <v>6870497.0</v>
      </c>
      <c r="F2851" s="4">
        <v>50.0</v>
      </c>
      <c r="G2851" s="4" t="s">
        <v>4941</v>
      </c>
    </row>
    <row r="2852">
      <c r="A2852" s="1">
        <v>2850.0</v>
      </c>
      <c r="B2852" s="4" t="s">
        <v>4942</v>
      </c>
      <c r="C2852" s="4" t="str">
        <f>IFERROR(__xludf.DUMMYFUNCTION("GOOGLETRANSLATE(D:D,""auto"",""en"")"),"The national total of 78,497 cases of pneumonia diagnosed with the new crown")</f>
        <v>The national total of 78,497 cases of pneumonia diagnosed with the new crown</v>
      </c>
      <c r="D2852" s="4" t="s">
        <v>4943</v>
      </c>
      <c r="E2852" s="4">
        <v>1.1914875E7</v>
      </c>
      <c r="F2852" s="4">
        <v>1.0</v>
      </c>
      <c r="G2852" s="4" t="s">
        <v>4944</v>
      </c>
    </row>
    <row r="2853">
      <c r="A2853" s="1">
        <v>2851.0</v>
      </c>
      <c r="B2853" s="4" t="s">
        <v>4942</v>
      </c>
      <c r="C2853" s="4" t="str">
        <f>IFERROR(__xludf.DUMMYFUNCTION("GOOGLETRANSLATE(D:D,""auto"",""en"")"),"Li Jiaqi forgot to turn off live")</f>
        <v>Li Jiaqi forgot to turn off live</v>
      </c>
      <c r="D2853" s="4" t="s">
        <v>4864</v>
      </c>
      <c r="E2853" s="4">
        <v>1.161357E7</v>
      </c>
      <c r="F2853" s="4">
        <v>2.0</v>
      </c>
      <c r="G2853" s="4" t="s">
        <v>4865</v>
      </c>
    </row>
    <row r="2854">
      <c r="A2854" s="1">
        <v>2852.0</v>
      </c>
      <c r="B2854" s="4" t="s">
        <v>4942</v>
      </c>
      <c r="C2854" s="4" t="str">
        <f>IFERROR(__xludf.DUMMYFUNCTION("GOOGLETRANSLATE(D:D,""auto"",""en"")"),"Zhejiang 100,000 ducks off Pakistan locust")</f>
        <v>Zhejiang 100,000 ducks off Pakistan locust</v>
      </c>
      <c r="D2854" s="4" t="s">
        <v>4945</v>
      </c>
      <c r="E2854" s="4">
        <v>1.1342992E7</v>
      </c>
      <c r="F2854" s="4">
        <v>3.0</v>
      </c>
      <c r="G2854" s="4" t="s">
        <v>4946</v>
      </c>
    </row>
    <row r="2855">
      <c r="A2855" s="1">
        <v>2853.0</v>
      </c>
      <c r="B2855" s="4" t="s">
        <v>4942</v>
      </c>
      <c r="C2855" s="4" t="str">
        <f>IFERROR(__xludf.DUMMYFUNCTION("GOOGLETRANSLATE(D:D,""auto"",""en"")"),"Yiyangqianxi drew a contrast Meng")</f>
        <v>Yiyangqianxi drew a contrast Meng</v>
      </c>
      <c r="D2855" s="4" t="s">
        <v>4947</v>
      </c>
      <c r="E2855" s="4">
        <v>1.1134799E7</v>
      </c>
      <c r="F2855" s="4">
        <v>4.0</v>
      </c>
      <c r="G2855" s="4" t="s">
        <v>4948</v>
      </c>
    </row>
    <row r="2856">
      <c r="A2856" s="1">
        <v>2854.0</v>
      </c>
      <c r="B2856" s="4" t="s">
        <v>4942</v>
      </c>
      <c r="C2856" s="4" t="str">
        <f>IFERROR(__xludf.DUMMYFUNCTION("GOOGLETRANSLATE(D:D,""auto"",""en"")"),"Zhong Nanshan confident basically control the epidemic in late April")</f>
        <v>Zhong Nanshan confident basically control the epidemic in late April</v>
      </c>
      <c r="D2856" s="4" t="s">
        <v>4949</v>
      </c>
      <c r="E2856" s="4">
        <v>1.1096813E7</v>
      </c>
      <c r="F2856" s="4">
        <v>5.0</v>
      </c>
      <c r="G2856" s="4" t="s">
        <v>4950</v>
      </c>
    </row>
    <row r="2857">
      <c r="A2857" s="1">
        <v>2855.0</v>
      </c>
      <c r="B2857" s="4" t="s">
        <v>4942</v>
      </c>
      <c r="C2857" s="4" t="str">
        <f>IFERROR(__xludf.DUMMYFUNCTION("GOOGLETRANSLATE(D:D,""auto"",""en"")"),"How happy can jiedi")</f>
        <v>How happy can jiedi</v>
      </c>
      <c r="D2857" s="4" t="s">
        <v>4951</v>
      </c>
      <c r="E2857" s="4">
        <v>1.0911143E7</v>
      </c>
      <c r="F2857" s="4">
        <v>6.0</v>
      </c>
      <c r="G2857" s="4" t="s">
        <v>4952</v>
      </c>
    </row>
    <row r="2858">
      <c r="A2858" s="1">
        <v>2856.0</v>
      </c>
      <c r="B2858" s="4" t="s">
        <v>4942</v>
      </c>
      <c r="C2858" s="4" t="str">
        <f>IFERROR(__xludf.DUMMYFUNCTION("GOOGLETRANSLATE(D:D,""auto"",""en"")"),"Cui baby talk Trump's visit to India on the spot laugh pumping")</f>
        <v>Cui baby talk Trump's visit to India on the spot laugh pumping</v>
      </c>
      <c r="D2858" s="4" t="s">
        <v>4953</v>
      </c>
      <c r="E2858" s="4">
        <v>1.0794007E7</v>
      </c>
      <c r="F2858" s="4">
        <v>7.0</v>
      </c>
      <c r="G2858" s="4" t="s">
        <v>4954</v>
      </c>
    </row>
    <row r="2859">
      <c r="A2859" s="1">
        <v>2857.0</v>
      </c>
      <c r="B2859" s="4" t="s">
        <v>4942</v>
      </c>
      <c r="C2859" s="4" t="str">
        <f>IFERROR(__xludf.DUMMYFUNCTION("GOOGLETRANSLATE(D:D,""auto"",""en"")"),"Korea added 334 cases of pneumonia new crown")</f>
        <v>Korea added 334 cases of pneumonia new crown</v>
      </c>
      <c r="D2859" s="4" t="s">
        <v>4955</v>
      </c>
      <c r="E2859" s="4">
        <v>1.0720523E7</v>
      </c>
      <c r="F2859" s="4">
        <v>8.0</v>
      </c>
      <c r="G2859" s="4" t="s">
        <v>4956</v>
      </c>
    </row>
    <row r="2860">
      <c r="A2860" s="1">
        <v>2858.0</v>
      </c>
      <c r="B2860" s="4" t="s">
        <v>4942</v>
      </c>
      <c r="C2860" s="4" t="str">
        <f>IFERROR(__xludf.DUMMYFUNCTION("GOOGLETRANSLATE(D:D,""auto"",""en"")"),"See the car is not closing")</f>
        <v>See the car is not closing</v>
      </c>
      <c r="D2860" s="4" t="s">
        <v>4957</v>
      </c>
      <c r="E2860" s="4">
        <v>1.0661838E7</v>
      </c>
      <c r="F2860" s="4">
        <v>9.0</v>
      </c>
      <c r="G2860" s="4" t="s">
        <v>4958</v>
      </c>
    </row>
    <row r="2861">
      <c r="A2861" s="1">
        <v>2859.0</v>
      </c>
      <c r="B2861" s="4" t="s">
        <v>4942</v>
      </c>
      <c r="C2861" s="4" t="str">
        <f>IFERROR(__xludf.DUMMYFUNCTION("GOOGLETRANSLATE(D:D,""auto"",""en"")"),"Women's investigation confirmed the joint investigation team arrived in Beijing from Chinese")</f>
        <v>Women's investigation confirmed the joint investigation team arrived in Beijing from Chinese</v>
      </c>
      <c r="D2861" s="4" t="s">
        <v>4959</v>
      </c>
      <c r="E2861" s="4">
        <v>1.0599001E7</v>
      </c>
      <c r="F2861" s="4">
        <v>10.0</v>
      </c>
      <c r="G2861" s="4" t="s">
        <v>4960</v>
      </c>
    </row>
    <row r="2862">
      <c r="A2862" s="1">
        <v>2860.0</v>
      </c>
      <c r="B2862" s="4" t="s">
        <v>4942</v>
      </c>
      <c r="C2862" s="4" t="str">
        <f>IFERROR(__xludf.DUMMYFUNCTION("GOOGLETRANSLATE(D:D,""auto"",""en"")"),"80 Korean airlines respond to Chengdu")</f>
        <v>80 Korean airlines respond to Chengdu</v>
      </c>
      <c r="D2862" s="4" t="s">
        <v>4961</v>
      </c>
      <c r="E2862" s="4">
        <v>1.052967E7</v>
      </c>
      <c r="F2862" s="4">
        <v>11.0</v>
      </c>
      <c r="G2862" s="4" t="s">
        <v>4962</v>
      </c>
    </row>
    <row r="2863">
      <c r="A2863" s="1">
        <v>2861.0</v>
      </c>
      <c r="B2863" s="4" t="s">
        <v>4942</v>
      </c>
      <c r="C2863" s="4" t="str">
        <f>IFERROR(__xludf.DUMMYFUNCTION("GOOGLETRANSLATE(D:D,""auto"",""en"")"),"Q. Xin Wang family shared a face")</f>
        <v>Q. Xin Wang family shared a face</v>
      </c>
      <c r="D2863" s="4" t="s">
        <v>4963</v>
      </c>
      <c r="E2863" s="4">
        <v>1.0468904E7</v>
      </c>
      <c r="F2863" s="4">
        <v>12.0</v>
      </c>
      <c r="G2863" s="4" t="s">
        <v>4964</v>
      </c>
    </row>
    <row r="2864">
      <c r="A2864" s="1">
        <v>2862.0</v>
      </c>
      <c r="B2864" s="4" t="s">
        <v>4942</v>
      </c>
      <c r="C2864" s="4" t="str">
        <f>IFERROR(__xludf.DUMMYFUNCTION("GOOGLETRANSLATE(D:D,""auto"",""en"")"),"Kim Han Fan You are a proud reply healthcare")</f>
        <v>Kim Han Fan You are a proud reply healthcare</v>
      </c>
      <c r="D2864" s="4" t="s">
        <v>4965</v>
      </c>
      <c r="E2864" s="4">
        <v>1.0211702E7</v>
      </c>
      <c r="F2864" s="4">
        <v>13.0</v>
      </c>
      <c r="G2864" s="4" t="s">
        <v>4966</v>
      </c>
    </row>
    <row r="2865">
      <c r="A2865" s="1">
        <v>2863.0</v>
      </c>
      <c r="B2865" s="4" t="s">
        <v>4942</v>
      </c>
      <c r="C2865" s="4" t="str">
        <f>IFERROR(__xludf.DUMMYFUNCTION("GOOGLETRANSLATE(D:D,""auto"",""en"")"),"60-year-old chef has been misunderstood wronged tears")</f>
        <v>60-year-old chef has been misunderstood wronged tears</v>
      </c>
      <c r="D2865" s="4" t="s">
        <v>4967</v>
      </c>
      <c r="E2865" s="4">
        <v>1.0203164E7</v>
      </c>
      <c r="F2865" s="4">
        <v>14.0</v>
      </c>
      <c r="G2865" s="4" t="s">
        <v>4968</v>
      </c>
    </row>
    <row r="2866">
      <c r="A2866" s="1">
        <v>2864.0</v>
      </c>
      <c r="B2866" s="4" t="s">
        <v>4942</v>
      </c>
      <c r="C2866" s="4" t="str">
        <f>IFERROR(__xludf.DUMMYFUNCTION("GOOGLETRANSLATE(D:D,""auto"",""en"")"),"Artifact son with homemade socks recorded net lesson")</f>
        <v>Artifact son with homemade socks recorded net lesson</v>
      </c>
      <c r="D2866" s="4" t="s">
        <v>4969</v>
      </c>
      <c r="E2866" s="4">
        <v>1.0025193E7</v>
      </c>
      <c r="F2866" s="4">
        <v>15.0</v>
      </c>
      <c r="G2866" s="4" t="s">
        <v>4970</v>
      </c>
    </row>
    <row r="2867">
      <c r="A2867" s="1">
        <v>2865.0</v>
      </c>
      <c r="B2867" s="4" t="s">
        <v>4942</v>
      </c>
      <c r="C2867" s="4" t="str">
        <f>IFERROR(__xludf.DUMMYFUNCTION("GOOGLETRANSLATE(D:D,""auto"",""en"")"),"Yangcheng Lake crabs large number of poor sales")</f>
        <v>Yangcheng Lake crabs large number of poor sales</v>
      </c>
      <c r="D2867" s="4" t="s">
        <v>4971</v>
      </c>
      <c r="E2867" s="4">
        <v>9973669.0</v>
      </c>
      <c r="F2867" s="4">
        <v>16.0</v>
      </c>
      <c r="G2867" s="4" t="s">
        <v>4972</v>
      </c>
    </row>
    <row r="2868">
      <c r="A2868" s="1">
        <v>2866.0</v>
      </c>
      <c r="B2868" s="4" t="s">
        <v>4942</v>
      </c>
      <c r="C2868" s="4" t="str">
        <f>IFERROR(__xludf.DUMMYFUNCTION("GOOGLETRANSLATE(D:D,""auto"",""en"")"),"CDC special status did not receive attention")</f>
        <v>CDC special status did not receive attention</v>
      </c>
      <c r="D2868" s="4" t="s">
        <v>4973</v>
      </c>
      <c r="E2868" s="4">
        <v>9770203.0</v>
      </c>
      <c r="F2868" s="4">
        <v>17.0</v>
      </c>
      <c r="G2868" s="4" t="s">
        <v>4974</v>
      </c>
    </row>
    <row r="2869">
      <c r="A2869" s="1">
        <v>2867.0</v>
      </c>
      <c r="B2869" s="4" t="s">
        <v>4942</v>
      </c>
      <c r="C2869" s="4" t="str">
        <f>IFERROR(__xludf.DUMMYFUNCTION("GOOGLETRANSLATE(D:D,""auto"",""en"")"),"Sheep elderly hardcore prevention publicity")</f>
        <v>Sheep elderly hardcore prevention publicity</v>
      </c>
      <c r="D2869" s="4" t="s">
        <v>4975</v>
      </c>
      <c r="E2869" s="4">
        <v>9752693.0</v>
      </c>
      <c r="F2869" s="4">
        <v>18.0</v>
      </c>
      <c r="G2869" s="4" t="s">
        <v>4976</v>
      </c>
    </row>
    <row r="2870">
      <c r="A2870" s="1">
        <v>2868.0</v>
      </c>
      <c r="B2870" s="4" t="s">
        <v>4942</v>
      </c>
      <c r="C2870" s="4" t="str">
        <f>IFERROR(__xludf.DUMMYFUNCTION("GOOGLETRANSLATE(D:D,""auto"",""en"")"),"Wu Bai concert do not have to sing")</f>
        <v>Wu Bai concert do not have to sing</v>
      </c>
      <c r="D2870" s="4" t="s">
        <v>4860</v>
      </c>
      <c r="E2870" s="4">
        <v>9580776.0</v>
      </c>
      <c r="F2870" s="4">
        <v>19.0</v>
      </c>
      <c r="G2870" s="4" t="s">
        <v>4861</v>
      </c>
    </row>
    <row r="2871">
      <c r="A2871" s="1">
        <v>2869.0</v>
      </c>
      <c r="B2871" s="4" t="s">
        <v>4942</v>
      </c>
      <c r="C2871" s="4" t="str">
        <f>IFERROR(__xludf.DUMMYFUNCTION("GOOGLETRANSLATE(D:D,""auto"",""en"")"),"Zhangjiakou add 50,000 new cases of pneumonia crown")</f>
        <v>Zhangjiakou add 50,000 new cases of pneumonia crown</v>
      </c>
      <c r="D2871" s="4" t="s">
        <v>4977</v>
      </c>
      <c r="E2871" s="4">
        <v>9475517.0</v>
      </c>
      <c r="F2871" s="4">
        <v>20.0</v>
      </c>
      <c r="G2871" s="4" t="s">
        <v>4978</v>
      </c>
    </row>
    <row r="2872">
      <c r="A2872" s="1">
        <v>2870.0</v>
      </c>
      <c r="B2872" s="4" t="s">
        <v>4942</v>
      </c>
      <c r="C2872" s="4" t="str">
        <f>IFERROR(__xludf.DUMMYFUNCTION("GOOGLETRANSLATE(D:D,""auto"",""en"")"),"Why Li Yi Feng think so if Zhang Yun")</f>
        <v>Why Li Yi Feng think so if Zhang Yun</v>
      </c>
      <c r="D2872" s="4" t="s">
        <v>4928</v>
      </c>
      <c r="E2872" s="4">
        <v>9301697.0</v>
      </c>
      <c r="F2872" s="4">
        <v>21.0</v>
      </c>
      <c r="G2872" s="4" t="s">
        <v>4929</v>
      </c>
    </row>
    <row r="2873">
      <c r="A2873" s="1">
        <v>2871.0</v>
      </c>
      <c r="B2873" s="4" t="s">
        <v>4942</v>
      </c>
      <c r="C2873" s="4" t="str">
        <f>IFERROR(__xludf.DUMMYFUNCTION("GOOGLETRANSLATE(D:D,""auto"",""en"")"),"Of the total number of patients discharged over 30,000")</f>
        <v>Of the total number of patients discharged over 30,000</v>
      </c>
      <c r="D2873" s="4" t="s">
        <v>4979</v>
      </c>
      <c r="E2873" s="4">
        <v>9279748.0</v>
      </c>
      <c r="F2873" s="4">
        <v>22.0</v>
      </c>
      <c r="G2873" s="4" t="s">
        <v>4980</v>
      </c>
    </row>
    <row r="2874">
      <c r="A2874" s="1">
        <v>2872.0</v>
      </c>
      <c r="B2874" s="4" t="s">
        <v>4942</v>
      </c>
      <c r="C2874" s="4" t="str">
        <f>IFERROR(__xludf.DUMMYFUNCTION("GOOGLETRANSLATE(D:D,""auto"",""en"")"),"Lou Yi Xiao makeup challenge")</f>
        <v>Lou Yi Xiao makeup challenge</v>
      </c>
      <c r="D2874" s="4" t="s">
        <v>4981</v>
      </c>
      <c r="E2874" s="4">
        <v>9197988.0</v>
      </c>
      <c r="F2874" s="4">
        <v>23.0</v>
      </c>
      <c r="G2874" s="4" t="s">
        <v>4982</v>
      </c>
    </row>
    <row r="2875">
      <c r="A2875" s="1">
        <v>2873.0</v>
      </c>
      <c r="B2875" s="4" t="s">
        <v>4942</v>
      </c>
      <c r="C2875" s="4" t="str">
        <f>IFERROR(__xludf.DUMMYFUNCTION("GOOGLETRANSLATE(D:D,""auto"",""en"")"),"The baby and the dog died the same birthmark")</f>
        <v>The baby and the dog died the same birthmark</v>
      </c>
      <c r="D2875" s="4" t="s">
        <v>4983</v>
      </c>
      <c r="E2875" s="4">
        <v>9107734.0</v>
      </c>
      <c r="F2875" s="4">
        <v>24.0</v>
      </c>
      <c r="G2875" s="4" t="s">
        <v>4984</v>
      </c>
    </row>
    <row r="2876">
      <c r="A2876" s="1">
        <v>2874.0</v>
      </c>
      <c r="B2876" s="4" t="s">
        <v>4942</v>
      </c>
      <c r="C2876" s="4" t="str">
        <f>IFERROR(__xludf.DUMMYFUNCTION("GOOGLETRANSLATE(D:D,""auto"",""en"")"),"Shelter users are encouraged to respond to sketch brother team")</f>
        <v>Shelter users are encouraged to respond to sketch brother team</v>
      </c>
      <c r="D2876" s="4" t="s">
        <v>4985</v>
      </c>
      <c r="E2876" s="4">
        <v>9077245.0</v>
      </c>
      <c r="F2876" s="4">
        <v>25.0</v>
      </c>
      <c r="G2876" s="4" t="s">
        <v>4986</v>
      </c>
    </row>
    <row r="2877">
      <c r="A2877" s="1">
        <v>2875.0</v>
      </c>
      <c r="B2877" s="4" t="s">
        <v>4942</v>
      </c>
      <c r="C2877" s="4" t="str">
        <f>IFERROR(__xludf.DUMMYFUNCTION("GOOGLETRANSLATE(D:D,""auto"",""en"")"),"Forbidden to wear a mask when Korea Xintiandi week")</f>
        <v>Forbidden to wear a mask when Korea Xintiandi week</v>
      </c>
      <c r="D2877" s="4" t="s">
        <v>4987</v>
      </c>
      <c r="E2877" s="4">
        <v>9072700.0</v>
      </c>
      <c r="F2877" s="4">
        <v>26.0</v>
      </c>
      <c r="G2877" s="4" t="s">
        <v>4988</v>
      </c>
    </row>
    <row r="2878">
      <c r="A2878" s="1">
        <v>2876.0</v>
      </c>
      <c r="B2878" s="4" t="s">
        <v>4942</v>
      </c>
      <c r="C2878" s="4" t="str">
        <f>IFERROR(__xludf.DUMMYFUNCTION("GOOGLETRANSLATE(D:D,""auto"",""en"")"),"Zheng Yuan Chang automatic contact one week break")</f>
        <v>Zheng Yuan Chang automatic contact one week break</v>
      </c>
      <c r="D2878" s="4" t="s">
        <v>4989</v>
      </c>
      <c r="E2878" s="4">
        <v>9065835.0</v>
      </c>
      <c r="F2878" s="4">
        <v>27.0</v>
      </c>
      <c r="G2878" s="4" t="s">
        <v>4990</v>
      </c>
    </row>
    <row r="2879">
      <c r="A2879" s="1">
        <v>2877.0</v>
      </c>
      <c r="B2879" s="4" t="s">
        <v>4942</v>
      </c>
      <c r="C2879" s="4" t="str">
        <f>IFERROR(__xludf.DUMMYFUNCTION("GOOGLETRANSLATE(D:D,""auto"",""en"")"),"Please do not take my hair is not easy when an artist")</f>
        <v>Please do not take my hair is not easy when an artist</v>
      </c>
      <c r="D2879" s="4" t="s">
        <v>4991</v>
      </c>
      <c r="E2879" s="4">
        <v>9044084.0</v>
      </c>
      <c r="F2879" s="4">
        <v>28.0</v>
      </c>
      <c r="G2879" s="4" t="s">
        <v>4992</v>
      </c>
    </row>
    <row r="2880">
      <c r="A2880" s="1">
        <v>2878.0</v>
      </c>
      <c r="B2880" s="4" t="s">
        <v>4942</v>
      </c>
      <c r="C2880" s="4" t="str">
        <f>IFERROR(__xludf.DUMMYFUNCTION("GOOGLETRANSLATE(D:D,""auto"",""en"")"),"Hubei prison serving his sentence in response to questions from Chinese")</f>
        <v>Hubei prison serving his sentence in response to questions from Chinese</v>
      </c>
      <c r="D2880" s="4" t="s">
        <v>4993</v>
      </c>
      <c r="E2880" s="4">
        <v>8604166.0</v>
      </c>
      <c r="F2880" s="4">
        <v>29.0</v>
      </c>
      <c r="G2880" s="4" t="s">
        <v>4994</v>
      </c>
    </row>
    <row r="2881">
      <c r="A2881" s="1">
        <v>2879.0</v>
      </c>
      <c r="B2881" s="4" t="s">
        <v>4942</v>
      </c>
      <c r="C2881" s="4" t="str">
        <f>IFERROR(__xludf.DUMMYFUNCTION("GOOGLETRANSLATE(D:D,""auto"",""en"")"),"The nurse almost fainted but only distressed protective clothing")</f>
        <v>The nurse almost fainted but only distressed protective clothing</v>
      </c>
      <c r="D2881" s="4" t="s">
        <v>4995</v>
      </c>
      <c r="E2881" s="4">
        <v>8473747.0</v>
      </c>
      <c r="F2881" s="4">
        <v>30.0</v>
      </c>
      <c r="G2881" s="4" t="s">
        <v>4996</v>
      </c>
    </row>
    <row r="2882">
      <c r="A2882" s="1">
        <v>2880.0</v>
      </c>
      <c r="B2882" s="4" t="s">
        <v>4942</v>
      </c>
      <c r="C2882" s="4" t="str">
        <f>IFERROR(__xludf.DUMMYFUNCTION("GOOGLETRANSLATE(D:D,""auto"",""en"")"),"Shelter hospital fashion show")</f>
        <v>Shelter hospital fashion show</v>
      </c>
      <c r="D2882" s="4" t="s">
        <v>4997</v>
      </c>
      <c r="E2882" s="4">
        <v>8446322.0</v>
      </c>
      <c r="F2882" s="4">
        <v>31.0</v>
      </c>
      <c r="G2882" s="4" t="s">
        <v>4998</v>
      </c>
    </row>
    <row r="2883">
      <c r="A2883" s="1">
        <v>2881.0</v>
      </c>
      <c r="B2883" s="4" t="s">
        <v>4942</v>
      </c>
      <c r="C2883" s="4" t="str">
        <f>IFERROR(__xludf.DUMMYFUNCTION("GOOGLETRANSLATE(D:D,""auto"",""en"")"),"A bowl of instant noodles to be put down")</f>
        <v>A bowl of instant noodles to be put down</v>
      </c>
      <c r="D2883" s="4" t="s">
        <v>4999</v>
      </c>
      <c r="E2883" s="4">
        <v>8390276.0</v>
      </c>
      <c r="F2883" s="4">
        <v>32.0</v>
      </c>
      <c r="G2883" s="4" t="s">
        <v>5000</v>
      </c>
    </row>
    <row r="2884">
      <c r="A2884" s="1">
        <v>2882.0</v>
      </c>
      <c r="B2884" s="4" t="s">
        <v>4942</v>
      </c>
      <c r="C2884" s="4" t="str">
        <f>IFERROR(__xludf.DUMMYFUNCTION("GOOGLETRANSLATE(D:D,""auto"",""en"")"),"Beijing new crown in 10 newly confirmed cases of pneumonia")</f>
        <v>Beijing new crown in 10 newly confirmed cases of pneumonia</v>
      </c>
      <c r="D2884" s="4" t="s">
        <v>5001</v>
      </c>
      <c r="E2884" s="4">
        <v>8383950.0</v>
      </c>
      <c r="F2884" s="4">
        <v>33.0</v>
      </c>
      <c r="G2884" s="4" t="s">
        <v>5002</v>
      </c>
    </row>
    <row r="2885">
      <c r="A2885" s="1">
        <v>2883.0</v>
      </c>
      <c r="B2885" s="4" t="s">
        <v>4942</v>
      </c>
      <c r="C2885" s="4" t="str">
        <f>IFERROR(__xludf.DUMMYFUNCTION("GOOGLETRANSLATE(D:D,""auto"",""en"")"),"Zhong Nanshan epidemic is not necessarily originate in China")</f>
        <v>Zhong Nanshan epidemic is not necessarily originate in China</v>
      </c>
      <c r="D2885" s="4" t="s">
        <v>5003</v>
      </c>
      <c r="E2885" s="4">
        <v>8352926.0</v>
      </c>
      <c r="F2885" s="4">
        <v>34.0</v>
      </c>
      <c r="G2885" s="4" t="s">
        <v>5004</v>
      </c>
    </row>
    <row r="2886">
      <c r="A2886" s="1">
        <v>2884.0</v>
      </c>
      <c r="B2886" s="4" t="s">
        <v>4942</v>
      </c>
      <c r="C2886" s="4" t="str">
        <f>IFERROR(__xludf.DUMMYFUNCTION("GOOGLETRANSLATE(D:D,""auto"",""en"")"),"Yi Xi smelt one thousand female hop dance group")</f>
        <v>Yi Xi smelt one thousand female hop dance group</v>
      </c>
      <c r="D2886" s="4" t="s">
        <v>5005</v>
      </c>
      <c r="E2886" s="4">
        <v>8277926.0</v>
      </c>
      <c r="F2886" s="4">
        <v>35.0</v>
      </c>
      <c r="G2886" s="4" t="s">
        <v>5006</v>
      </c>
    </row>
    <row r="2887">
      <c r="A2887" s="1">
        <v>2885.0</v>
      </c>
      <c r="B2887" s="4" t="s">
        <v>4942</v>
      </c>
      <c r="C2887" s="4" t="str">
        <f>IFERROR(__xludf.DUMMYFUNCTION("GOOGLETRANSLATE(D:D,""auto"",""en"")"),"Taking a close love beans hop dance gesture")</f>
        <v>Taking a close love beans hop dance gesture</v>
      </c>
      <c r="D2887" s="4" t="s">
        <v>5007</v>
      </c>
      <c r="E2887" s="4">
        <v>8277619.0</v>
      </c>
      <c r="F2887" s="4">
        <v>36.0</v>
      </c>
      <c r="G2887" s="4" t="s">
        <v>5008</v>
      </c>
    </row>
    <row r="2888">
      <c r="A2888" s="1">
        <v>2886.0</v>
      </c>
      <c r="B2888" s="4" t="s">
        <v>4942</v>
      </c>
      <c r="C2888" s="4" t="str">
        <f>IFERROR(__xludf.DUMMYFUNCTION("GOOGLETRANSLATE(D:D,""auto"",""en"")"),"Diagnosis of the patient to the emergency department treatment of isolation caused 116 people")</f>
        <v>Diagnosis of the patient to the emergency department treatment of isolation caused 116 people</v>
      </c>
      <c r="D2888" s="4" t="s">
        <v>5009</v>
      </c>
      <c r="E2888" s="4">
        <v>8159069.0</v>
      </c>
      <c r="F2888" s="4">
        <v>37.0</v>
      </c>
      <c r="G2888" s="4" t="s">
        <v>5010</v>
      </c>
    </row>
    <row r="2889">
      <c r="A2889" s="1">
        <v>2887.0</v>
      </c>
      <c r="B2889" s="4" t="s">
        <v>4942</v>
      </c>
      <c r="C2889" s="4" t="str">
        <f>IFERROR(__xludf.DUMMYFUNCTION("GOOGLETRANSLATE(D:D,""auto"",""en"")"),"US shootings caused seven deaths")</f>
        <v>US shootings caused seven deaths</v>
      </c>
      <c r="D2889" s="4" t="s">
        <v>5011</v>
      </c>
      <c r="E2889" s="4">
        <v>8149137.0</v>
      </c>
      <c r="F2889" s="4">
        <v>38.0</v>
      </c>
      <c r="G2889" s="4" t="s">
        <v>5012</v>
      </c>
    </row>
    <row r="2890">
      <c r="A2890" s="1">
        <v>2888.0</v>
      </c>
      <c r="B2890" s="4" t="s">
        <v>4942</v>
      </c>
      <c r="C2890" s="4" t="str">
        <f>IFERROR(__xludf.DUMMYFUNCTION("GOOGLETRANSLATE(D:D,""auto"",""en"")"),"Wuhan University student Chen Yan Ran sent a letter to president")</f>
        <v>Wuhan University student Chen Yan Ran sent a letter to president</v>
      </c>
      <c r="D2890" s="4" t="s">
        <v>5013</v>
      </c>
      <c r="E2890" s="4">
        <v>8072230.0</v>
      </c>
      <c r="F2890" s="4">
        <v>39.0</v>
      </c>
      <c r="G2890" s="4" t="s">
        <v>5014</v>
      </c>
    </row>
    <row r="2891">
      <c r="A2891" s="1">
        <v>2889.0</v>
      </c>
      <c r="B2891" s="4" t="s">
        <v>4942</v>
      </c>
      <c r="C2891" s="4" t="str">
        <f>IFERROR(__xludf.DUMMYFUNCTION("GOOGLETRANSLATE(D:D,""auto"",""en"")"),"Law enforcement officers supermarket to ask for donations follow-up")</f>
        <v>Law enforcement officers supermarket to ask for donations follow-up</v>
      </c>
      <c r="D2891" s="4" t="s">
        <v>5015</v>
      </c>
      <c r="E2891" s="4">
        <v>7994789.0</v>
      </c>
      <c r="F2891" s="4">
        <v>40.0</v>
      </c>
      <c r="G2891" s="4" t="s">
        <v>5016</v>
      </c>
    </row>
    <row r="2892">
      <c r="A2892" s="1">
        <v>2890.0</v>
      </c>
      <c r="B2892" s="4" t="s">
        <v>4942</v>
      </c>
      <c r="C2892" s="4" t="str">
        <f>IFERROR(__xludf.DUMMYFUNCTION("GOOGLETRANSLATE(D:D,""auto"",""en"")"),"Fan bright room Katsumi Su Mingyu")</f>
        <v>Fan bright room Katsumi Su Mingyu</v>
      </c>
      <c r="D2892" s="4" t="s">
        <v>5017</v>
      </c>
      <c r="E2892" s="4">
        <v>7957351.0</v>
      </c>
      <c r="F2892" s="4">
        <v>41.0</v>
      </c>
      <c r="G2892" s="4" t="s">
        <v>5018</v>
      </c>
    </row>
    <row r="2893">
      <c r="A2893" s="1">
        <v>2891.0</v>
      </c>
      <c r="B2893" s="4" t="s">
        <v>4942</v>
      </c>
      <c r="C2893" s="4" t="str">
        <f>IFERROR(__xludf.DUMMYFUNCTION("GOOGLETRANSLATE(D:D,""auto"",""en"")"),"New 147 cases of the new crown pneumonia Italy")</f>
        <v>New 147 cases of the new crown pneumonia Italy</v>
      </c>
      <c r="D2893" s="4" t="s">
        <v>5019</v>
      </c>
      <c r="E2893" s="4">
        <v>7911518.0</v>
      </c>
      <c r="F2893" s="4">
        <v>42.0</v>
      </c>
      <c r="G2893" s="4" t="s">
        <v>5020</v>
      </c>
    </row>
    <row r="2894">
      <c r="A2894" s="1">
        <v>2892.0</v>
      </c>
      <c r="B2894" s="4" t="s">
        <v>4942</v>
      </c>
      <c r="C2894" s="4" t="str">
        <f>IFERROR(__xludf.DUMMYFUNCTION("GOOGLETRANSLATE(D:D,""auto"",""en"")"),"Yu Chen Qi in the hazy sense cp")</f>
        <v>Yu Chen Qi in the hazy sense cp</v>
      </c>
      <c r="D2894" s="4" t="s">
        <v>5021</v>
      </c>
      <c r="E2894" s="4">
        <v>7835039.0</v>
      </c>
      <c r="F2894" s="4">
        <v>43.0</v>
      </c>
      <c r="G2894" s="4" t="s">
        <v>5022</v>
      </c>
    </row>
    <row r="2895">
      <c r="A2895" s="1">
        <v>2893.0</v>
      </c>
      <c r="B2895" s="4" t="s">
        <v>4942</v>
      </c>
      <c r="C2895" s="4" t="str">
        <f>IFERROR(__xludf.DUMMYFUNCTION("GOOGLETRANSLATE(D:D,""auto"",""en"")"),"Beijing highway checkpoints to prevent sticking")</f>
        <v>Beijing highway checkpoints to prevent sticking</v>
      </c>
      <c r="D2895" s="4" t="s">
        <v>5023</v>
      </c>
      <c r="E2895" s="4">
        <v>7786680.0</v>
      </c>
      <c r="F2895" s="4">
        <v>44.0</v>
      </c>
      <c r="G2895" s="4" t="s">
        <v>5024</v>
      </c>
    </row>
    <row r="2896">
      <c r="A2896" s="1">
        <v>2894.0</v>
      </c>
      <c r="B2896" s="4" t="s">
        <v>4942</v>
      </c>
      <c r="C2896" s="4" t="str">
        <f>IFERROR(__xludf.DUMMYFUNCTION("GOOGLETRANSLATE(D:D,""auto"",""en"")"),"Ronghao to Zhang Yixing live brush gift")</f>
        <v>Ronghao to Zhang Yixing live brush gift</v>
      </c>
      <c r="D2896" s="4" t="s">
        <v>4934</v>
      </c>
      <c r="E2896" s="4">
        <v>7673575.0</v>
      </c>
      <c r="F2896" s="4">
        <v>45.0</v>
      </c>
      <c r="G2896" s="4" t="s">
        <v>4935</v>
      </c>
    </row>
    <row r="2897">
      <c r="A2897" s="1">
        <v>2895.0</v>
      </c>
      <c r="B2897" s="4" t="s">
        <v>4942</v>
      </c>
      <c r="C2897" s="4" t="str">
        <f>IFERROR(__xludf.DUMMYFUNCTION("GOOGLETRANSLATE(D:D,""auto"",""en"")"),"肖战 seniors")</f>
        <v>肖战 seniors</v>
      </c>
      <c r="D2897" s="4" t="s">
        <v>5025</v>
      </c>
      <c r="E2897" s="4">
        <v>7642672.0</v>
      </c>
      <c r="F2897" s="4">
        <v>46.0</v>
      </c>
      <c r="G2897" s="4" t="s">
        <v>5026</v>
      </c>
    </row>
    <row r="2898">
      <c r="A2898" s="1">
        <v>2896.0</v>
      </c>
      <c r="B2898" s="4" t="s">
        <v>4942</v>
      </c>
      <c r="C2898" s="4" t="str">
        <f>IFERROR(__xludf.DUMMYFUNCTION("GOOGLETRANSLATE(D:D,""auto"",""en"")"),"The first case of the United States is now unable to determine the source of the disease in patients with new crown")</f>
        <v>The first case of the United States is now unable to determine the source of the disease in patients with new crown</v>
      </c>
      <c r="D2898" s="4" t="s">
        <v>5027</v>
      </c>
      <c r="E2898" s="4">
        <v>7582201.0</v>
      </c>
      <c r="F2898" s="4">
        <v>47.0</v>
      </c>
      <c r="G2898" s="4" t="s">
        <v>5028</v>
      </c>
    </row>
    <row r="2899">
      <c r="A2899" s="1">
        <v>2897.0</v>
      </c>
      <c r="B2899" s="4" t="s">
        <v>4942</v>
      </c>
      <c r="C2899" s="4" t="str">
        <f>IFERROR(__xludf.DUMMYFUNCTION("GOOGLETRANSLATE(D:D,""auto"",""en"")"),"Hubei 404 people infected with the new crown Auxiliary pneumonia")</f>
        <v>Hubei 404 people infected with the new crown Auxiliary pneumonia</v>
      </c>
      <c r="D2899" s="4" t="s">
        <v>5029</v>
      </c>
      <c r="E2899" s="4">
        <v>7572495.0</v>
      </c>
      <c r="F2899" s="4">
        <v>48.0</v>
      </c>
      <c r="G2899" s="4" t="s">
        <v>5030</v>
      </c>
    </row>
    <row r="2900">
      <c r="A2900" s="1">
        <v>2898.0</v>
      </c>
      <c r="B2900" s="4" t="s">
        <v>4942</v>
      </c>
      <c r="C2900" s="4" t="str">
        <f>IFERROR(__xludf.DUMMYFUNCTION("GOOGLETRANSLATE(D:D,""auto"",""en"")"),"Professor Wu Gongtai Yang Chongqi infection died of pneumonia new crown")</f>
        <v>Professor Wu Gongtai Yang Chongqi infection died of pneumonia new crown</v>
      </c>
      <c r="D2900" s="4" t="s">
        <v>5031</v>
      </c>
      <c r="E2900" s="4">
        <v>7533000.0</v>
      </c>
      <c r="F2900" s="4">
        <v>49.0</v>
      </c>
      <c r="G2900" s="4" t="s">
        <v>5032</v>
      </c>
    </row>
    <row r="2901">
      <c r="A2901" s="1">
        <v>2899.0</v>
      </c>
      <c r="B2901" s="4" t="s">
        <v>4942</v>
      </c>
      <c r="C2901" s="4" t="str">
        <f>IFERROR(__xludf.DUMMYFUNCTION("GOOGLETRANSLATE(D:D,""auto"",""en"")"),"President of Mongolia to China Donates 30,000 sheep")</f>
        <v>President of Mongolia to China Donates 30,000 sheep</v>
      </c>
      <c r="D2901" s="4" t="s">
        <v>5033</v>
      </c>
      <c r="E2901" s="4">
        <v>7433442.0</v>
      </c>
      <c r="F2901" s="4">
        <v>50.0</v>
      </c>
      <c r="G2901" s="4" t="s">
        <v>5034</v>
      </c>
    </row>
    <row r="2902">
      <c r="A2902" s="1">
        <v>2900.0</v>
      </c>
      <c r="B2902" s="4" t="s">
        <v>5035</v>
      </c>
      <c r="C2902" s="4" t="str">
        <f>IFERROR(__xludf.DUMMYFUNCTION("GOOGLETRANSLATE(D:D,""auto"",""en"")"),"Sun Yang announced today the results of the hearing")</f>
        <v>Sun Yang announced today the results of the hearing</v>
      </c>
      <c r="D2902" s="4" t="s">
        <v>5036</v>
      </c>
      <c r="E2902" s="4">
        <v>1.2399438E7</v>
      </c>
      <c r="F2902" s="4">
        <v>1.0</v>
      </c>
      <c r="G2902" s="4" t="s">
        <v>5037</v>
      </c>
    </row>
    <row r="2903">
      <c r="A2903" s="1">
        <v>2901.0</v>
      </c>
      <c r="B2903" s="4" t="s">
        <v>5035</v>
      </c>
      <c r="C2903" s="4" t="str">
        <f>IFERROR(__xludf.DUMMYFUNCTION("GOOGLETRANSLATE(D:D,""auto"",""en"")"),"Cuiying Jun respond slag male Quotations")</f>
        <v>Cuiying Jun respond slag male Quotations</v>
      </c>
      <c r="D2903" s="4" t="s">
        <v>5038</v>
      </c>
      <c r="E2903" s="4">
        <v>1.2152806E7</v>
      </c>
      <c r="F2903" s="4">
        <v>2.0</v>
      </c>
      <c r="G2903" s="4" t="s">
        <v>5039</v>
      </c>
    </row>
    <row r="2904">
      <c r="A2904" s="1">
        <v>2902.0</v>
      </c>
      <c r="B2904" s="4" t="s">
        <v>5035</v>
      </c>
      <c r="C2904" s="4" t="str">
        <f>IFERROR(__xludf.DUMMYFUNCTION("GOOGLETRANSLATE(D:D,""auto"",""en"")"),"Bryant sister sun new tattoo")</f>
        <v>Bryant sister sun new tattoo</v>
      </c>
      <c r="D2904" s="4" t="s">
        <v>5040</v>
      </c>
      <c r="E2904" s="4">
        <v>1.2011337E7</v>
      </c>
      <c r="F2904" s="4">
        <v>3.0</v>
      </c>
      <c r="G2904" s="4" t="s">
        <v>5041</v>
      </c>
    </row>
    <row r="2905">
      <c r="A2905" s="1">
        <v>2903.0</v>
      </c>
      <c r="B2905" s="4" t="s">
        <v>5035</v>
      </c>
      <c r="C2905" s="4" t="str">
        <f>IFERROR(__xludf.DUMMYFUNCTION("GOOGLETRANSLATE(D:D,""auto"",""en"")"),"Kim Han Fan You are a proud reply healthcare")</f>
        <v>Kim Han Fan You are a proud reply healthcare</v>
      </c>
      <c r="D2905" s="4" t="s">
        <v>4965</v>
      </c>
      <c r="E2905" s="4">
        <v>1.1799639E7</v>
      </c>
      <c r="F2905" s="4">
        <v>4.0</v>
      </c>
      <c r="G2905" s="4" t="s">
        <v>4966</v>
      </c>
    </row>
    <row r="2906">
      <c r="A2906" s="1">
        <v>2904.0</v>
      </c>
      <c r="B2906" s="4" t="s">
        <v>5035</v>
      </c>
      <c r="C2906" s="4" t="str">
        <f>IFERROR(__xludf.DUMMYFUNCTION("GOOGLETRANSLATE(D:D,""auto"",""en"")"),"Bella becomes to make you proud girl")</f>
        <v>Bella becomes to make you proud girl</v>
      </c>
      <c r="D2906" s="4" t="s">
        <v>5042</v>
      </c>
      <c r="E2906" s="4">
        <v>1.1547956E7</v>
      </c>
      <c r="F2906" s="4">
        <v>5.0</v>
      </c>
      <c r="G2906" s="4" t="s">
        <v>5043</v>
      </c>
    </row>
    <row r="2907">
      <c r="A2907" s="1">
        <v>2905.0</v>
      </c>
      <c r="B2907" s="4" t="s">
        <v>5035</v>
      </c>
      <c r="C2907" s="4" t="str">
        <f>IFERROR(__xludf.DUMMYFUNCTION("GOOGLETRANSLATE(D:D,""auto"",""en"")"),"Wang Yuan Pacific broad shoulders")</f>
        <v>Wang Yuan Pacific broad shoulders</v>
      </c>
      <c r="D2907" s="4" t="s">
        <v>5044</v>
      </c>
      <c r="E2907" s="4">
        <v>1.1541588E7</v>
      </c>
      <c r="F2907" s="4">
        <v>6.0</v>
      </c>
      <c r="G2907" s="4" t="s">
        <v>5045</v>
      </c>
    </row>
    <row r="2908">
      <c r="A2908" s="1">
        <v>2906.0</v>
      </c>
      <c r="B2908" s="4" t="s">
        <v>5035</v>
      </c>
      <c r="C2908" s="4" t="str">
        <f>IFERROR(__xludf.DUMMYFUNCTION("GOOGLETRANSLATE(D:D,""auto"",""en"")"),"Yu Chen Qi in the hazy sense cp")</f>
        <v>Yu Chen Qi in the hazy sense cp</v>
      </c>
      <c r="D2908" s="4" t="s">
        <v>5021</v>
      </c>
      <c r="E2908" s="4">
        <v>1.1278875E7</v>
      </c>
      <c r="F2908" s="4">
        <v>7.0</v>
      </c>
      <c r="G2908" s="4" t="s">
        <v>5022</v>
      </c>
    </row>
    <row r="2909">
      <c r="A2909" s="1">
        <v>2907.0</v>
      </c>
      <c r="B2909" s="4" t="s">
        <v>5035</v>
      </c>
      <c r="C2909" s="4" t="str">
        <f>IFERROR(__xludf.DUMMYFUNCTION("GOOGLETRANSLATE(D:D,""auto"",""en"")"),"Huang Xiaoming as baby birthday")</f>
        <v>Huang Xiaoming as baby birthday</v>
      </c>
      <c r="D2909" s="4" t="s">
        <v>5046</v>
      </c>
      <c r="E2909" s="4">
        <v>1.1230286E7</v>
      </c>
      <c r="F2909" s="4">
        <v>8.0</v>
      </c>
      <c r="G2909" s="4" t="s">
        <v>5047</v>
      </c>
    </row>
    <row r="2910">
      <c r="A2910" s="1">
        <v>2908.0</v>
      </c>
      <c r="B2910" s="4" t="s">
        <v>5035</v>
      </c>
      <c r="C2910" s="4" t="str">
        <f>IFERROR(__xludf.DUMMYFUNCTION("GOOGLETRANSLATE(D:D,""auto"",""en"")"),"Asian elderly because of the epidemic was beaten in Italy")</f>
        <v>Asian elderly because of the epidemic was beaten in Italy</v>
      </c>
      <c r="D2910" s="4" t="s">
        <v>5048</v>
      </c>
      <c r="E2910" s="4">
        <v>1.09808E7</v>
      </c>
      <c r="F2910" s="4">
        <v>9.0</v>
      </c>
      <c r="G2910" s="4" t="s">
        <v>5049</v>
      </c>
    </row>
    <row r="2911">
      <c r="A2911" s="1">
        <v>2909.0</v>
      </c>
      <c r="B2911" s="4" t="s">
        <v>5035</v>
      </c>
      <c r="C2911" s="4" t="str">
        <f>IFERROR(__xludf.DUMMYFUNCTION("GOOGLETRANSLATE(D:D,""auto"",""en"")"),"Sun Yang response was banned")</f>
        <v>Sun Yang response was banned</v>
      </c>
      <c r="D2911" s="4" t="s">
        <v>5050</v>
      </c>
      <c r="E2911" s="4">
        <v>1.0839403E7</v>
      </c>
      <c r="F2911" s="4">
        <v>10.0</v>
      </c>
      <c r="G2911" s="4" t="s">
        <v>5051</v>
      </c>
    </row>
    <row r="2912">
      <c r="A2912" s="1">
        <v>2910.0</v>
      </c>
      <c r="B2912" s="4" t="s">
        <v>5035</v>
      </c>
      <c r="C2912" s="4" t="str">
        <f>IFERROR(__xludf.DUMMYFUNCTION("GOOGLETRANSLATE(D:D,""auto"",""en"")"),"Taking a close love beans hop dance gesture")</f>
        <v>Taking a close love beans hop dance gesture</v>
      </c>
      <c r="D2912" s="4" t="s">
        <v>5007</v>
      </c>
      <c r="E2912" s="4">
        <v>1.0778379E7</v>
      </c>
      <c r="F2912" s="4">
        <v>11.0</v>
      </c>
      <c r="G2912" s="4" t="s">
        <v>5008</v>
      </c>
    </row>
    <row r="2913">
      <c r="A2913" s="1">
        <v>2911.0</v>
      </c>
      <c r="B2913" s="4" t="s">
        <v>5035</v>
      </c>
      <c r="C2913" s="4" t="str">
        <f>IFERROR(__xludf.DUMMYFUNCTION("GOOGLETRANSLATE(D:D,""auto"",""en"")"),"SuperM China's first seal")</f>
        <v>SuperM China's first seal</v>
      </c>
      <c r="D2913" s="4" t="s">
        <v>5052</v>
      </c>
      <c r="E2913" s="4">
        <v>1.0755262E7</v>
      </c>
      <c r="F2913" s="4">
        <v>12.0</v>
      </c>
      <c r="G2913" s="4" t="s">
        <v>5053</v>
      </c>
    </row>
    <row r="2914">
      <c r="A2914" s="1">
        <v>2912.0</v>
      </c>
      <c r="B2914" s="4" t="s">
        <v>5035</v>
      </c>
      <c r="C2914" s="4" t="str">
        <f>IFERROR(__xludf.DUMMYFUNCTION("GOOGLETRANSLATE(D:D,""auto"",""en"")"),"South Korea and Japan to fight the epidemic China will not be absent")</f>
        <v>South Korea and Japan to fight the epidemic China will not be absent</v>
      </c>
      <c r="D2914" s="4" t="s">
        <v>5054</v>
      </c>
      <c r="E2914" s="4">
        <v>1.0698949E7</v>
      </c>
      <c r="F2914" s="4">
        <v>13.0</v>
      </c>
      <c r="G2914" s="4" t="s">
        <v>5055</v>
      </c>
    </row>
    <row r="2915">
      <c r="A2915" s="1">
        <v>2913.0</v>
      </c>
      <c r="B2915" s="4" t="s">
        <v>5035</v>
      </c>
      <c r="C2915" s="4" t="str">
        <f>IFERROR(__xludf.DUMMYFUNCTION("GOOGLETRANSLATE(D:D,""auto"",""en"")"),"Please do not take my hair is not easy when an artist")</f>
        <v>Please do not take my hair is not easy when an artist</v>
      </c>
      <c r="D2915" s="4" t="s">
        <v>4991</v>
      </c>
      <c r="E2915" s="4">
        <v>1.0306538E7</v>
      </c>
      <c r="F2915" s="4">
        <v>14.0</v>
      </c>
      <c r="G2915" s="4" t="s">
        <v>4992</v>
      </c>
    </row>
    <row r="2916">
      <c r="A2916" s="1">
        <v>2914.0</v>
      </c>
      <c r="B2916" s="4" t="s">
        <v>5035</v>
      </c>
      <c r="C2916" s="4" t="str">
        <f>IFERROR(__xludf.DUMMYFUNCTION("GOOGLETRANSLATE(D:D,""auto"",""en"")"),"Wuhan University student Chen Yan Ran sent a letter to president")</f>
        <v>Wuhan University student Chen Yan Ran sent a letter to president</v>
      </c>
      <c r="D2916" s="4" t="s">
        <v>5013</v>
      </c>
      <c r="E2916" s="4">
        <v>1.0263962E7</v>
      </c>
      <c r="F2916" s="4">
        <v>15.0</v>
      </c>
      <c r="G2916" s="4" t="s">
        <v>5014</v>
      </c>
    </row>
    <row r="2917">
      <c r="A2917" s="1">
        <v>2915.0</v>
      </c>
      <c r="B2917" s="4" t="s">
        <v>5035</v>
      </c>
      <c r="C2917" s="4" t="str">
        <f>IFERROR(__xludf.DUMMYFUNCTION("GOOGLETRANSLATE(D:D,""auto"",""en"")"),"Lee now has starred Luhan MV")</f>
        <v>Lee now has starred Luhan MV</v>
      </c>
      <c r="D2917" s="4" t="s">
        <v>5056</v>
      </c>
      <c r="E2917" s="4">
        <v>1.0209758E7</v>
      </c>
      <c r="F2917" s="4">
        <v>16.0</v>
      </c>
      <c r="G2917" s="4" t="s">
        <v>5057</v>
      </c>
    </row>
    <row r="2918">
      <c r="A2918" s="1">
        <v>2916.0</v>
      </c>
      <c r="B2918" s="4" t="s">
        <v>5035</v>
      </c>
      <c r="C2918" s="4" t="str">
        <f>IFERROR(__xludf.DUMMYFUNCTION("GOOGLETRANSLATE(D:D,""auto"",""en"")"),"Louis Koo signature can circle around the Earth")</f>
        <v>Louis Koo signature can circle around the Earth</v>
      </c>
      <c r="D2918" s="4" t="s">
        <v>5058</v>
      </c>
      <c r="E2918" s="4">
        <v>9974587.0</v>
      </c>
      <c r="F2918" s="4">
        <v>17.0</v>
      </c>
      <c r="G2918" s="4" t="s">
        <v>5059</v>
      </c>
    </row>
    <row r="2919">
      <c r="A2919" s="1">
        <v>2917.0</v>
      </c>
      <c r="B2919" s="4" t="s">
        <v>5035</v>
      </c>
      <c r="C2919" s="4" t="str">
        <f>IFERROR(__xludf.DUMMYFUNCTION("GOOGLETRANSLATE(D:D,""auto"",""en"")"),"ZHANG Wen-hong is expected to be wearing masks 1-2 months")</f>
        <v>ZHANG Wen-hong is expected to be wearing masks 1-2 months</v>
      </c>
      <c r="D2919" s="4" t="s">
        <v>5060</v>
      </c>
      <c r="E2919" s="4">
        <v>9960030.0</v>
      </c>
      <c r="F2919" s="4">
        <v>18.0</v>
      </c>
      <c r="G2919" s="4" t="s">
        <v>5061</v>
      </c>
    </row>
    <row r="2920">
      <c r="A2920" s="1">
        <v>2918.0</v>
      </c>
      <c r="B2920" s="4" t="s">
        <v>5035</v>
      </c>
      <c r="C2920" s="4" t="str">
        <f>IFERROR(__xludf.DUMMYFUNCTION("GOOGLETRANSLATE(D:D,""auto"",""en"")"),"Taking a hug Eddie E nurse aid")</f>
        <v>Taking a hug Eddie E nurse aid</v>
      </c>
      <c r="D2920" s="4" t="s">
        <v>5062</v>
      </c>
      <c r="E2920" s="4">
        <v>9871778.0</v>
      </c>
      <c r="F2920" s="4">
        <v>19.0</v>
      </c>
      <c r="G2920" s="4" t="s">
        <v>5063</v>
      </c>
    </row>
    <row r="2921">
      <c r="A2921" s="1">
        <v>2919.0</v>
      </c>
      <c r="B2921" s="4" t="s">
        <v>5035</v>
      </c>
      <c r="C2921" s="4" t="str">
        <f>IFERROR(__xludf.DUMMYFUNCTION("GOOGLETRANSLATE(D:D,""auto"",""en"")"),"Hubei new confirmed cases 318 cases")</f>
        <v>Hubei new confirmed cases 318 cases</v>
      </c>
      <c r="D2921" s="4" t="s">
        <v>5064</v>
      </c>
      <c r="E2921" s="4">
        <v>9751869.0</v>
      </c>
      <c r="F2921" s="4">
        <v>20.0</v>
      </c>
      <c r="G2921" s="4" t="s">
        <v>5065</v>
      </c>
    </row>
    <row r="2922">
      <c r="A2922" s="1">
        <v>2920.0</v>
      </c>
      <c r="B2922" s="4" t="s">
        <v>5035</v>
      </c>
      <c r="C2922" s="4" t="str">
        <f>IFERROR(__xludf.DUMMYFUNCTION("GOOGLETRANSLATE(D:D,""auto"",""en"")"),"Outside China is the biggest concern Tan Desai")</f>
        <v>Outside China is the biggest concern Tan Desai</v>
      </c>
      <c r="D2922" s="4" t="s">
        <v>5066</v>
      </c>
      <c r="E2922" s="4">
        <v>9749436.0</v>
      </c>
      <c r="F2922" s="4">
        <v>21.0</v>
      </c>
      <c r="G2922" s="4" t="s">
        <v>5067</v>
      </c>
    </row>
    <row r="2923">
      <c r="A2923" s="1">
        <v>2921.0</v>
      </c>
      <c r="B2923" s="4" t="s">
        <v>5035</v>
      </c>
      <c r="C2923" s="4" t="str">
        <f>IFERROR(__xludf.DUMMYFUNCTION("GOOGLETRANSLATE(D:D,""auto"",""en"")"),"Hubei female front-line fight against SARS Auxiliary sacrifice")</f>
        <v>Hubei female front-line fight against SARS Auxiliary sacrifice</v>
      </c>
      <c r="D2923" s="4" t="s">
        <v>5068</v>
      </c>
      <c r="E2923" s="4">
        <v>9513112.0</v>
      </c>
      <c r="F2923" s="4">
        <v>22.0</v>
      </c>
      <c r="G2923" s="4" t="s">
        <v>5069</v>
      </c>
    </row>
    <row r="2924">
      <c r="A2924" s="1">
        <v>2922.0</v>
      </c>
      <c r="B2924" s="4" t="s">
        <v>5035</v>
      </c>
      <c r="C2924" s="4" t="str">
        <f>IFERROR(__xludf.DUMMYFUNCTION("GOOGLETRANSLATE(D:D,""auto"",""en"")"),"24 provinces and municipalities new cases 0")</f>
        <v>24 provinces and municipalities new cases 0</v>
      </c>
      <c r="D2924" s="4" t="s">
        <v>5070</v>
      </c>
      <c r="E2924" s="4">
        <v>9503327.0</v>
      </c>
      <c r="F2924" s="4">
        <v>23.0</v>
      </c>
      <c r="G2924" s="4" t="s">
        <v>5071</v>
      </c>
    </row>
    <row r="2925">
      <c r="A2925" s="1">
        <v>2923.0</v>
      </c>
      <c r="B2925" s="4" t="s">
        <v>5035</v>
      </c>
      <c r="C2925" s="4" t="str">
        <f>IFERROR(__xludf.DUMMYFUNCTION("GOOGLETRANSLATE(D:D,""auto"",""en"")"),"Masks also with how long")</f>
        <v>Masks also with how long</v>
      </c>
      <c r="D2925" s="4" t="s">
        <v>5072</v>
      </c>
      <c r="E2925" s="4">
        <v>9329800.0</v>
      </c>
      <c r="F2925" s="4">
        <v>24.0</v>
      </c>
      <c r="G2925" s="4" t="s">
        <v>5073</v>
      </c>
    </row>
    <row r="2926">
      <c r="A2926" s="1">
        <v>2924.0</v>
      </c>
      <c r="B2926" s="4" t="s">
        <v>5035</v>
      </c>
      <c r="C2926" s="4" t="str">
        <f>IFERROR(__xludf.DUMMYFUNCTION("GOOGLETRANSLATE(D:D,""auto"",""en"")"),"Lai was arrested")</f>
        <v>Lai was arrested</v>
      </c>
      <c r="D2926" s="4" t="s">
        <v>5074</v>
      </c>
      <c r="E2926" s="4">
        <v>9288579.0</v>
      </c>
      <c r="F2926" s="4">
        <v>25.0</v>
      </c>
      <c r="G2926" s="4" t="s">
        <v>5075</v>
      </c>
    </row>
    <row r="2927">
      <c r="A2927" s="1">
        <v>2925.0</v>
      </c>
      <c r="B2927" s="4" t="s">
        <v>5035</v>
      </c>
      <c r="C2927" s="4" t="str">
        <f>IFERROR(__xludf.DUMMYFUNCTION("GOOGLETRANSLATE(D:D,""auto"",""en"")"),"Why call Wu Bai Wu Bai")</f>
        <v>Why call Wu Bai Wu Bai</v>
      </c>
      <c r="D2927" s="4" t="s">
        <v>5076</v>
      </c>
      <c r="E2927" s="4">
        <v>9281078.0</v>
      </c>
      <c r="F2927" s="4">
        <v>26.0</v>
      </c>
      <c r="G2927" s="4" t="s">
        <v>5077</v>
      </c>
    </row>
    <row r="2928">
      <c r="A2928" s="1">
        <v>2926.0</v>
      </c>
      <c r="B2928" s="4" t="s">
        <v>5035</v>
      </c>
      <c r="C2928" s="4" t="str">
        <f>IFERROR(__xludf.DUMMYFUNCTION("GOOGLETRANSLATE(D:D,""auto"",""en"")"),"Stella Can I kiss you right")</f>
        <v>Stella Can I kiss you right</v>
      </c>
      <c r="D2928" s="4" t="s">
        <v>5078</v>
      </c>
      <c r="E2928" s="4">
        <v>9005279.0</v>
      </c>
      <c r="F2928" s="4">
        <v>27.0</v>
      </c>
      <c r="G2928" s="4" t="s">
        <v>5079</v>
      </c>
    </row>
    <row r="2929">
      <c r="A2929" s="1">
        <v>2927.0</v>
      </c>
      <c r="B2929" s="4" t="s">
        <v>5035</v>
      </c>
      <c r="C2929" s="4" t="str">
        <f>IFERROR(__xludf.DUMMYFUNCTION("GOOGLETRANSLATE(D:D,""auto"",""en"")"),"Graduate enrollment increased by 18.9 million more than last year")</f>
        <v>Graduate enrollment increased by 18.9 million more than last year</v>
      </c>
      <c r="D2929" s="4" t="s">
        <v>5080</v>
      </c>
      <c r="E2929" s="4">
        <v>8964777.0</v>
      </c>
      <c r="F2929" s="4">
        <v>28.0</v>
      </c>
      <c r="G2929" s="4" t="s">
        <v>5081</v>
      </c>
    </row>
    <row r="2930">
      <c r="A2930" s="1">
        <v>2928.0</v>
      </c>
      <c r="B2930" s="4" t="s">
        <v>5035</v>
      </c>
      <c r="C2930" s="4" t="str">
        <f>IFERROR(__xludf.DUMMYFUNCTION("GOOGLETRANSLATE(D:D,""auto"",""en"")"),"The national total of 78,824 cases of pneumonia diagnosed with the new crown")</f>
        <v>The national total of 78,824 cases of pneumonia diagnosed with the new crown</v>
      </c>
      <c r="D2930" s="4" t="s">
        <v>5082</v>
      </c>
      <c r="E2930" s="4">
        <v>8964439.0</v>
      </c>
      <c r="F2930" s="4">
        <v>29.0</v>
      </c>
      <c r="G2930" s="4" t="s">
        <v>5083</v>
      </c>
    </row>
    <row r="2931">
      <c r="A2931" s="1">
        <v>2929.0</v>
      </c>
      <c r="B2931" s="4" t="s">
        <v>5035</v>
      </c>
      <c r="C2931" s="4" t="str">
        <f>IFERROR(__xludf.DUMMYFUNCTION("GOOGLETRANSLATE(D:D,""auto"",""en"")"),"2:00's shelter Hospital")</f>
        <v>2:00's shelter Hospital</v>
      </c>
      <c r="D2931" s="4" t="s">
        <v>5084</v>
      </c>
      <c r="E2931" s="4">
        <v>8835387.0</v>
      </c>
      <c r="F2931" s="4">
        <v>30.0</v>
      </c>
      <c r="G2931" s="4" t="s">
        <v>5085</v>
      </c>
    </row>
    <row r="2932">
      <c r="A2932" s="1">
        <v>2930.0</v>
      </c>
      <c r="B2932" s="4" t="s">
        <v>5035</v>
      </c>
      <c r="C2932" s="4" t="str">
        <f>IFERROR(__xludf.DUMMYFUNCTION("GOOGLETRANSLATE(D:D,""auto"",""en"")"),"The first case of the new crown pneumonia dead autopsy report released")</f>
        <v>The first case of the new crown pneumonia dead autopsy report released</v>
      </c>
      <c r="D2932" s="4" t="s">
        <v>5086</v>
      </c>
      <c r="E2932" s="4">
        <v>8817772.0</v>
      </c>
      <c r="F2932" s="4">
        <v>31.0</v>
      </c>
      <c r="G2932" s="4" t="s">
        <v>5087</v>
      </c>
    </row>
    <row r="2933">
      <c r="A2933" s="1">
        <v>2931.0</v>
      </c>
      <c r="B2933" s="4" t="s">
        <v>5035</v>
      </c>
      <c r="C2933" s="4" t="str">
        <f>IFERROR(__xludf.DUMMYFUNCTION("GOOGLETRANSLATE(D:D,""auto"",""en"")"),"Sichuan villagers capture 33 is isolated home bats")</f>
        <v>Sichuan villagers capture 33 is isolated home bats</v>
      </c>
      <c r="D2933" s="4" t="s">
        <v>5088</v>
      </c>
      <c r="E2933" s="4">
        <v>8727554.0</v>
      </c>
      <c r="F2933" s="4">
        <v>32.0</v>
      </c>
      <c r="G2933" s="4" t="s">
        <v>5089</v>
      </c>
    </row>
    <row r="2934">
      <c r="A2934" s="1">
        <v>2932.0</v>
      </c>
      <c r="B2934" s="4" t="s">
        <v>5035</v>
      </c>
      <c r="C2934" s="4" t="str">
        <f>IFERROR(__xludf.DUMMYFUNCTION("GOOGLETRANSLATE(D:D,""auto"",""en"")"),"Sun Yang was banned for eight years")</f>
        <v>Sun Yang was banned for eight years</v>
      </c>
      <c r="D2934" s="4" t="s">
        <v>5090</v>
      </c>
      <c r="E2934" s="4">
        <v>8676588.0</v>
      </c>
      <c r="F2934" s="4">
        <v>33.0</v>
      </c>
      <c r="G2934" s="4" t="s">
        <v>5091</v>
      </c>
    </row>
    <row r="2935">
      <c r="A2935" s="1">
        <v>2933.0</v>
      </c>
      <c r="B2935" s="4" t="s">
        <v>5035</v>
      </c>
      <c r="C2935" s="4" t="str">
        <f>IFERROR(__xludf.DUMMYFUNCTION("GOOGLETRANSLATE(D:D,""auto"",""en"")"),"Indian capital riots have caused 32 deaths")</f>
        <v>Indian capital riots have caused 32 deaths</v>
      </c>
      <c r="D2935" s="4" t="s">
        <v>5092</v>
      </c>
      <c r="E2935" s="4">
        <v>8596442.0</v>
      </c>
      <c r="F2935" s="4">
        <v>34.0</v>
      </c>
      <c r="G2935" s="4" t="s">
        <v>5093</v>
      </c>
    </row>
    <row r="2936">
      <c r="A2936" s="1">
        <v>2934.0</v>
      </c>
      <c r="B2936" s="4" t="s">
        <v>5035</v>
      </c>
      <c r="C2936" s="4" t="str">
        <f>IFERROR(__xludf.DUMMYFUNCTION("GOOGLETRANSLATE(D:D,""auto"",""en"")"),"Liaoguo Xun, deputy secretary of the Shanghai")</f>
        <v>Liaoguo Xun, deputy secretary of the Shanghai</v>
      </c>
      <c r="D2936" s="4" t="s">
        <v>5094</v>
      </c>
      <c r="E2936" s="4">
        <v>8588022.0</v>
      </c>
      <c r="F2936" s="4">
        <v>35.0</v>
      </c>
      <c r="G2936" s="4" t="s">
        <v>5095</v>
      </c>
    </row>
    <row r="2937">
      <c r="A2937" s="1">
        <v>2935.0</v>
      </c>
      <c r="B2937" s="4" t="s">
        <v>5035</v>
      </c>
      <c r="C2937" s="4" t="str">
        <f>IFERROR(__xludf.DUMMYFUNCTION("GOOGLETRANSLATE(D:D,""auto"",""en"")"),"9 cases of new cases other than Hubei")</f>
        <v>9 cases of new cases other than Hubei</v>
      </c>
      <c r="D2937" s="4" t="s">
        <v>5096</v>
      </c>
      <c r="E2937" s="4">
        <v>8575350.0</v>
      </c>
      <c r="F2937" s="4">
        <v>36.0</v>
      </c>
      <c r="G2937" s="4" t="s">
        <v>5097</v>
      </c>
    </row>
    <row r="2938">
      <c r="A2938" s="1">
        <v>2936.0</v>
      </c>
      <c r="B2938" s="4" t="s">
        <v>5035</v>
      </c>
      <c r="C2938" s="4" t="str">
        <f>IFERROR(__xludf.DUMMYFUNCTION("GOOGLETRANSLATE(D:D,""auto"",""en"")"),"Wang Yibo holding your breath underwater")</f>
        <v>Wang Yibo holding your breath underwater</v>
      </c>
      <c r="D2938" s="4" t="s">
        <v>5098</v>
      </c>
      <c r="E2938" s="4">
        <v>8501798.0</v>
      </c>
      <c r="F2938" s="4">
        <v>37.0</v>
      </c>
      <c r="G2938" s="4" t="s">
        <v>5099</v>
      </c>
    </row>
    <row r="2939">
      <c r="A2939" s="1">
        <v>2937.0</v>
      </c>
      <c r="B2939" s="4" t="s">
        <v>5035</v>
      </c>
      <c r="C2939" s="4" t="str">
        <f>IFERROR(__xludf.DUMMYFUNCTION("GOOGLETRANSLATE(D:D,""auto"",""en"")"),"Huawei's European plants will be located in France")</f>
        <v>Huawei's European plants will be located in France</v>
      </c>
      <c r="D2939" s="4" t="s">
        <v>5100</v>
      </c>
      <c r="E2939" s="4">
        <v>8417753.0</v>
      </c>
      <c r="F2939" s="4">
        <v>38.0</v>
      </c>
      <c r="G2939" s="4" t="s">
        <v>5101</v>
      </c>
    </row>
    <row r="2940">
      <c r="A2940" s="1">
        <v>2938.0</v>
      </c>
      <c r="B2940" s="4" t="s">
        <v>5035</v>
      </c>
      <c r="C2940" s="4" t="str">
        <f>IFERROR(__xludf.DUMMYFUNCTION("GOOGLETRANSLATE(D:D,""auto"",""en"")"),"New 250 cases of pneumonia in the new crown Italy 24 hours")</f>
        <v>New 250 cases of pneumonia in the new crown Italy 24 hours</v>
      </c>
      <c r="D2940" s="4" t="s">
        <v>5102</v>
      </c>
      <c r="E2940" s="4">
        <v>8319291.0</v>
      </c>
      <c r="F2940" s="4">
        <v>39.0</v>
      </c>
      <c r="G2940" s="4" t="s">
        <v>5103</v>
      </c>
    </row>
    <row r="2941">
      <c r="A2941" s="1">
        <v>2939.0</v>
      </c>
      <c r="B2941" s="4" t="s">
        <v>5035</v>
      </c>
      <c r="C2941" s="4" t="str">
        <f>IFERROR(__xludf.DUMMYFUNCTION("GOOGLETRANSLATE(D:D,""auto"",""en"")"),"Ministry of Education, in response to the college entrance examination will not be postponed")</f>
        <v>Ministry of Education, in response to the college entrance examination will not be postponed</v>
      </c>
      <c r="D2941" s="4" t="s">
        <v>5104</v>
      </c>
      <c r="E2941" s="4">
        <v>8302773.0</v>
      </c>
      <c r="F2941" s="4">
        <v>40.0</v>
      </c>
      <c r="G2941" s="4" t="s">
        <v>5105</v>
      </c>
    </row>
    <row r="2942">
      <c r="A2942" s="1">
        <v>2940.0</v>
      </c>
      <c r="B2942" s="4" t="s">
        <v>5035</v>
      </c>
      <c r="C2942" s="4" t="str">
        <f>IFERROR(__xludf.DUMMYFUNCTION("GOOGLETRANSLATE(D:D,""auto"",""en"")"),"Stella Taking respond Cuiying Jun")</f>
        <v>Stella Taking respond Cuiying Jun</v>
      </c>
      <c r="D2942" s="4" t="s">
        <v>5106</v>
      </c>
      <c r="E2942" s="4">
        <v>8263320.0</v>
      </c>
      <c r="F2942" s="4">
        <v>41.0</v>
      </c>
      <c r="G2942" s="4" t="s">
        <v>5107</v>
      </c>
    </row>
    <row r="2943">
      <c r="A2943" s="1">
        <v>2941.0</v>
      </c>
      <c r="B2943" s="4" t="s">
        <v>5035</v>
      </c>
      <c r="C2943" s="4" t="str">
        <f>IFERROR(__xludf.DUMMYFUNCTION("GOOGLETRANSLATE(D:D,""auto"",""en"")"),"Ye Qian clarify Mori Butterfly Height")</f>
        <v>Ye Qian clarify Mori Butterfly Height</v>
      </c>
      <c r="D2943" s="4" t="s">
        <v>5108</v>
      </c>
      <c r="E2943" s="4">
        <v>8220214.0</v>
      </c>
      <c r="F2943" s="4">
        <v>42.0</v>
      </c>
      <c r="G2943" s="4" t="s">
        <v>5109</v>
      </c>
    </row>
    <row r="2944">
      <c r="A2944" s="1">
        <v>2942.0</v>
      </c>
      <c r="B2944" s="4" t="s">
        <v>5035</v>
      </c>
      <c r="C2944" s="4" t="str">
        <f>IFERROR(__xludf.DUMMYFUNCTION("GOOGLETRANSLATE(D:D,""auto"",""en"")"),"Cai Xu Kun wear Qiuku")</f>
        <v>Cai Xu Kun wear Qiuku</v>
      </c>
      <c r="D2944" s="4" t="s">
        <v>5110</v>
      </c>
      <c r="E2944" s="4">
        <v>8079093.0</v>
      </c>
      <c r="F2944" s="4">
        <v>43.0</v>
      </c>
      <c r="G2944" s="4" t="s">
        <v>5111</v>
      </c>
    </row>
    <row r="2945">
      <c r="A2945" s="1">
        <v>2943.0</v>
      </c>
      <c r="B2945" s="4" t="s">
        <v>5035</v>
      </c>
      <c r="C2945" s="4" t="str">
        <f>IFERROR(__xludf.DUMMYFUNCTION("GOOGLETRANSLATE(D:D,""auto"",""en"")"),"Auxiliary epidemic prevention work overtime in a car accident the region's people to donate blood")</f>
        <v>Auxiliary epidemic prevention work overtime in a car accident the region's people to donate blood</v>
      </c>
      <c r="D2945" s="4" t="s">
        <v>5112</v>
      </c>
      <c r="E2945" s="4">
        <v>8035169.0</v>
      </c>
      <c r="F2945" s="4">
        <v>44.0</v>
      </c>
      <c r="G2945" s="4" t="s">
        <v>5113</v>
      </c>
    </row>
    <row r="2946">
      <c r="A2946" s="1">
        <v>2944.0</v>
      </c>
      <c r="B2946" s="4" t="s">
        <v>5035</v>
      </c>
      <c r="C2946" s="4" t="str">
        <f>IFERROR(__xludf.DUMMYFUNCTION("GOOGLETRANSLATE(D:D,""auto"",""en"")"),"Chinese Embassy to rush to the rescue masks Daegu")</f>
        <v>Chinese Embassy to rush to the rescue masks Daegu</v>
      </c>
      <c r="D2946" s="4" t="s">
        <v>5114</v>
      </c>
      <c r="E2946" s="4">
        <v>8018902.0</v>
      </c>
      <c r="F2946" s="4">
        <v>45.0</v>
      </c>
      <c r="G2946" s="4" t="s">
        <v>5115</v>
      </c>
    </row>
    <row r="2947">
      <c r="A2947" s="1">
        <v>2945.0</v>
      </c>
      <c r="B2947" s="4" t="s">
        <v>5035</v>
      </c>
      <c r="C2947" s="4" t="str">
        <f>IFERROR(__xludf.DUMMYFUNCTION("GOOGLETRANSLATE(D:D,""auto"",""en"")"),"Massu no desire to survive in the face of her mother")</f>
        <v>Massu no desire to survive in the face of her mother</v>
      </c>
      <c r="D2947" s="4" t="s">
        <v>5116</v>
      </c>
      <c r="E2947" s="4">
        <v>7935044.0</v>
      </c>
      <c r="F2947" s="4">
        <v>46.0</v>
      </c>
      <c r="G2947" s="4" t="s">
        <v>5117</v>
      </c>
    </row>
    <row r="2948">
      <c r="A2948" s="1">
        <v>2946.0</v>
      </c>
      <c r="B2948" s="4" t="s">
        <v>5035</v>
      </c>
      <c r="C2948" s="4" t="str">
        <f>IFERROR(__xludf.DUMMYFUNCTION("GOOGLETRANSLATE(D:D,""auto"",""en"")"),"Woman wearing clothes shopping is stopped inflatable dragon")</f>
        <v>Woman wearing clothes shopping is stopped inflatable dragon</v>
      </c>
      <c r="D2948" s="4" t="s">
        <v>5118</v>
      </c>
      <c r="E2948" s="4">
        <v>7883066.0</v>
      </c>
      <c r="F2948" s="4">
        <v>47.0</v>
      </c>
      <c r="G2948" s="4" t="s">
        <v>5119</v>
      </c>
    </row>
    <row r="2949">
      <c r="A2949" s="1">
        <v>2947.0</v>
      </c>
      <c r="B2949" s="4" t="s">
        <v>5035</v>
      </c>
      <c r="C2949" s="4" t="str">
        <f>IFERROR(__xludf.DUMMYFUNCTION("GOOGLETRANSLATE(D:D,""auto"",""en"")"),"South Korea 1299 new world of believers have symptoms of unknown origin")</f>
        <v>South Korea 1299 new world of believers have symptoms of unknown origin</v>
      </c>
      <c r="D2949" s="4" t="s">
        <v>5120</v>
      </c>
      <c r="E2949" s="4">
        <v>7683893.0</v>
      </c>
      <c r="F2949" s="4">
        <v>48.0</v>
      </c>
      <c r="G2949" s="4" t="s">
        <v>5121</v>
      </c>
    </row>
    <row r="2950">
      <c r="A2950" s="1">
        <v>2948.0</v>
      </c>
      <c r="B2950" s="4" t="s">
        <v>5035</v>
      </c>
      <c r="C2950" s="4" t="str">
        <f>IFERROR(__xludf.DUMMYFUNCTION("GOOGLETRANSLATE(D:D,""auto"",""en"")"),"Fan bright room Katsumi Su Mingyu")</f>
        <v>Fan bright room Katsumi Su Mingyu</v>
      </c>
      <c r="D2950" s="4" t="s">
        <v>5017</v>
      </c>
      <c r="E2950" s="4">
        <v>7674625.0</v>
      </c>
      <c r="F2950" s="4">
        <v>49.0</v>
      </c>
      <c r="G2950" s="4" t="s">
        <v>5018</v>
      </c>
    </row>
    <row r="2951">
      <c r="A2951" s="1">
        <v>2949.0</v>
      </c>
      <c r="B2951" s="4" t="s">
        <v>5035</v>
      </c>
      <c r="C2951" s="4" t="str">
        <f>IFERROR(__xludf.DUMMYFUNCTION("GOOGLETRANSLATE(D:D,""auto"",""en"")"),"Ren Jialun Skating Rink")</f>
        <v>Ren Jialun Skating Rink</v>
      </c>
      <c r="D2951" s="4" t="s">
        <v>5122</v>
      </c>
      <c r="E2951" s="4">
        <v>7630305.0</v>
      </c>
      <c r="F2951" s="4">
        <v>50.0</v>
      </c>
      <c r="G2951" s="4" t="s">
        <v>5123</v>
      </c>
    </row>
    <row r="2952">
      <c r="A2952" s="1">
        <v>2950.0</v>
      </c>
      <c r="B2952" s="4" t="s">
        <v>5124</v>
      </c>
      <c r="C2952" s="4" t="str">
        <f>IFERROR(__xludf.DUMMYFUNCTION("GOOGLETRANSLATE(D:D,""auto"",""en"")"),"Hubei new confirmed cases 423 cases")</f>
        <v>Hubei new confirmed cases 423 cases</v>
      </c>
      <c r="D2952" s="4" t="s">
        <v>5125</v>
      </c>
      <c r="E2952" s="4">
        <v>1.4692956E7</v>
      </c>
      <c r="F2952" s="4">
        <v>1.0</v>
      </c>
      <c r="G2952" s="4" t="s">
        <v>5126</v>
      </c>
    </row>
    <row r="2953">
      <c r="A2953" s="1">
        <v>2951.0</v>
      </c>
      <c r="B2953" s="4" t="s">
        <v>5124</v>
      </c>
      <c r="C2953" s="4" t="str">
        <f>IFERROR(__xludf.DUMMYFUNCTION("GOOGLETRANSLATE(D:D,""auto"",""en"")"),"Whether the epidemic will affect your wages")</f>
        <v>Whether the epidemic will affect your wages</v>
      </c>
      <c r="D2953" s="4" t="s">
        <v>5127</v>
      </c>
      <c r="E2953" s="4">
        <v>1.4355201E7</v>
      </c>
      <c r="F2953" s="4">
        <v>2.0</v>
      </c>
      <c r="G2953" s="4" t="s">
        <v>5128</v>
      </c>
    </row>
    <row r="2954">
      <c r="A2954" s="1">
        <v>2952.0</v>
      </c>
      <c r="B2954" s="4" t="s">
        <v>5124</v>
      </c>
      <c r="C2954" s="4" t="str">
        <f>IFERROR(__xludf.DUMMYFUNCTION("GOOGLETRANSLATE(D:D,""auto"",""en"")"),"The national total of 79,251 cases of pneumonia diagnosed with the new crown")</f>
        <v>The national total of 79,251 cases of pneumonia diagnosed with the new crown</v>
      </c>
      <c r="D2954" s="4" t="s">
        <v>5129</v>
      </c>
      <c r="E2954" s="4">
        <v>1.3946677E7</v>
      </c>
      <c r="F2954" s="4">
        <v>3.0</v>
      </c>
      <c r="G2954" s="4" t="s">
        <v>5130</v>
      </c>
    </row>
    <row r="2955">
      <c r="A2955" s="1">
        <v>2953.0</v>
      </c>
      <c r="B2955" s="4" t="s">
        <v>5124</v>
      </c>
      <c r="C2955" s="4" t="str">
        <f>IFERROR(__xludf.DUMMYFUNCTION("GOOGLETRANSLATE(D:D,""auto"",""en"")"),"Zhao Lusi proposition to send me a good answer")</f>
        <v>Zhao Lusi proposition to send me a good answer</v>
      </c>
      <c r="D2955" s="4" t="s">
        <v>5131</v>
      </c>
      <c r="E2955" s="4">
        <v>1.3601008E7</v>
      </c>
      <c r="F2955" s="4">
        <v>4.0</v>
      </c>
      <c r="G2955" s="4" t="s">
        <v>5132</v>
      </c>
    </row>
    <row r="2956">
      <c r="A2956" s="1">
        <v>2954.0</v>
      </c>
      <c r="B2956" s="4" t="s">
        <v>5124</v>
      </c>
      <c r="C2956" s="4" t="str">
        <f>IFERROR(__xludf.DUMMYFUNCTION("GOOGLETRANSLATE(D:D,""auto"",""en"")"),"Stella Taking respond Cuiying Jun")</f>
        <v>Stella Taking respond Cuiying Jun</v>
      </c>
      <c r="D2956" s="4" t="s">
        <v>5106</v>
      </c>
      <c r="E2956" s="4">
        <v>1.325312E7</v>
      </c>
      <c r="F2956" s="4">
        <v>5.0</v>
      </c>
      <c r="G2956" s="4" t="s">
        <v>5107</v>
      </c>
    </row>
    <row r="2957">
      <c r="A2957" s="1">
        <v>2955.0</v>
      </c>
      <c r="B2957" s="4" t="s">
        <v>5124</v>
      </c>
      <c r="C2957" s="4" t="str">
        <f>IFERROR(__xludf.DUMMYFUNCTION("GOOGLETRANSLATE(D:D,""auto"",""en"")"),"Hubei new confirmed cases outside the four cases")</f>
        <v>Hubei new confirmed cases outside the four cases</v>
      </c>
      <c r="D2957" s="4" t="s">
        <v>5133</v>
      </c>
      <c r="E2957" s="4">
        <v>1.2925204E7</v>
      </c>
      <c r="F2957" s="4">
        <v>6.0</v>
      </c>
      <c r="G2957" s="4" t="s">
        <v>5134</v>
      </c>
    </row>
    <row r="2958">
      <c r="A2958" s="1">
        <v>2956.0</v>
      </c>
      <c r="B2958" s="4" t="s">
        <v>5124</v>
      </c>
      <c r="C2958" s="4" t="str">
        <f>IFERROR(__xludf.DUMMYFUNCTION("GOOGLETRANSLATE(D:D,""auto"",""en"")"),"Yang Mi reply frontline support staff")</f>
        <v>Yang Mi reply frontline support staff</v>
      </c>
      <c r="D2958" s="4" t="s">
        <v>5135</v>
      </c>
      <c r="E2958" s="4">
        <v>1.2656253E7</v>
      </c>
      <c r="F2958" s="4">
        <v>7.0</v>
      </c>
      <c r="G2958" s="4" t="s">
        <v>5136</v>
      </c>
    </row>
    <row r="2959">
      <c r="A2959" s="1">
        <v>2957.0</v>
      </c>
      <c r="B2959" s="4" t="s">
        <v>5124</v>
      </c>
      <c r="C2959" s="4" t="str">
        <f>IFERROR(__xludf.DUMMYFUNCTION("GOOGLETRANSLATE(D:D,""auto"",""en"")"),"China sent a group of experts to Iran CDC")</f>
        <v>China sent a group of experts to Iran CDC</v>
      </c>
      <c r="D2959" s="4" t="s">
        <v>5137</v>
      </c>
      <c r="E2959" s="4">
        <v>1.2369708E7</v>
      </c>
      <c r="F2959" s="4">
        <v>8.0</v>
      </c>
      <c r="G2959" s="4" t="s">
        <v>5138</v>
      </c>
    </row>
    <row r="2960">
      <c r="A2960" s="1">
        <v>2958.0</v>
      </c>
      <c r="B2960" s="4" t="s">
        <v>5124</v>
      </c>
      <c r="C2960" s="4" t="str">
        <f>IFERROR(__xludf.DUMMYFUNCTION("GOOGLETRANSLATE(D:D,""auto"",""en"")"),"Mongolia presented 30,000 sheep coming to China")</f>
        <v>Mongolia presented 30,000 sheep coming to China</v>
      </c>
      <c r="D2960" s="4" t="s">
        <v>5139</v>
      </c>
      <c r="E2960" s="4">
        <v>1.2011943E7</v>
      </c>
      <c r="F2960" s="4">
        <v>9.0</v>
      </c>
      <c r="G2960" s="4" t="s">
        <v>5140</v>
      </c>
    </row>
    <row r="2961">
      <c r="A2961" s="1">
        <v>2959.0</v>
      </c>
      <c r="B2961" s="4" t="s">
        <v>5124</v>
      </c>
      <c r="C2961" s="4" t="str">
        <f>IFERROR(__xludf.DUMMYFUNCTION("GOOGLETRANSLATE(D:D,""auto"",""en"")"),"Nucleic acid discharged turn positive patients without infection phenomenon")</f>
        <v>Nucleic acid discharged turn positive patients without infection phenomenon</v>
      </c>
      <c r="D2961" s="4" t="s">
        <v>5141</v>
      </c>
      <c r="E2961" s="4">
        <v>1.1697148E7</v>
      </c>
      <c r="F2961" s="4">
        <v>10.0</v>
      </c>
      <c r="G2961" s="4" t="s">
        <v>5142</v>
      </c>
    </row>
    <row r="2962">
      <c r="A2962" s="1">
        <v>2960.0</v>
      </c>
      <c r="B2962" s="4" t="s">
        <v>5124</v>
      </c>
      <c r="C2962" s="4" t="str">
        <f>IFERROR(__xludf.DUMMYFUNCTION("GOOGLETRANSLATE(D:D,""auto"",""en"")"),"Chu Yu Qian Lei Duanmu same box again")</f>
        <v>Chu Yu Qian Lei Duanmu same box again</v>
      </c>
      <c r="D2962" s="4" t="s">
        <v>5143</v>
      </c>
      <c r="E2962" s="4">
        <v>1.1439084E7</v>
      </c>
      <c r="F2962" s="4">
        <v>11.0</v>
      </c>
      <c r="G2962" s="4" t="s">
        <v>5144</v>
      </c>
    </row>
    <row r="2963">
      <c r="A2963" s="1">
        <v>2961.0</v>
      </c>
      <c r="B2963" s="4" t="s">
        <v>5124</v>
      </c>
      <c r="C2963" s="4" t="str">
        <f>IFERROR(__xludf.DUMMYFUNCTION("GOOGLETRANSLATE(D:D,""auto"",""en"")"),"Until the second half of the first half of conscription")</f>
        <v>Until the second half of the first half of conscription</v>
      </c>
      <c r="D2963" s="4" t="s">
        <v>5145</v>
      </c>
      <c r="E2963" s="4">
        <v>1.1169226E7</v>
      </c>
      <c r="F2963" s="4">
        <v>12.0</v>
      </c>
      <c r="G2963" s="4" t="s">
        <v>5146</v>
      </c>
    </row>
    <row r="2964">
      <c r="A2964" s="1">
        <v>2962.0</v>
      </c>
      <c r="B2964" s="4" t="s">
        <v>5124</v>
      </c>
      <c r="C2964" s="4" t="str">
        <f>IFERROR(__xludf.DUMMYFUNCTION("GOOGLETRANSLATE(D:D,""auto"",""en"")"),"Sun Yang response was banned")</f>
        <v>Sun Yang response was banned</v>
      </c>
      <c r="D2964" s="4" t="s">
        <v>5050</v>
      </c>
      <c r="E2964" s="4">
        <v>1.1082961E7</v>
      </c>
      <c r="F2964" s="4">
        <v>13.0</v>
      </c>
      <c r="G2964" s="4" t="s">
        <v>5051</v>
      </c>
    </row>
    <row r="2965">
      <c r="A2965" s="1">
        <v>2963.0</v>
      </c>
      <c r="B2965" s="4" t="s">
        <v>5124</v>
      </c>
      <c r="C2965" s="4" t="str">
        <f>IFERROR(__xludf.DUMMYFUNCTION("GOOGLETRANSLATE(D:D,""auto"",""en"")"),"White read off the tongue twister connection Aarif")</f>
        <v>White read off the tongue twister connection Aarif</v>
      </c>
      <c r="D2965" s="4" t="s">
        <v>5147</v>
      </c>
      <c r="E2965" s="4">
        <v>1.0901019E7</v>
      </c>
      <c r="F2965" s="4">
        <v>14.0</v>
      </c>
      <c r="G2965" s="4" t="s">
        <v>5148</v>
      </c>
    </row>
    <row r="2966">
      <c r="A2966" s="1">
        <v>2964.0</v>
      </c>
      <c r="B2966" s="4" t="s">
        <v>5124</v>
      </c>
      <c r="C2966" s="4" t="str">
        <f>IFERROR(__xludf.DUMMYFUNCTION("GOOGLETRANSLATE(D:D,""auto"",""en"")"),"Ye Qian clarify Mori Butterfly Height")</f>
        <v>Ye Qian clarify Mori Butterfly Height</v>
      </c>
      <c r="D2966" s="4" t="s">
        <v>5108</v>
      </c>
      <c r="E2966" s="4">
        <v>1.0878123E7</v>
      </c>
      <c r="F2966" s="4">
        <v>15.0</v>
      </c>
      <c r="G2966" s="4" t="s">
        <v>5109</v>
      </c>
    </row>
    <row r="2967">
      <c r="A2967" s="1">
        <v>2965.0</v>
      </c>
      <c r="B2967" s="4" t="s">
        <v>5124</v>
      </c>
      <c r="C2967" s="4" t="str">
        <f>IFERROR(__xludf.DUMMYFUNCTION("GOOGLETRANSLATE(D:D,""auto"",""en"")"),"Song Dandan is not the sketch is followed")</f>
        <v>Song Dandan is not the sketch is followed</v>
      </c>
      <c r="D2967" s="4" t="s">
        <v>5149</v>
      </c>
      <c r="E2967" s="4">
        <v>1.0866227E7</v>
      </c>
      <c r="F2967" s="4">
        <v>16.0</v>
      </c>
      <c r="G2967" s="4" t="s">
        <v>5150</v>
      </c>
    </row>
    <row r="2968">
      <c r="A2968" s="1">
        <v>2966.0</v>
      </c>
      <c r="B2968" s="4" t="s">
        <v>5124</v>
      </c>
      <c r="C2968" s="4" t="str">
        <f>IFERROR(__xludf.DUMMYFUNCTION("GOOGLETRANSLATE(D:D,""auto"",""en"")"),"Romance in the Rain crew reunion")</f>
        <v>Romance in the Rain crew reunion</v>
      </c>
      <c r="D2968" s="4" t="s">
        <v>5151</v>
      </c>
      <c r="E2968" s="4">
        <v>1.0600855E7</v>
      </c>
      <c r="F2968" s="4">
        <v>17.0</v>
      </c>
      <c r="G2968" s="4" t="s">
        <v>5152</v>
      </c>
    </row>
    <row r="2969">
      <c r="A2969" s="1">
        <v>2967.0</v>
      </c>
      <c r="B2969" s="4" t="s">
        <v>5124</v>
      </c>
      <c r="C2969" s="4" t="str">
        <f>IFERROR(__xludf.DUMMYFUNCTION("GOOGLETRANSLATE(D:D,""auto"",""en"")"),"Qingdao new crown elevated road with the virus of the same name")</f>
        <v>Qingdao new crown elevated road with the virus of the same name</v>
      </c>
      <c r="D2969" s="4" t="s">
        <v>5153</v>
      </c>
      <c r="E2969" s="4">
        <v>1.0295314E7</v>
      </c>
      <c r="F2969" s="4">
        <v>18.0</v>
      </c>
      <c r="G2969" s="4" t="s">
        <v>5154</v>
      </c>
    </row>
    <row r="2970">
      <c r="A2970" s="1">
        <v>2968.0</v>
      </c>
      <c r="B2970" s="4" t="s">
        <v>5124</v>
      </c>
      <c r="C2970" s="4" t="str">
        <f>IFERROR(__xludf.DUMMYFUNCTION("GOOGLETRANSLATE(D:D,""auto"",""en"")"),"Ye Donglie propaganda Cuiying Jun")</f>
        <v>Ye Donglie propaganda Cuiying Jun</v>
      </c>
      <c r="D2970" s="4" t="s">
        <v>5155</v>
      </c>
      <c r="E2970" s="4">
        <v>1.0185785E7</v>
      </c>
      <c r="F2970" s="4">
        <v>19.0</v>
      </c>
      <c r="G2970" s="4" t="s">
        <v>5156</v>
      </c>
    </row>
    <row r="2971">
      <c r="A2971" s="1">
        <v>2969.0</v>
      </c>
      <c r="B2971" s="4" t="s">
        <v>5124</v>
      </c>
      <c r="C2971" s="4" t="str">
        <f>IFERROR(__xludf.DUMMYFUNCTION("GOOGLETRANSLATE(D:D,""auto"",""en"")"),"US N95 masks jumped 5 times")</f>
        <v>US N95 masks jumped 5 times</v>
      </c>
      <c r="D2971" s="4" t="s">
        <v>5157</v>
      </c>
      <c r="E2971" s="4">
        <v>1.0056966E7</v>
      </c>
      <c r="F2971" s="4">
        <v>20.0</v>
      </c>
      <c r="G2971" s="4" t="s">
        <v>5158</v>
      </c>
    </row>
    <row r="2972">
      <c r="A2972" s="1">
        <v>2970.0</v>
      </c>
      <c r="B2972" s="4" t="s">
        <v>5124</v>
      </c>
      <c r="C2972" s="4" t="str">
        <f>IFERROR(__xludf.DUMMYFUNCTION("GOOGLETRANSLATE(D:D,""auto"",""en"")"),"Britain's first domestic infection occurs in patients")</f>
        <v>Britain's first domestic infection occurs in patients</v>
      </c>
      <c r="D2972" s="4" t="s">
        <v>5159</v>
      </c>
      <c r="E2972" s="4">
        <v>1.0000677E7</v>
      </c>
      <c r="F2972" s="4">
        <v>21.0</v>
      </c>
      <c r="G2972" s="4" t="s">
        <v>5160</v>
      </c>
    </row>
    <row r="2973">
      <c r="A2973" s="1">
        <v>2971.0</v>
      </c>
      <c r="B2973" s="4" t="s">
        <v>5124</v>
      </c>
      <c r="C2973" s="4" t="str">
        <f>IFERROR(__xludf.DUMMYFUNCTION("GOOGLETRANSLATE(D:D,""auto"",""en"")"),"California emergence of a second example of route of infection of unknown cases")</f>
        <v>California emergence of a second example of route of infection of unknown cases</v>
      </c>
      <c r="D2973" s="4" t="s">
        <v>5161</v>
      </c>
      <c r="E2973" s="4">
        <v>9775061.0</v>
      </c>
      <c r="F2973" s="4">
        <v>22.0</v>
      </c>
      <c r="G2973" s="4" t="s">
        <v>5162</v>
      </c>
    </row>
    <row r="2974">
      <c r="A2974" s="1">
        <v>2972.0</v>
      </c>
      <c r="B2974" s="4" t="s">
        <v>5124</v>
      </c>
      <c r="C2974" s="4" t="str">
        <f>IFERROR(__xludf.DUMMYFUNCTION("GOOGLETRANSLATE(D:D,""auto"",""en"")"),"Car owners do not conflict because of two blows")</f>
        <v>Car owners do not conflict because of two blows</v>
      </c>
      <c r="D2974" s="4" t="s">
        <v>5163</v>
      </c>
      <c r="E2974" s="4">
        <v>9757858.0</v>
      </c>
      <c r="F2974" s="4">
        <v>23.0</v>
      </c>
      <c r="G2974" s="4" t="s">
        <v>5164</v>
      </c>
    </row>
    <row r="2975">
      <c r="A2975" s="1">
        <v>2973.0</v>
      </c>
      <c r="B2975" s="4" t="s">
        <v>5124</v>
      </c>
      <c r="C2975" s="4" t="str">
        <f>IFERROR(__xludf.DUMMYFUNCTION("GOOGLETRANSLATE(D:D,""auto"",""en"")"),"Guangxi Han nurse aid off when protective clothing cardiac arrest")</f>
        <v>Guangxi Han nurse aid off when protective clothing cardiac arrest</v>
      </c>
      <c r="D2975" s="4" t="s">
        <v>5165</v>
      </c>
      <c r="E2975" s="4">
        <v>9658205.0</v>
      </c>
      <c r="F2975" s="4">
        <v>24.0</v>
      </c>
      <c r="G2975" s="4" t="s">
        <v>5166</v>
      </c>
    </row>
    <row r="2976">
      <c r="A2976" s="1">
        <v>2974.0</v>
      </c>
      <c r="B2976" s="4" t="s">
        <v>5124</v>
      </c>
      <c r="C2976" s="4" t="str">
        <f>IFERROR(__xludf.DUMMYFUNCTION("GOOGLETRANSLATE(D:D,""auto"",""en"")"),"College entrance examination Hundred Days swearing")</f>
        <v>College entrance examination Hundred Days swearing</v>
      </c>
      <c r="D2976" s="4" t="s">
        <v>5167</v>
      </c>
      <c r="E2976" s="4">
        <v>9571019.0</v>
      </c>
      <c r="F2976" s="4">
        <v>25.0</v>
      </c>
      <c r="G2976" s="4" t="s">
        <v>5168</v>
      </c>
    </row>
    <row r="2977">
      <c r="A2977" s="1">
        <v>2975.0</v>
      </c>
      <c r="B2977" s="4" t="s">
        <v>5124</v>
      </c>
      <c r="C2977" s="4" t="str">
        <f>IFERROR(__xludf.DUMMYFUNCTION("GOOGLETRANSLATE(D:D,""auto"",""en"")"),"White off long tongue twister challenge")</f>
        <v>White off long tongue twister challenge</v>
      </c>
      <c r="D2977" s="4" t="s">
        <v>5169</v>
      </c>
      <c r="E2977" s="4">
        <v>9536618.0</v>
      </c>
      <c r="F2977" s="4">
        <v>26.0</v>
      </c>
      <c r="G2977" s="4" t="s">
        <v>5170</v>
      </c>
    </row>
    <row r="2978">
      <c r="A2978" s="1">
        <v>2976.0</v>
      </c>
      <c r="B2978" s="4" t="s">
        <v>5124</v>
      </c>
      <c r="C2978" s="4" t="str">
        <f>IFERROR(__xludf.DUMMYFUNCTION("GOOGLETRANSLATE(D:D,""auto"",""en"")"),"678 fugitives arrested within a month of Zhejiang public security")</f>
        <v>678 fugitives arrested within a month of Zhejiang public security</v>
      </c>
      <c r="D2978" s="4" t="s">
        <v>5171</v>
      </c>
      <c r="E2978" s="4">
        <v>9504003.0</v>
      </c>
      <c r="F2978" s="4">
        <v>27.0</v>
      </c>
      <c r="G2978" s="4" t="s">
        <v>5172</v>
      </c>
    </row>
    <row r="2979">
      <c r="A2979" s="1">
        <v>2977.0</v>
      </c>
      <c r="B2979" s="4" t="s">
        <v>5124</v>
      </c>
      <c r="C2979" s="4" t="str">
        <f>IFERROR(__xludf.DUMMYFUNCTION("GOOGLETRANSLATE(D:D,""auto"",""en"")"),"Lee gave birth to one minute painting")</f>
        <v>Lee gave birth to one minute painting</v>
      </c>
      <c r="D2979" s="4" t="s">
        <v>5173</v>
      </c>
      <c r="E2979" s="4">
        <v>9432943.0</v>
      </c>
      <c r="F2979" s="4">
        <v>28.0</v>
      </c>
      <c r="G2979" s="4" t="s">
        <v>5174</v>
      </c>
    </row>
    <row r="2980">
      <c r="A2980" s="1">
        <v>2978.0</v>
      </c>
      <c r="B2980" s="4" t="s">
        <v>5124</v>
      </c>
      <c r="C2980" s="4" t="str">
        <f>IFERROR(__xludf.DUMMYFUNCTION("GOOGLETRANSLATE(D:D,""auto"",""en"")"),"Guan Xiaotong first acting")</f>
        <v>Guan Xiaotong first acting</v>
      </c>
      <c r="D2980" s="4" t="s">
        <v>5175</v>
      </c>
      <c r="E2980" s="4">
        <v>9404729.0</v>
      </c>
      <c r="F2980" s="4">
        <v>29.0</v>
      </c>
      <c r="G2980" s="4" t="s">
        <v>5176</v>
      </c>
    </row>
    <row r="2981">
      <c r="A2981" s="1">
        <v>2979.0</v>
      </c>
      <c r="B2981" s="4" t="s">
        <v>5124</v>
      </c>
      <c r="C2981" s="4" t="str">
        <f>IFERROR(__xludf.DUMMYFUNCTION("GOOGLETRANSLATE(D:D,""auto"",""en"")"),"Horton responded Sun Yang banned for eight years")</f>
        <v>Horton responded Sun Yang banned for eight years</v>
      </c>
      <c r="D2981" s="4" t="s">
        <v>5177</v>
      </c>
      <c r="E2981" s="4">
        <v>9340233.0</v>
      </c>
      <c r="F2981" s="4">
        <v>30.0</v>
      </c>
      <c r="G2981" s="4" t="s">
        <v>5178</v>
      </c>
    </row>
    <row r="2982">
      <c r="A2982" s="1">
        <v>2980.0</v>
      </c>
      <c r="B2982" s="4" t="s">
        <v>5124</v>
      </c>
      <c r="C2982" s="4" t="str">
        <f>IFERROR(__xludf.DUMMYFUNCTION("GOOGLETRANSLATE(D:D,""auto"",""en"")"),"The end of the epidemic I will naturally go away silently")</f>
        <v>The end of the epidemic I will naturally go away silently</v>
      </c>
      <c r="D2982" s="4" t="s">
        <v>5179</v>
      </c>
      <c r="E2982" s="4">
        <v>9314908.0</v>
      </c>
      <c r="F2982" s="4">
        <v>31.0</v>
      </c>
      <c r="G2982" s="4" t="s">
        <v>5180</v>
      </c>
    </row>
    <row r="2983">
      <c r="A2983" s="1">
        <v>2981.0</v>
      </c>
      <c r="B2983" s="4" t="s">
        <v>5124</v>
      </c>
      <c r="C2983" s="4" t="str">
        <f>IFERROR(__xludf.DUMMYFUNCTION("GOOGLETRANSLATE(D:D,""auto"",""en"")"),"WHO's new crown origin of the virus is uncertain")</f>
        <v>WHO's new crown origin of the virus is uncertain</v>
      </c>
      <c r="D2983" s="4" t="s">
        <v>5181</v>
      </c>
      <c r="E2983" s="4">
        <v>9310851.0</v>
      </c>
      <c r="F2983" s="4">
        <v>32.0</v>
      </c>
      <c r="G2983" s="4" t="s">
        <v>5182</v>
      </c>
    </row>
    <row r="2984">
      <c r="A2984" s="1">
        <v>2982.0</v>
      </c>
      <c r="B2984" s="4" t="s">
        <v>5124</v>
      </c>
      <c r="C2984" s="4" t="str">
        <f>IFERROR(__xludf.DUMMYFUNCTION("GOOGLETRANSLATE(D:D,""auto"",""en"")"),"Harden brother remarks in response to letters")</f>
        <v>Harden brother remarks in response to letters</v>
      </c>
      <c r="D2984" s="4" t="s">
        <v>5183</v>
      </c>
      <c r="E2984" s="4">
        <v>9101555.0</v>
      </c>
      <c r="F2984" s="4">
        <v>33.0</v>
      </c>
      <c r="G2984" s="4" t="s">
        <v>5184</v>
      </c>
    </row>
    <row r="2985">
      <c r="A2985" s="1">
        <v>2983.0</v>
      </c>
      <c r="B2985" s="4" t="s">
        <v>5124</v>
      </c>
      <c r="C2985" s="4" t="str">
        <f>IFERROR(__xludf.DUMMYFUNCTION("GOOGLETRANSLATE(D:D,""auto"",""en"")"),"Alec Remember Dufy lines")</f>
        <v>Alec Remember Dufy lines</v>
      </c>
      <c r="D2985" s="4" t="s">
        <v>5185</v>
      </c>
      <c r="E2985" s="4">
        <v>8912699.0</v>
      </c>
      <c r="F2985" s="4">
        <v>34.0</v>
      </c>
      <c r="G2985" s="4" t="s">
        <v>5186</v>
      </c>
    </row>
    <row r="2986">
      <c r="A2986" s="1">
        <v>2984.0</v>
      </c>
      <c r="B2986" s="4" t="s">
        <v>5124</v>
      </c>
      <c r="C2986" s="4" t="str">
        <f>IFERROR(__xludf.DUMMYFUNCTION("GOOGLETRANSLATE(D:D,""auto"",""en"")"),"Sha Yi Shen Teng was laughable")</f>
        <v>Sha Yi Shen Teng was laughable</v>
      </c>
      <c r="D2986" s="4" t="s">
        <v>5187</v>
      </c>
      <c r="E2986" s="4">
        <v>8893870.0</v>
      </c>
      <c r="F2986" s="4">
        <v>35.0</v>
      </c>
      <c r="G2986" s="4" t="s">
        <v>5188</v>
      </c>
    </row>
    <row r="2987">
      <c r="A2987" s="1">
        <v>2985.0</v>
      </c>
      <c r="B2987" s="4" t="s">
        <v>5124</v>
      </c>
      <c r="C2987" s="4" t="str">
        <f>IFERROR(__xludf.DUMMYFUNCTION("GOOGLETRANSLATE(D:D,""auto"",""en"")"),"The new crown pneumonia tone for the global risk level is very high")</f>
        <v>The new crown pneumonia tone for the global risk level is very high</v>
      </c>
      <c r="D2987" s="4" t="s">
        <v>5189</v>
      </c>
      <c r="E2987" s="4">
        <v>8833937.0</v>
      </c>
      <c r="F2987" s="4">
        <v>36.0</v>
      </c>
      <c r="G2987" s="4" t="s">
        <v>5190</v>
      </c>
    </row>
    <row r="2988">
      <c r="A2988" s="1">
        <v>2986.0</v>
      </c>
      <c r="B2988" s="4" t="s">
        <v>5124</v>
      </c>
      <c r="C2988" s="4" t="str">
        <f>IFERROR(__xludf.DUMMYFUNCTION("GOOGLETRANSLATE(D:D,""auto"",""en"")"),"Chinese Swimming Association supports Sun Yang safeguard legitimate rights and interests")</f>
        <v>Chinese Swimming Association supports Sun Yang safeguard legitimate rights and interests</v>
      </c>
      <c r="D2988" s="4" t="s">
        <v>5191</v>
      </c>
      <c r="E2988" s="4">
        <v>8806047.0</v>
      </c>
      <c r="F2988" s="4">
        <v>37.0</v>
      </c>
      <c r="G2988" s="4" t="s">
        <v>5192</v>
      </c>
    </row>
    <row r="2989">
      <c r="A2989" s="1">
        <v>2987.0</v>
      </c>
      <c r="B2989" s="4" t="s">
        <v>5124</v>
      </c>
      <c r="C2989" s="4" t="str">
        <f>IFERROR(__xludf.DUMMYFUNCTION("GOOGLETRANSLATE(D:D,""auto"",""en"")"),"Zhoukou deputy mayor took office two days killed on duty")</f>
        <v>Zhoukou deputy mayor took office two days killed on duty</v>
      </c>
      <c r="D2989" s="4" t="s">
        <v>5193</v>
      </c>
      <c r="E2989" s="4">
        <v>8711893.0</v>
      </c>
      <c r="F2989" s="4">
        <v>38.0</v>
      </c>
      <c r="G2989" s="4" t="s">
        <v>5194</v>
      </c>
    </row>
    <row r="2990">
      <c r="A2990" s="1">
        <v>2988.0</v>
      </c>
      <c r="B2990" s="4" t="s">
        <v>5124</v>
      </c>
      <c r="C2990" s="4" t="str">
        <f>IFERROR(__xludf.DUMMYFUNCTION("GOOGLETRANSLATE(D:D,""auto"",""en"")"),"10 year-old girl riding 10 km grandmother to send medicine")</f>
        <v>10 year-old girl riding 10 km grandmother to send medicine</v>
      </c>
      <c r="D2990" s="4" t="s">
        <v>5195</v>
      </c>
      <c r="E2990" s="4">
        <v>8672409.0</v>
      </c>
      <c r="F2990" s="4">
        <v>39.0</v>
      </c>
      <c r="G2990" s="4" t="s">
        <v>5196</v>
      </c>
    </row>
    <row r="2991">
      <c r="A2991" s="1">
        <v>2989.0</v>
      </c>
      <c r="B2991" s="4" t="s">
        <v>5124</v>
      </c>
      <c r="C2991" s="4" t="str">
        <f>IFERROR(__xludf.DUMMYFUNCTION("GOOGLETRANSLATE(D:D,""auto"",""en"")"),"Next week will be the peak of the outbreak in Iran")</f>
        <v>Next week will be the peak of the outbreak in Iran</v>
      </c>
      <c r="D2991" s="4" t="s">
        <v>5197</v>
      </c>
      <c r="E2991" s="4">
        <v>8650652.0</v>
      </c>
      <c r="F2991" s="4">
        <v>40.0</v>
      </c>
      <c r="G2991" s="4" t="s">
        <v>5198</v>
      </c>
    </row>
    <row r="2992">
      <c r="A2992" s="1">
        <v>2990.0</v>
      </c>
      <c r="B2992" s="4" t="s">
        <v>5124</v>
      </c>
      <c r="C2992" s="4" t="str">
        <f>IFERROR(__xludf.DUMMYFUNCTION("GOOGLETRANSLATE(D:D,""auto"",""en"")"),"The Inner Mongolia coal inventory problems involving violations of law")</f>
        <v>The Inner Mongolia coal inventory problems involving violations of law</v>
      </c>
      <c r="D2992" s="4" t="s">
        <v>5199</v>
      </c>
      <c r="E2992" s="4">
        <v>8514601.0</v>
      </c>
      <c r="F2992" s="4">
        <v>41.0</v>
      </c>
      <c r="G2992" s="4" t="s">
        <v>5200</v>
      </c>
    </row>
    <row r="2993">
      <c r="A2993" s="1">
        <v>2991.0</v>
      </c>
      <c r="B2993" s="4" t="s">
        <v>5124</v>
      </c>
      <c r="C2993" s="4" t="str">
        <f>IFERROR(__xludf.DUMMYFUNCTION("GOOGLETRANSLATE(D:D,""auto"",""en"")"),"Shaanxi continue to postpone the opening time")</f>
        <v>Shaanxi continue to postpone the opening time</v>
      </c>
      <c r="D2993" s="4" t="s">
        <v>5201</v>
      </c>
      <c r="E2993" s="4">
        <v>8500515.0</v>
      </c>
      <c r="F2993" s="4">
        <v>42.0</v>
      </c>
      <c r="G2993" s="4" t="s">
        <v>5202</v>
      </c>
    </row>
    <row r="2994">
      <c r="A2994" s="1">
        <v>2992.0</v>
      </c>
      <c r="B2994" s="4" t="s">
        <v>5124</v>
      </c>
      <c r="C2994" s="4" t="str">
        <f>IFERROR(__xludf.DUMMYFUNCTION("GOOGLETRANSLATE(D:D,""auto"",""en"")"),"Australia appears downburst")</f>
        <v>Australia appears downburst</v>
      </c>
      <c r="D2994" s="4" t="s">
        <v>5203</v>
      </c>
      <c r="E2994" s="4">
        <v>8482217.0</v>
      </c>
      <c r="F2994" s="4">
        <v>43.0</v>
      </c>
      <c r="G2994" s="4" t="s">
        <v>5204</v>
      </c>
    </row>
    <row r="2995">
      <c r="A2995" s="1">
        <v>2993.0</v>
      </c>
      <c r="B2995" s="4" t="s">
        <v>5124</v>
      </c>
      <c r="C2995" s="4" t="str">
        <f>IFERROR(__xludf.DUMMYFUNCTION("GOOGLETRANSLATE(D:D,""auto"",""en"")"),"Cai Xu Kun wear Qiuku")</f>
        <v>Cai Xu Kun wear Qiuku</v>
      </c>
      <c r="D2995" s="4" t="s">
        <v>5110</v>
      </c>
      <c r="E2995" s="4">
        <v>8348842.0</v>
      </c>
      <c r="F2995" s="4">
        <v>44.0</v>
      </c>
      <c r="G2995" s="4" t="s">
        <v>5111</v>
      </c>
    </row>
    <row r="2996">
      <c r="A2996" s="1">
        <v>2994.0</v>
      </c>
      <c r="B2996" s="4" t="s">
        <v>5124</v>
      </c>
      <c r="C2996" s="4" t="str">
        <f>IFERROR(__xludf.DUMMYFUNCTION("GOOGLETRANSLATE(D:D,""auto"",""en"")"),"JonyJ This 爸")</f>
        <v>JonyJ This 爸</v>
      </c>
      <c r="D2996" s="4" t="s">
        <v>5205</v>
      </c>
      <c r="E2996" s="4">
        <v>8338517.0</v>
      </c>
      <c r="F2996" s="4">
        <v>45.0</v>
      </c>
      <c r="G2996" s="4" t="s">
        <v>5206</v>
      </c>
    </row>
    <row r="2997">
      <c r="A2997" s="1">
        <v>2995.0</v>
      </c>
      <c r="B2997" s="4" t="s">
        <v>5124</v>
      </c>
      <c r="C2997" s="4" t="str">
        <f>IFERROR(__xludf.DUMMYFUNCTION("GOOGLETRANSLATE(D:D,""auto"",""en"")"),"Song Qian to staff dumplings")</f>
        <v>Song Qian to staff dumplings</v>
      </c>
      <c r="D2997" s="4" t="s">
        <v>5207</v>
      </c>
      <c r="E2997" s="4">
        <v>8326684.0</v>
      </c>
      <c r="F2997" s="4">
        <v>46.0</v>
      </c>
      <c r="G2997" s="4" t="s">
        <v>5208</v>
      </c>
    </row>
    <row r="2998">
      <c r="A2998" s="1">
        <v>2996.0</v>
      </c>
      <c r="B2998" s="4" t="s">
        <v>5124</v>
      </c>
      <c r="C2998" s="4" t="str">
        <f>IFERROR(__xludf.DUMMYFUNCTION("GOOGLETRANSLATE(D:D,""auto"",""en"")"),"Sun Young Mother")</f>
        <v>Sun Young Mother</v>
      </c>
      <c r="D2998" s="4" t="s">
        <v>5209</v>
      </c>
      <c r="E2998" s="4">
        <v>8270113.0</v>
      </c>
      <c r="F2998" s="4">
        <v>47.0</v>
      </c>
      <c r="G2998" s="4" t="s">
        <v>5210</v>
      </c>
    </row>
    <row r="2999">
      <c r="A2999" s="1">
        <v>2997.0</v>
      </c>
      <c r="B2999" s="4" t="s">
        <v>5124</v>
      </c>
      <c r="C2999" s="4" t="str">
        <f>IFERROR(__xludf.DUMMYFUNCTION("GOOGLETRANSLATE(D:D,""auto"",""en"")"),"Liaoning partition classification issued epidemic prevention and control list")</f>
        <v>Liaoning partition classification issued epidemic prevention and control list</v>
      </c>
      <c r="D2999" s="4" t="s">
        <v>5211</v>
      </c>
      <c r="E2999" s="4">
        <v>8126782.0</v>
      </c>
      <c r="F2999" s="4">
        <v>48.0</v>
      </c>
      <c r="G2999" s="4" t="s">
        <v>5212</v>
      </c>
    </row>
    <row r="3000">
      <c r="A3000" s="1">
        <v>2998.0</v>
      </c>
      <c r="B3000" s="4" t="s">
        <v>5124</v>
      </c>
      <c r="C3000" s="4" t="str">
        <f>IFERROR(__xludf.DUMMYFUNCTION("GOOGLETRANSLATE(D:D,""auto"",""en"")"),"Bryant sister sun new tattoo")</f>
        <v>Bryant sister sun new tattoo</v>
      </c>
      <c r="D3000" s="4" t="s">
        <v>5040</v>
      </c>
      <c r="E3000" s="4">
        <v>7805791.0</v>
      </c>
      <c r="F3000" s="4">
        <v>49.0</v>
      </c>
      <c r="G3000" s="4" t="s">
        <v>5041</v>
      </c>
    </row>
    <row r="3001">
      <c r="A3001" s="1">
        <v>2999.0</v>
      </c>
      <c r="B3001" s="4" t="s">
        <v>5124</v>
      </c>
      <c r="C3001" s="4" t="str">
        <f>IFERROR(__xludf.DUMMYFUNCTION("GOOGLETRANSLATE(D:D,""auto"",""en"")"),"Dr Tao Yong for the first time after the injury sound")</f>
        <v>Dr Tao Yong for the first time after the injury sound</v>
      </c>
      <c r="D3001" s="4" t="s">
        <v>5213</v>
      </c>
      <c r="E3001" s="4">
        <v>7718590.0</v>
      </c>
      <c r="F3001" s="4">
        <v>50.0</v>
      </c>
      <c r="G3001" s="4" t="s">
        <v>5214</v>
      </c>
    </row>
    <row r="3002">
      <c r="A3002" s="1">
        <v>3000.0</v>
      </c>
      <c r="B3002" s="4" t="s">
        <v>5215</v>
      </c>
      <c r="C3002" s="4" t="str">
        <f>IFERROR(__xludf.DUMMYFUNCTION("GOOGLETRANSLATE(D:D,""auto"",""en"")"),"Ye Donglie propaganda Cuiying Jun")</f>
        <v>Ye Donglie propaganda Cuiying Jun</v>
      </c>
      <c r="D3002" s="4" t="s">
        <v>5155</v>
      </c>
      <c r="E3002" s="4">
        <v>1.1155939E7</v>
      </c>
      <c r="F3002" s="4">
        <v>1.0</v>
      </c>
      <c r="G3002" s="4" t="s">
        <v>5156</v>
      </c>
    </row>
    <row r="3003">
      <c r="A3003" s="1">
        <v>3001.0</v>
      </c>
      <c r="B3003" s="4" t="s">
        <v>5215</v>
      </c>
      <c r="C3003" s="4" t="str">
        <f>IFERROR(__xludf.DUMMYFUNCTION("GOOGLETRANSLATE(D:D,""auto"",""en"")"),"JonyJ This 爸")</f>
        <v>JonyJ This 爸</v>
      </c>
      <c r="D3003" s="4" t="s">
        <v>5205</v>
      </c>
      <c r="E3003" s="4">
        <v>1.0864076E7</v>
      </c>
      <c r="F3003" s="4">
        <v>2.0</v>
      </c>
      <c r="G3003" s="4" t="s">
        <v>5206</v>
      </c>
    </row>
    <row r="3004">
      <c r="A3004" s="1">
        <v>3002.0</v>
      </c>
      <c r="B3004" s="4" t="s">
        <v>5215</v>
      </c>
      <c r="C3004" s="4" t="str">
        <f>IFERROR(__xludf.DUMMYFUNCTION("GOOGLETRANSLATE(D:D,""auto"",""en"")"),"80 Chinese citizens in Russia's isolation was not real abuse")</f>
        <v>80 Chinese citizens in Russia's isolation was not real abuse</v>
      </c>
      <c r="D3004" s="4" t="s">
        <v>5216</v>
      </c>
      <c r="E3004" s="4">
        <v>1.0623576E7</v>
      </c>
      <c r="F3004" s="4">
        <v>3.0</v>
      </c>
      <c r="G3004" s="4" t="s">
        <v>5217</v>
      </c>
    </row>
    <row r="3005">
      <c r="A3005" s="1">
        <v>3003.0</v>
      </c>
      <c r="B3005" s="4" t="s">
        <v>5215</v>
      </c>
      <c r="C3005" s="4" t="str">
        <f>IFERROR(__xludf.DUMMYFUNCTION("GOOGLETRANSLATE(D:D,""auto"",""en"")"),"Italian grandmother of eight recommendations coronavirus")</f>
        <v>Italian grandmother of eight recommendations coronavirus</v>
      </c>
      <c r="D3005" s="4" t="s">
        <v>5218</v>
      </c>
      <c r="E3005" s="4">
        <v>1.0567358E7</v>
      </c>
      <c r="F3005" s="4">
        <v>4.0</v>
      </c>
      <c r="G3005" s="4" t="s">
        <v>5219</v>
      </c>
    </row>
    <row r="3006">
      <c r="A3006" s="1">
        <v>3004.0</v>
      </c>
      <c r="B3006" s="4" t="s">
        <v>5215</v>
      </c>
      <c r="C3006" s="4" t="str">
        <f>IFERROR(__xludf.DUMMYFUNCTION("GOOGLETRANSLATE(D:D,""auto"",""en"")"),"Lee gave birth to one minute painting")</f>
        <v>Lee gave birth to one minute painting</v>
      </c>
      <c r="D3006" s="4" t="s">
        <v>5173</v>
      </c>
      <c r="E3006" s="4">
        <v>1.0402015E7</v>
      </c>
      <c r="F3006" s="4">
        <v>5.0</v>
      </c>
      <c r="G3006" s="4" t="s">
        <v>5174</v>
      </c>
    </row>
    <row r="3007">
      <c r="A3007" s="1">
        <v>3005.0</v>
      </c>
      <c r="B3007" s="4" t="s">
        <v>5215</v>
      </c>
      <c r="C3007" s="4" t="str">
        <f>IFERROR(__xludf.DUMMYFUNCTION("GOOGLETRANSLATE(D:D,""auto"",""en"")"),"The new crown the country's first successful lung transplant patients with pneumonia")</f>
        <v>The new crown the country's first successful lung transplant patients with pneumonia</v>
      </c>
      <c r="D3007" s="4" t="s">
        <v>5220</v>
      </c>
      <c r="E3007" s="4">
        <v>1.0342597E7</v>
      </c>
      <c r="F3007" s="4">
        <v>6.0</v>
      </c>
      <c r="G3007" s="4" t="s">
        <v>5221</v>
      </c>
    </row>
    <row r="3008">
      <c r="A3008" s="1">
        <v>3006.0</v>
      </c>
      <c r="B3008" s="4" t="s">
        <v>5215</v>
      </c>
      <c r="C3008" s="4" t="str">
        <f>IFERROR(__xludf.DUMMYFUNCTION("GOOGLETRANSLATE(D:D,""auto"",""en"")"),"Tyson million dollars for his daughter marriage")</f>
        <v>Tyson million dollars for his daughter marriage</v>
      </c>
      <c r="D3008" s="4" t="s">
        <v>5222</v>
      </c>
      <c r="E3008" s="4">
        <v>1.0059596E7</v>
      </c>
      <c r="F3008" s="4">
        <v>7.0</v>
      </c>
      <c r="G3008" s="4" t="s">
        <v>5223</v>
      </c>
    </row>
    <row r="3009">
      <c r="A3009" s="1">
        <v>3007.0</v>
      </c>
      <c r="B3009" s="4" t="s">
        <v>5215</v>
      </c>
      <c r="C3009" s="4" t="str">
        <f>IFERROR(__xludf.DUMMYFUNCTION("GOOGLETRANSLATE(D:D,""auto"",""en"")"),"Ren Jialun Tan Song Yun Chorus rain in June")</f>
        <v>Ren Jialun Tan Song Yun Chorus rain in June</v>
      </c>
      <c r="D3009" s="4" t="s">
        <v>5224</v>
      </c>
      <c r="E3009" s="4">
        <v>9650031.0</v>
      </c>
      <c r="F3009" s="4">
        <v>8.0</v>
      </c>
      <c r="G3009" s="4" t="s">
        <v>5225</v>
      </c>
    </row>
    <row r="3010">
      <c r="A3010" s="1">
        <v>3008.0</v>
      </c>
      <c r="B3010" s="4" t="s">
        <v>5215</v>
      </c>
      <c r="C3010" s="4" t="str">
        <f>IFERROR(__xludf.DUMMYFUNCTION("GOOGLETRANSLATE(D:D,""auto"",""en"")"),"Zhong Nanshan Europe will make video report")</f>
        <v>Zhong Nanshan Europe will make video report</v>
      </c>
      <c r="D3010" s="4" t="s">
        <v>5226</v>
      </c>
      <c r="E3010" s="4">
        <v>9577187.0</v>
      </c>
      <c r="F3010" s="4">
        <v>9.0</v>
      </c>
      <c r="G3010" s="4" t="s">
        <v>5227</v>
      </c>
    </row>
    <row r="3011">
      <c r="A3011" s="1">
        <v>3009.0</v>
      </c>
      <c r="B3011" s="4" t="s">
        <v>5215</v>
      </c>
      <c r="C3011" s="4" t="str">
        <f>IFERROR(__xludf.DUMMYFUNCTION("GOOGLETRANSLATE(D:D,""auto"",""en"")"),"Shelter hospital nurse girl turned")</f>
        <v>Shelter hospital nurse girl turned</v>
      </c>
      <c r="D3011" s="4" t="s">
        <v>5228</v>
      </c>
      <c r="E3011" s="4">
        <v>9395230.0</v>
      </c>
      <c r="F3011" s="4">
        <v>10.0</v>
      </c>
      <c r="G3011" s="4" t="s">
        <v>5229</v>
      </c>
    </row>
    <row r="3012">
      <c r="A3012" s="1">
        <v>3010.0</v>
      </c>
      <c r="B3012" s="4" t="s">
        <v>5215</v>
      </c>
      <c r="C3012" s="4" t="str">
        <f>IFERROR(__xludf.DUMMYFUNCTION("GOOGLETRANSLATE(D:D,""auto"",""en"")"),"Shen Teng Sha Yi bowl wide face")</f>
        <v>Shen Teng Sha Yi bowl wide face</v>
      </c>
      <c r="D3012" s="4" t="s">
        <v>5230</v>
      </c>
      <c r="E3012" s="4">
        <v>9171436.0</v>
      </c>
      <c r="F3012" s="4">
        <v>11.0</v>
      </c>
      <c r="G3012" s="4" t="s">
        <v>5231</v>
      </c>
    </row>
    <row r="3013">
      <c r="A3013" s="1">
        <v>3011.0</v>
      </c>
      <c r="B3013" s="4" t="s">
        <v>5215</v>
      </c>
      <c r="C3013" s="4" t="str">
        <f>IFERROR(__xludf.DUMMYFUNCTION("GOOGLETRANSLATE(D:D,""auto"",""en"")"),"Yi Xi smelt one thousand eyes steady job")</f>
        <v>Yi Xi smelt one thousand eyes steady job</v>
      </c>
      <c r="D3013" s="4" t="s">
        <v>5232</v>
      </c>
      <c r="E3013" s="4">
        <v>9076492.0</v>
      </c>
      <c r="F3013" s="4">
        <v>12.0</v>
      </c>
      <c r="G3013" s="4" t="s">
        <v>5233</v>
      </c>
    </row>
    <row r="3014">
      <c r="A3014" s="1">
        <v>3012.0</v>
      </c>
      <c r="B3014" s="4" t="s">
        <v>5215</v>
      </c>
      <c r="C3014" s="4" t="str">
        <f>IFERROR(__xludf.DUMMYFUNCTION("GOOGLETRANSLATE(D:D,""auto"",""en"")"),"College entrance examination Hundred Days swearing")</f>
        <v>College entrance examination Hundred Days swearing</v>
      </c>
      <c r="D3014" s="4" t="s">
        <v>5167</v>
      </c>
      <c r="E3014" s="4">
        <v>9005247.0</v>
      </c>
      <c r="F3014" s="4">
        <v>13.0</v>
      </c>
      <c r="G3014" s="4" t="s">
        <v>5168</v>
      </c>
    </row>
    <row r="3015">
      <c r="A3015" s="1">
        <v>3013.0</v>
      </c>
      <c r="B3015" s="4" t="s">
        <v>5215</v>
      </c>
      <c r="C3015" s="4" t="str">
        <f>IFERROR(__xludf.DUMMYFUNCTION("GOOGLETRANSLATE(D:D,""auto"",""en"")"),"The national total of 79,824 cases of pneumonia diagnosed with the new crown")</f>
        <v>The national total of 79,824 cases of pneumonia diagnosed with the new crown</v>
      </c>
      <c r="D3015" s="4" t="s">
        <v>5234</v>
      </c>
      <c r="E3015" s="4">
        <v>8966535.0</v>
      </c>
      <c r="F3015" s="4">
        <v>14.0</v>
      </c>
      <c r="G3015" s="4" t="s">
        <v>5235</v>
      </c>
    </row>
    <row r="3016">
      <c r="A3016" s="1">
        <v>3014.0</v>
      </c>
      <c r="B3016" s="4" t="s">
        <v>5215</v>
      </c>
      <c r="C3016" s="4" t="str">
        <f>IFERROR(__xludf.DUMMYFUNCTION("GOOGLETRANSLATE(D:D,""auto"",""en"")"),"Police occasional passers-by to eat roadside bowed")</f>
        <v>Police occasional passers-by to eat roadside bowed</v>
      </c>
      <c r="D3016" s="4" t="s">
        <v>5236</v>
      </c>
      <c r="E3016" s="4">
        <v>8932545.0</v>
      </c>
      <c r="F3016" s="4">
        <v>15.0</v>
      </c>
      <c r="G3016" s="4" t="s">
        <v>5237</v>
      </c>
    </row>
    <row r="3017">
      <c r="A3017" s="1">
        <v>3015.0</v>
      </c>
      <c r="B3017" s="4" t="s">
        <v>5215</v>
      </c>
      <c r="C3017" s="4" t="str">
        <f>IFERROR(__xludf.DUMMYFUNCTION("GOOGLETRANSLATE(D:D,""auto"",""en"")"),"Hubei new confirmed cases 570 cases")</f>
        <v>Hubei new confirmed cases 570 cases</v>
      </c>
      <c r="D3017" s="4" t="s">
        <v>5238</v>
      </c>
      <c r="E3017" s="4">
        <v>8727459.0</v>
      </c>
      <c r="F3017" s="4">
        <v>16.0</v>
      </c>
      <c r="G3017" s="4" t="s">
        <v>5239</v>
      </c>
    </row>
    <row r="3018">
      <c r="A3018" s="1">
        <v>3016.0</v>
      </c>
      <c r="B3018" s="4" t="s">
        <v>5215</v>
      </c>
      <c r="C3018" s="4" t="str">
        <f>IFERROR(__xludf.DUMMYFUNCTION("GOOGLETRANSLATE(D:D,""auto"",""en"")"),"Luo Jin studio cooking show")</f>
        <v>Luo Jin studio cooking show</v>
      </c>
      <c r="D3018" s="4" t="s">
        <v>5240</v>
      </c>
      <c r="E3018" s="4">
        <v>8724522.0</v>
      </c>
      <c r="F3018" s="4">
        <v>17.0</v>
      </c>
      <c r="G3018" s="4" t="s">
        <v>5241</v>
      </c>
    </row>
    <row r="3019">
      <c r="A3019" s="1">
        <v>3017.0</v>
      </c>
      <c r="B3019" s="4" t="s">
        <v>5215</v>
      </c>
      <c r="C3019" s="4" t="str">
        <f>IFERROR(__xludf.DUMMYFUNCTION("GOOGLETRANSLATE(D:D,""auto"",""en"")"),"Sun Young Mother")</f>
        <v>Sun Young Mother</v>
      </c>
      <c r="D3019" s="4" t="s">
        <v>5209</v>
      </c>
      <c r="E3019" s="4">
        <v>8612905.0</v>
      </c>
      <c r="F3019" s="4">
        <v>18.0</v>
      </c>
      <c r="G3019" s="4" t="s">
        <v>5210</v>
      </c>
    </row>
    <row r="3020">
      <c r="A3020" s="1">
        <v>3018.0</v>
      </c>
      <c r="B3020" s="4" t="s">
        <v>5215</v>
      </c>
      <c r="C3020" s="4" t="str">
        <f>IFERROR(__xludf.DUMMYFUNCTION("GOOGLETRANSLATE(D:D,""auto"",""en"")"),"Separated by the Korean fever in travelers returning Chengdu Chengdu")</f>
        <v>Separated by the Korean fever in travelers returning Chengdu Chengdu</v>
      </c>
      <c r="D3020" s="4" t="s">
        <v>5242</v>
      </c>
      <c r="E3020" s="4">
        <v>8502338.0</v>
      </c>
      <c r="F3020" s="4">
        <v>19.0</v>
      </c>
      <c r="G3020" s="4" t="s">
        <v>5243</v>
      </c>
    </row>
    <row r="3021">
      <c r="A3021" s="1">
        <v>3019.0</v>
      </c>
      <c r="B3021" s="4" t="s">
        <v>5215</v>
      </c>
      <c r="C3021" s="4" t="str">
        <f>IFERROR(__xludf.DUMMYFUNCTION("GOOGLETRANSLATE(D:D,""auto"",""en"")"),"Global stock markets one week evaporated to $ 6 trillion")</f>
        <v>Global stock markets one week evaporated to $ 6 trillion</v>
      </c>
      <c r="D3021" s="4" t="s">
        <v>5244</v>
      </c>
      <c r="E3021" s="4">
        <v>8494751.0</v>
      </c>
      <c r="F3021" s="4">
        <v>20.0</v>
      </c>
      <c r="G3021" s="4" t="s">
        <v>5245</v>
      </c>
    </row>
    <row r="3022">
      <c r="A3022" s="1">
        <v>3020.0</v>
      </c>
      <c r="B3022" s="4" t="s">
        <v>5215</v>
      </c>
      <c r="C3022" s="4" t="str">
        <f>IFERROR(__xludf.DUMMYFUNCTION("GOOGLETRANSLATE(D:D,""auto"",""en"")"),"Shelter hospital reading clean extravehicular brother")</f>
        <v>Shelter hospital reading clean extravehicular brother</v>
      </c>
      <c r="D3022" s="4" t="s">
        <v>5246</v>
      </c>
      <c r="E3022" s="4">
        <v>8483318.0</v>
      </c>
      <c r="F3022" s="4">
        <v>21.0</v>
      </c>
      <c r="G3022" s="4" t="s">
        <v>5247</v>
      </c>
    </row>
    <row r="3023">
      <c r="A3023" s="1">
        <v>3021.0</v>
      </c>
      <c r="B3023" s="4" t="s">
        <v>5215</v>
      </c>
      <c r="C3023" s="4" t="str">
        <f>IFERROR(__xludf.DUMMYFUNCTION("GOOGLETRANSLATE(D:D,""auto"",""en"")"),"Yiyangqianxi the cover of GQ")</f>
        <v>Yiyangqianxi the cover of GQ</v>
      </c>
      <c r="D3023" s="4" t="s">
        <v>5248</v>
      </c>
      <c r="E3023" s="4">
        <v>8415090.0</v>
      </c>
      <c r="F3023" s="4">
        <v>22.0</v>
      </c>
      <c r="G3023" s="4" t="s">
        <v>5249</v>
      </c>
    </row>
    <row r="3024">
      <c r="A3024" s="1">
        <v>3022.0</v>
      </c>
      <c r="B3024" s="4" t="s">
        <v>5215</v>
      </c>
      <c r="C3024" s="4" t="str">
        <f>IFERROR(__xludf.DUMMYFUNCTION("GOOGLETRANSLATE(D:D,""auto"",""en"")"),"Wuhan first hospital shelter cabin off")</f>
        <v>Wuhan first hospital shelter cabin off</v>
      </c>
      <c r="D3024" s="4" t="s">
        <v>5250</v>
      </c>
      <c r="E3024" s="4">
        <v>8274714.0</v>
      </c>
      <c r="F3024" s="4">
        <v>23.0</v>
      </c>
      <c r="G3024" s="4" t="s">
        <v>5251</v>
      </c>
    </row>
    <row r="3025">
      <c r="A3025" s="1">
        <v>3023.0</v>
      </c>
      <c r="B3025" s="4" t="s">
        <v>5215</v>
      </c>
      <c r="C3025" s="4" t="str">
        <f>IFERROR(__xludf.DUMMYFUNCTION("GOOGLETRANSLATE(D:D,""auto"",""en"")"),"US first case of the new crown pneumonia deaths")</f>
        <v>US first case of the new crown pneumonia deaths</v>
      </c>
      <c r="D3025" s="4" t="s">
        <v>5252</v>
      </c>
      <c r="E3025" s="4">
        <v>8211473.0</v>
      </c>
      <c r="F3025" s="4">
        <v>24.0</v>
      </c>
      <c r="G3025" s="4" t="s">
        <v>5253</v>
      </c>
    </row>
    <row r="3026">
      <c r="A3026" s="1">
        <v>3024.0</v>
      </c>
      <c r="B3026" s="4" t="s">
        <v>5215</v>
      </c>
      <c r="C3026" s="4" t="str">
        <f>IFERROR(__xludf.DUMMYFUNCTION("GOOGLETRANSLATE(D:D,""auto"",""en"")"),"Stella Cuiying Jun Ye Donglie broadcast propaganda")</f>
        <v>Stella Cuiying Jun Ye Donglie broadcast propaganda</v>
      </c>
      <c r="D3026" s="4" t="s">
        <v>5254</v>
      </c>
      <c r="E3026" s="4">
        <v>8194702.0</v>
      </c>
      <c r="F3026" s="4">
        <v>25.0</v>
      </c>
      <c r="G3026" s="4" t="s">
        <v>5255</v>
      </c>
    </row>
    <row r="3027">
      <c r="A3027" s="1">
        <v>3025.0</v>
      </c>
      <c r="B3027" s="4" t="s">
        <v>5215</v>
      </c>
      <c r="C3027" s="4" t="str">
        <f>IFERROR(__xludf.DUMMYFUNCTION("GOOGLETRANSLATE(D:D,""auto"",""en"")"),"Henry Huo response dislocated jaw")</f>
        <v>Henry Huo response dislocated jaw</v>
      </c>
      <c r="D3027" s="4" t="s">
        <v>5256</v>
      </c>
      <c r="E3027" s="4">
        <v>8075110.0</v>
      </c>
      <c r="F3027" s="4">
        <v>26.0</v>
      </c>
      <c r="G3027" s="4" t="s">
        <v>5257</v>
      </c>
    </row>
    <row r="3028">
      <c r="A3028" s="1">
        <v>3026.0</v>
      </c>
      <c r="B3028" s="4" t="s">
        <v>5215</v>
      </c>
      <c r="C3028" s="4" t="str">
        <f>IFERROR(__xludf.DUMMYFUNCTION("GOOGLETRANSLATE(D:D,""auto"",""en"")"),"Trump kissed the flag and send love hug")</f>
        <v>Trump kissed the flag and send love hug</v>
      </c>
      <c r="D3028" s="4" t="s">
        <v>5258</v>
      </c>
      <c r="E3028" s="4">
        <v>8061672.0</v>
      </c>
      <c r="F3028" s="4">
        <v>27.0</v>
      </c>
      <c r="G3028" s="4" t="s">
        <v>5259</v>
      </c>
    </row>
    <row r="3029">
      <c r="A3029" s="1">
        <v>3027.0</v>
      </c>
      <c r="B3029" s="4" t="s">
        <v>5215</v>
      </c>
      <c r="C3029" s="4" t="str">
        <f>IFERROR(__xludf.DUMMYFUNCTION("GOOGLETRANSLATE(D:D,""auto"",""en"")"),"Walking diagnosed patients discharged from hospital without permission issued a video showing off")</f>
        <v>Walking diagnosed patients discharged from hospital without permission issued a video showing off</v>
      </c>
      <c r="D3029" s="4" t="s">
        <v>5260</v>
      </c>
      <c r="E3029" s="4">
        <v>7907606.0</v>
      </c>
      <c r="F3029" s="4">
        <v>28.0</v>
      </c>
      <c r="G3029" s="4" t="s">
        <v>5261</v>
      </c>
    </row>
    <row r="3030">
      <c r="A3030" s="1">
        <v>3028.0</v>
      </c>
      <c r="B3030" s="4" t="s">
        <v>5215</v>
      </c>
      <c r="C3030" s="4" t="str">
        <f>IFERROR(__xludf.DUMMYFUNCTION("GOOGLETRANSLATE(D:D,""auto"",""en"")"),"Raytheon Hill Hospital battlefield wedding")</f>
        <v>Raytheon Hill Hospital battlefield wedding</v>
      </c>
      <c r="D3030" s="4" t="s">
        <v>5262</v>
      </c>
      <c r="E3030" s="4">
        <v>7894667.0</v>
      </c>
      <c r="F3030" s="4">
        <v>29.0</v>
      </c>
      <c r="G3030" s="4" t="s">
        <v>5263</v>
      </c>
    </row>
    <row r="3031">
      <c r="A3031" s="1">
        <v>3029.0</v>
      </c>
      <c r="B3031" s="4" t="s">
        <v>5215</v>
      </c>
      <c r="C3031" s="4" t="str">
        <f>IFERROR(__xludf.DUMMYFUNCTION("GOOGLETRANSLATE(D:D,""auto"",""en"")"),"Zhao Wei and Ruby Lin responded substandard rumors")</f>
        <v>Zhao Wei and Ruby Lin responded substandard rumors</v>
      </c>
      <c r="D3031" s="4" t="s">
        <v>5264</v>
      </c>
      <c r="E3031" s="4">
        <v>7891796.0</v>
      </c>
      <c r="F3031" s="4">
        <v>30.0</v>
      </c>
      <c r="G3031" s="4" t="s">
        <v>5265</v>
      </c>
    </row>
    <row r="3032">
      <c r="A3032" s="1">
        <v>3030.0</v>
      </c>
      <c r="B3032" s="4" t="s">
        <v>5215</v>
      </c>
      <c r="C3032" s="4" t="str">
        <f>IFERROR(__xludf.DUMMYFUNCTION("GOOGLETRANSLATE(D:D,""auto"",""en"")"),"March hello")</f>
        <v>March hello</v>
      </c>
      <c r="D3032" s="4" t="s">
        <v>5266</v>
      </c>
      <c r="E3032" s="4">
        <v>7783209.0</v>
      </c>
      <c r="F3032" s="4">
        <v>31.0</v>
      </c>
      <c r="G3032" s="4" t="s">
        <v>5267</v>
      </c>
    </row>
    <row r="3033">
      <c r="A3033" s="1">
        <v>3031.0</v>
      </c>
      <c r="B3033" s="4" t="s">
        <v>5215</v>
      </c>
      <c r="C3033" s="4" t="str">
        <f>IFERROR(__xludf.DUMMYFUNCTION("GOOGLETRANSLATE(D:D,""auto"",""en"")"),"Japan's first outbreak due to the closure of enterprises")</f>
        <v>Japan's first outbreak due to the closure of enterprises</v>
      </c>
      <c r="D3033" s="4" t="s">
        <v>5268</v>
      </c>
      <c r="E3033" s="4">
        <v>7708999.0</v>
      </c>
      <c r="F3033" s="4">
        <v>32.0</v>
      </c>
      <c r="G3033" s="4" t="s">
        <v>5269</v>
      </c>
    </row>
    <row r="3034">
      <c r="A3034" s="1">
        <v>3032.0</v>
      </c>
      <c r="B3034" s="4" t="s">
        <v>5215</v>
      </c>
      <c r="C3034" s="4" t="str">
        <f>IFERROR(__xludf.DUMMYFUNCTION("GOOGLETRANSLATE(D:D,""auto"",""en"")"),"Beijing counterfeiting district passes")</f>
        <v>Beijing counterfeiting district passes</v>
      </c>
      <c r="D3034" s="4" t="s">
        <v>5270</v>
      </c>
      <c r="E3034" s="4">
        <v>7623597.0</v>
      </c>
      <c r="F3034" s="4">
        <v>33.0</v>
      </c>
      <c r="G3034" s="4" t="s">
        <v>5271</v>
      </c>
    </row>
    <row r="3035">
      <c r="A3035" s="1">
        <v>3033.0</v>
      </c>
      <c r="B3035" s="4" t="s">
        <v>5215</v>
      </c>
      <c r="C3035" s="4" t="str">
        <f>IFERROR(__xludf.DUMMYFUNCTION("GOOGLETRANSLATE(D:D,""auto"",""en"")"),"Li Yi Feng this little finger pressure peaks challenge")</f>
        <v>Li Yi Feng this little finger pressure peaks challenge</v>
      </c>
      <c r="D3035" s="4" t="s">
        <v>5272</v>
      </c>
      <c r="E3035" s="4">
        <v>7580618.0</v>
      </c>
      <c r="F3035" s="4">
        <v>34.0</v>
      </c>
      <c r="G3035" s="4" t="s">
        <v>5273</v>
      </c>
    </row>
    <row r="3036">
      <c r="A3036" s="1">
        <v>3034.0</v>
      </c>
      <c r="B3036" s="4" t="s">
        <v>5215</v>
      </c>
      <c r="C3036" s="4" t="str">
        <f>IFERROR(__xludf.DUMMYFUNCTION("GOOGLETRANSLATE(D:D,""auto"",""en"")"),"Howard Morris to succeed")</f>
        <v>Howard Morris to succeed</v>
      </c>
      <c r="D3036" s="4" t="s">
        <v>5274</v>
      </c>
      <c r="E3036" s="4">
        <v>7576066.0</v>
      </c>
      <c r="F3036" s="4">
        <v>35.0</v>
      </c>
      <c r="G3036" s="4" t="s">
        <v>5275</v>
      </c>
    </row>
    <row r="3037">
      <c r="A3037" s="1">
        <v>3035.0</v>
      </c>
      <c r="B3037" s="4" t="s">
        <v>5215</v>
      </c>
      <c r="C3037" s="4" t="str">
        <f>IFERROR(__xludf.DUMMYFUNCTION("GOOGLETRANSLATE(D:D,""auto"",""en"")"),"Bai Yansong epidemic prevention to the most rivalry stage")</f>
        <v>Bai Yansong epidemic prevention to the most rivalry stage</v>
      </c>
      <c r="D3037" s="4" t="s">
        <v>5276</v>
      </c>
      <c r="E3037" s="4">
        <v>7483546.0</v>
      </c>
      <c r="F3037" s="4">
        <v>36.0</v>
      </c>
      <c r="G3037" s="4" t="s">
        <v>5277</v>
      </c>
    </row>
    <row r="3038">
      <c r="A3038" s="1">
        <v>3036.0</v>
      </c>
      <c r="B3038" s="4" t="s">
        <v>5215</v>
      </c>
      <c r="C3038" s="4" t="str">
        <f>IFERROR(__xludf.DUMMYFUNCTION("GOOGLETRANSLATE(D:D,""auto"",""en"")"),"Stabbed epidemic checkpoints staff suspects eligible for the death penalty")</f>
        <v>Stabbed epidemic checkpoints staff suspects eligible for the death penalty</v>
      </c>
      <c r="D3038" s="4" t="s">
        <v>5278</v>
      </c>
      <c r="E3038" s="4">
        <v>7464493.0</v>
      </c>
      <c r="F3038" s="4">
        <v>37.0</v>
      </c>
      <c r="G3038" s="4" t="s">
        <v>5279</v>
      </c>
    </row>
    <row r="3039">
      <c r="A3039" s="1">
        <v>3037.0</v>
      </c>
      <c r="B3039" s="4" t="s">
        <v>5215</v>
      </c>
      <c r="C3039" s="4" t="str">
        <f>IFERROR(__xludf.DUMMYFUNCTION("GOOGLETRANSLATE(D:D,""auto"",""en"")"),"Add 2.4 new cases of pneumonia Italian crown")</f>
        <v>Add 2.4 new cases of pneumonia Italian crown</v>
      </c>
      <c r="D3039" s="4" t="s">
        <v>5280</v>
      </c>
      <c r="E3039" s="4">
        <v>7436112.0</v>
      </c>
      <c r="F3039" s="4">
        <v>38.0</v>
      </c>
      <c r="G3039" s="4" t="s">
        <v>5281</v>
      </c>
    </row>
    <row r="3040">
      <c r="A3040" s="1">
        <v>3038.0</v>
      </c>
      <c r="B3040" s="4" t="s">
        <v>5215</v>
      </c>
      <c r="C3040" s="4" t="str">
        <f>IFERROR(__xludf.DUMMYFUNCTION("GOOGLETRANSLATE(D:D,""auto"",""en"")"),"The police informed the scavenging old man was beaten")</f>
        <v>The police informed the scavenging old man was beaten</v>
      </c>
      <c r="D3040" s="4" t="s">
        <v>5282</v>
      </c>
      <c r="E3040" s="4">
        <v>7335248.0</v>
      </c>
      <c r="F3040" s="4">
        <v>39.0</v>
      </c>
      <c r="G3040" s="4" t="s">
        <v>5283</v>
      </c>
    </row>
    <row r="3041">
      <c r="A3041" s="1">
        <v>3039.0</v>
      </c>
      <c r="B3041" s="4" t="s">
        <v>5215</v>
      </c>
      <c r="C3041" s="4" t="str">
        <f>IFERROR(__xludf.DUMMYFUNCTION("GOOGLETRANSLATE(D:D,""auto"",""en"")"),"Bayern fans extreme behavior caused by interruption of game")</f>
        <v>Bayern fans extreme behavior caused by interruption of game</v>
      </c>
      <c r="D3041" s="4" t="s">
        <v>5284</v>
      </c>
      <c r="E3041" s="4">
        <v>7298517.0</v>
      </c>
      <c r="F3041" s="4">
        <v>40.0</v>
      </c>
      <c r="G3041" s="4" t="s">
        <v>5285</v>
      </c>
    </row>
    <row r="3042">
      <c r="A3042" s="1">
        <v>3040.0</v>
      </c>
      <c r="B3042" s="4" t="s">
        <v>5215</v>
      </c>
      <c r="C3042" s="4" t="str">
        <f>IFERROR(__xludf.DUMMYFUNCTION("GOOGLETRANSLATE(D:D,""auto"",""en"")"),"4 Iranian passengers back to China arrived in Beijing after 14 days of observation")</f>
        <v>4 Iranian passengers back to China arrived in Beijing after 14 days of observation</v>
      </c>
      <c r="D3042" s="4" t="s">
        <v>5286</v>
      </c>
      <c r="E3042" s="4">
        <v>7243365.0</v>
      </c>
      <c r="F3042" s="4">
        <v>41.0</v>
      </c>
      <c r="G3042" s="4" t="s">
        <v>5287</v>
      </c>
    </row>
    <row r="3043">
      <c r="A3043" s="1">
        <v>3041.0</v>
      </c>
      <c r="B3043" s="4" t="s">
        <v>5215</v>
      </c>
      <c r="C3043" s="4" t="str">
        <f>IFERROR(__xludf.DUMMYFUNCTION("GOOGLETRANSLATE(D:D,""auto"",""en"")"),"Wuhan Wuchang shelter hospital Area B Batten")</f>
        <v>Wuhan Wuchang shelter hospital Area B Batten</v>
      </c>
      <c r="D3043" s="4" t="s">
        <v>5288</v>
      </c>
      <c r="E3043" s="4">
        <v>7145305.0</v>
      </c>
      <c r="F3043" s="4">
        <v>42.0</v>
      </c>
      <c r="G3043" s="4" t="s">
        <v>5289</v>
      </c>
    </row>
    <row r="3044">
      <c r="A3044" s="1">
        <v>3042.0</v>
      </c>
      <c r="B3044" s="4" t="s">
        <v>5215</v>
      </c>
      <c r="C3044" s="4" t="str">
        <f>IFERROR(__xludf.DUMMYFUNCTION("GOOGLETRANSLATE(D:D,""auto"",""en"")"),"South Korea confirmed a total of 3526 cases of pneumonia new crown")</f>
        <v>South Korea confirmed a total of 3526 cases of pneumonia new crown</v>
      </c>
      <c r="D3044" s="4" t="s">
        <v>5290</v>
      </c>
      <c r="E3044" s="4">
        <v>7085661.0</v>
      </c>
      <c r="F3044" s="4">
        <v>43.0</v>
      </c>
      <c r="G3044" s="4" t="s">
        <v>5291</v>
      </c>
    </row>
    <row r="3045">
      <c r="A3045" s="1">
        <v>3043.0</v>
      </c>
      <c r="B3045" s="4" t="s">
        <v>5215</v>
      </c>
      <c r="C3045" s="4" t="str">
        <f>IFERROR(__xludf.DUMMYFUNCTION("GOOGLETRANSLATE(D:D,""auto"",""en"")"),"Zhang Division will chat a good man")</f>
        <v>Zhang Division will chat a good man</v>
      </c>
      <c r="D3045" s="4" t="s">
        <v>5292</v>
      </c>
      <c r="E3045" s="4">
        <v>7050212.0</v>
      </c>
      <c r="F3045" s="4">
        <v>44.0</v>
      </c>
      <c r="G3045" s="4" t="s">
        <v>5293</v>
      </c>
    </row>
    <row r="3046">
      <c r="A3046" s="1">
        <v>3044.0</v>
      </c>
      <c r="B3046" s="4" t="s">
        <v>5215</v>
      </c>
      <c r="C3046" s="4" t="str">
        <f>IFERROR(__xludf.DUMMYFUNCTION("GOOGLETRANSLATE(D:D,""auto"",""en"")"),"Yang Ying for front-line health care fans send birthday wishes")</f>
        <v>Yang Ying for front-line health care fans send birthday wishes</v>
      </c>
      <c r="D3046" s="4" t="s">
        <v>5294</v>
      </c>
      <c r="E3046" s="4">
        <v>6989518.0</v>
      </c>
      <c r="F3046" s="4">
        <v>45.0</v>
      </c>
      <c r="G3046" s="4" t="s">
        <v>5295</v>
      </c>
    </row>
    <row r="3047">
      <c r="A3047" s="1">
        <v>3045.0</v>
      </c>
      <c r="B3047" s="4" t="s">
        <v>5215</v>
      </c>
      <c r="C3047" s="4" t="str">
        <f>IFERROR(__xludf.DUMMYFUNCTION("GOOGLETRANSLATE(D:D,""auto"",""en"")"),"Large cap thick eyebrows Morant")</f>
        <v>Large cap thick eyebrows Morant</v>
      </c>
      <c r="D3047" s="4" t="s">
        <v>5296</v>
      </c>
      <c r="E3047" s="4">
        <v>6978376.0</v>
      </c>
      <c r="F3047" s="4">
        <v>46.0</v>
      </c>
      <c r="G3047" s="4" t="s">
        <v>5297</v>
      </c>
    </row>
    <row r="3048">
      <c r="A3048" s="1">
        <v>3046.0</v>
      </c>
      <c r="B3048" s="4" t="s">
        <v>5215</v>
      </c>
      <c r="C3048" s="4" t="str">
        <f>IFERROR(__xludf.DUMMYFUNCTION("GOOGLETRANSLATE(D:D,""auto"",""en"")"),"Tibet rescue team of 16 people to lift all medical isolation")</f>
        <v>Tibet rescue team of 16 people to lift all medical isolation</v>
      </c>
      <c r="D3048" s="4" t="s">
        <v>5298</v>
      </c>
      <c r="E3048" s="4">
        <v>6968166.0</v>
      </c>
      <c r="F3048" s="4">
        <v>47.0</v>
      </c>
      <c r="G3048" s="4" t="s">
        <v>5299</v>
      </c>
    </row>
    <row r="3049">
      <c r="A3049" s="1">
        <v>3047.0</v>
      </c>
      <c r="B3049" s="4" t="s">
        <v>5215</v>
      </c>
      <c r="C3049" s="4" t="str">
        <f>IFERROR(__xludf.DUMMYFUNCTION("GOOGLETRANSLATE(D:D,""auto"",""en"")"),"March banned the network violent human flesh search")</f>
        <v>March banned the network violent human flesh search</v>
      </c>
      <c r="D3049" s="4" t="s">
        <v>5300</v>
      </c>
      <c r="E3049" s="4">
        <v>6911759.0</v>
      </c>
      <c r="F3049" s="4">
        <v>48.0</v>
      </c>
      <c r="G3049" s="4" t="s">
        <v>5301</v>
      </c>
    </row>
    <row r="3050">
      <c r="A3050" s="1">
        <v>3048.0</v>
      </c>
      <c r="B3050" s="4" t="s">
        <v>5215</v>
      </c>
      <c r="C3050" s="4" t="str">
        <f>IFERROR(__xludf.DUMMYFUNCTION("GOOGLETRANSLATE(D:D,""auto"",""en"")"),"China will donate 5,000 sets of protective clothing Japan")</f>
        <v>China will donate 5,000 sets of protective clothing Japan</v>
      </c>
      <c r="D3050" s="4" t="s">
        <v>5302</v>
      </c>
      <c r="E3050" s="4">
        <v>6902919.0</v>
      </c>
      <c r="F3050" s="4">
        <v>49.0</v>
      </c>
      <c r="G3050" s="4" t="s">
        <v>5303</v>
      </c>
    </row>
    <row r="3051">
      <c r="A3051" s="1">
        <v>3049.0</v>
      </c>
      <c r="B3051" s="4" t="s">
        <v>5215</v>
      </c>
      <c r="C3051" s="4" t="str">
        <f>IFERROR(__xludf.DUMMYFUNCTION("GOOGLETRANSLATE(D:D,""auto"",""en"")"),"Zhouzhen Nan sad faces of the children")</f>
        <v>Zhouzhen Nan sad faces of the children</v>
      </c>
      <c r="D3051" s="4" t="s">
        <v>5304</v>
      </c>
      <c r="E3051" s="4">
        <v>6868258.0</v>
      </c>
      <c r="F3051" s="4">
        <v>50.0</v>
      </c>
      <c r="G3051" s="4" t="s">
        <v>5305</v>
      </c>
    </row>
    <row r="3052">
      <c r="A3052" s="1">
        <v>3050.0</v>
      </c>
      <c r="B3052" s="4" t="s">
        <v>5306</v>
      </c>
      <c r="C3052" s="4" t="str">
        <f>IFERROR(__xludf.DUMMYFUNCTION("GOOGLETRANSLATE(D:D,""auto"",""en"")"),"Liu Bo Xin imitate the hum roll")</f>
        <v>Liu Bo Xin imitate the hum roll</v>
      </c>
      <c r="D3052" s="4" t="s">
        <v>5307</v>
      </c>
      <c r="E3052" s="4">
        <v>1.3954021E7</v>
      </c>
      <c r="F3052" s="4">
        <v>1.0</v>
      </c>
      <c r="G3052" s="4" t="s">
        <v>5308</v>
      </c>
    </row>
    <row r="3053">
      <c r="A3053" s="1">
        <v>3051.0</v>
      </c>
      <c r="B3053" s="4" t="s">
        <v>5306</v>
      </c>
      <c r="C3053" s="4" t="str">
        <f>IFERROR(__xludf.DUMMYFUNCTION("GOOGLETRANSLATE(D:D,""auto"",""en"")"),"Rejection hair facelift")</f>
        <v>Rejection hair facelift</v>
      </c>
      <c r="D3053" s="4" t="s">
        <v>5309</v>
      </c>
      <c r="E3053" s="4">
        <v>1.2998894E7</v>
      </c>
      <c r="F3053" s="4">
        <v>2.0</v>
      </c>
      <c r="G3053" s="4" t="s">
        <v>5310</v>
      </c>
    </row>
    <row r="3054">
      <c r="A3054" s="1">
        <v>3052.0</v>
      </c>
      <c r="B3054" s="4" t="s">
        <v>5306</v>
      </c>
      <c r="C3054" s="4" t="str">
        <f>IFERROR(__xludf.DUMMYFUNCTION("GOOGLETRANSLATE(D:D,""auto"",""en"")"),"Permanent residence regulations for foreigners")</f>
        <v>Permanent residence regulations for foreigners</v>
      </c>
      <c r="D3054" s="4" t="s">
        <v>5311</v>
      </c>
      <c r="E3054" s="4">
        <v>1.2878335E7</v>
      </c>
      <c r="F3054" s="4">
        <v>3.0</v>
      </c>
      <c r="G3054" s="4" t="s">
        <v>5312</v>
      </c>
    </row>
    <row r="3055">
      <c r="A3055" s="1">
        <v>3053.0</v>
      </c>
      <c r="B3055" s="4" t="s">
        <v>5306</v>
      </c>
      <c r="C3055" s="4" t="str">
        <f>IFERROR(__xludf.DUMMYFUNCTION("GOOGLETRANSLATE(D:D,""auto"",""en"")"),"Ma rebate Japan 1 million masks")</f>
        <v>Ma rebate Japan 1 million masks</v>
      </c>
      <c r="D3055" s="4" t="s">
        <v>5313</v>
      </c>
      <c r="E3055" s="4">
        <v>9843697.0</v>
      </c>
      <c r="F3055" s="4">
        <v>4.0</v>
      </c>
      <c r="G3055" s="4" t="s">
        <v>5314</v>
      </c>
    </row>
    <row r="3056">
      <c r="A3056" s="1">
        <v>3054.0</v>
      </c>
      <c r="B3056" s="4" t="s">
        <v>5306</v>
      </c>
      <c r="C3056" s="4" t="str">
        <f>IFERROR(__xludf.DUMMYFUNCTION("GOOGLETRANSLATE(D:D,""auto"",""en"")"),"Desert Locust risk of invasive China")</f>
        <v>Desert Locust risk of invasive China</v>
      </c>
      <c r="D3056" s="4" t="s">
        <v>5315</v>
      </c>
      <c r="E3056" s="4">
        <v>9500197.0</v>
      </c>
      <c r="F3056" s="4">
        <v>5.0</v>
      </c>
      <c r="G3056" s="4" t="s">
        <v>5316</v>
      </c>
    </row>
    <row r="3057">
      <c r="A3057" s="1">
        <v>3055.0</v>
      </c>
      <c r="B3057" s="4" t="s">
        <v>5306</v>
      </c>
      <c r="C3057" s="4" t="str">
        <f>IFERROR(__xludf.DUMMYFUNCTION("GOOGLETRANSLATE(D:D,""auto"",""en"")"),"Chinese masks Nissan production both exceeded 100 million")</f>
        <v>Chinese masks Nissan production both exceeded 100 million</v>
      </c>
      <c r="D3057" s="4" t="s">
        <v>5317</v>
      </c>
      <c r="E3057" s="4">
        <v>9479343.0</v>
      </c>
      <c r="F3057" s="4">
        <v>6.0</v>
      </c>
      <c r="G3057" s="4" t="s">
        <v>5318</v>
      </c>
    </row>
    <row r="3058">
      <c r="A3058" s="1">
        <v>3056.0</v>
      </c>
      <c r="B3058" s="4" t="s">
        <v>5306</v>
      </c>
      <c r="C3058" s="4" t="str">
        <f>IFERROR(__xludf.DUMMYFUNCTION("GOOGLETRANSLATE(D:D,""auto"",""en"")"),"Ethiopia mysterious infectious disease outbreak")</f>
        <v>Ethiopia mysterious infectious disease outbreak</v>
      </c>
      <c r="D3058" s="4" t="s">
        <v>5319</v>
      </c>
      <c r="E3058" s="4">
        <v>9387616.0</v>
      </c>
      <c r="F3058" s="4">
        <v>7.0</v>
      </c>
      <c r="G3058" s="4" t="s">
        <v>5320</v>
      </c>
    </row>
    <row r="3059">
      <c r="A3059" s="1">
        <v>3057.0</v>
      </c>
      <c r="B3059" s="4" t="s">
        <v>5306</v>
      </c>
      <c r="C3059" s="4" t="str">
        <f>IFERROR(__xludf.DUMMYFUNCTION("GOOGLETRANSLATE(D:D,""auto"",""en"")"),"Yi Xi smelt one thousand eyes steady job")</f>
        <v>Yi Xi smelt one thousand eyes steady job</v>
      </c>
      <c r="D3059" s="4" t="s">
        <v>5232</v>
      </c>
      <c r="E3059" s="4">
        <v>9304977.0</v>
      </c>
      <c r="F3059" s="4">
        <v>8.0</v>
      </c>
      <c r="G3059" s="4" t="s">
        <v>5233</v>
      </c>
    </row>
    <row r="3060">
      <c r="A3060" s="1">
        <v>3058.0</v>
      </c>
      <c r="B3060" s="4" t="s">
        <v>5306</v>
      </c>
      <c r="C3060" s="4" t="str">
        <f>IFERROR(__xludf.DUMMYFUNCTION("GOOGLETRANSLATE(D:D,""auto"",""en"")"),"See the car is not closing")</f>
        <v>See the car is not closing</v>
      </c>
      <c r="D3060" s="4" t="s">
        <v>4957</v>
      </c>
      <c r="E3060" s="4">
        <v>9120368.0</v>
      </c>
      <c r="F3060" s="4">
        <v>9.0</v>
      </c>
      <c r="G3060" s="4" t="s">
        <v>4958</v>
      </c>
    </row>
    <row r="3061">
      <c r="A3061" s="1">
        <v>3059.0</v>
      </c>
      <c r="B3061" s="4" t="s">
        <v>5306</v>
      </c>
      <c r="C3061" s="4" t="str">
        <f>IFERROR(__xludf.DUMMYFUNCTION("GOOGLETRANSLATE(D:D,""auto"",""en"")"),"Tyson million dollars for his daughter marriage")</f>
        <v>Tyson million dollars for his daughter marriage</v>
      </c>
      <c r="D3061" s="4" t="s">
        <v>5222</v>
      </c>
      <c r="E3061" s="4">
        <v>8972013.0</v>
      </c>
      <c r="F3061" s="4">
        <v>10.0</v>
      </c>
      <c r="G3061" s="4" t="s">
        <v>5223</v>
      </c>
    </row>
    <row r="3062">
      <c r="A3062" s="1">
        <v>3060.0</v>
      </c>
      <c r="B3062" s="4" t="s">
        <v>5306</v>
      </c>
      <c r="C3062" s="4" t="str">
        <f>IFERROR(__xludf.DUMMYFUNCTION("GOOGLETRANSLATE(D:D,""auto"",""en"")"),"Li Yi Feng this little finger pressure peaks challenge")</f>
        <v>Li Yi Feng this little finger pressure peaks challenge</v>
      </c>
      <c r="D3062" s="4" t="s">
        <v>5272</v>
      </c>
      <c r="E3062" s="4">
        <v>8787388.0</v>
      </c>
      <c r="F3062" s="4">
        <v>11.0</v>
      </c>
      <c r="G3062" s="4" t="s">
        <v>5273</v>
      </c>
    </row>
    <row r="3063">
      <c r="A3063" s="1">
        <v>3061.0</v>
      </c>
      <c r="B3063" s="4" t="s">
        <v>5306</v>
      </c>
      <c r="C3063" s="4" t="str">
        <f>IFERROR(__xludf.DUMMYFUNCTION("GOOGLETRANSLATE(D:D,""auto"",""en"")"),"Jackson Wang response was to marry")</f>
        <v>Jackson Wang response was to marry</v>
      </c>
      <c r="D3063" s="4" t="s">
        <v>5321</v>
      </c>
      <c r="E3063" s="4">
        <v>8761394.0</v>
      </c>
      <c r="F3063" s="4">
        <v>12.0</v>
      </c>
      <c r="G3063" s="4" t="s">
        <v>5322</v>
      </c>
    </row>
    <row r="3064">
      <c r="A3064" s="1">
        <v>3062.0</v>
      </c>
      <c r="B3064" s="4" t="s">
        <v>5306</v>
      </c>
      <c r="C3064" s="4" t="str">
        <f>IFERROR(__xludf.DUMMYFUNCTION("GOOGLETRANSLATE(D:D,""auto"",""en"")"),"Japanese supermarket toilet paper was sold out more")</f>
        <v>Japanese supermarket toilet paper was sold out more</v>
      </c>
      <c r="D3064" s="4" t="s">
        <v>5323</v>
      </c>
      <c r="E3064" s="4">
        <v>8659870.0</v>
      </c>
      <c r="F3064" s="4">
        <v>13.0</v>
      </c>
      <c r="G3064" s="4" t="s">
        <v>5324</v>
      </c>
    </row>
    <row r="3065">
      <c r="A3065" s="1">
        <v>3063.0</v>
      </c>
      <c r="B3065" s="4" t="s">
        <v>5306</v>
      </c>
      <c r="C3065" s="4" t="str">
        <f>IFERROR(__xludf.DUMMYFUNCTION("GOOGLETRANSLATE(D:D,""auto"",""en"")"),"A person can have much before and after contrast")</f>
        <v>A person can have much before and after contrast</v>
      </c>
      <c r="D3065" s="4" t="s">
        <v>5325</v>
      </c>
      <c r="E3065" s="4">
        <v>8548860.0</v>
      </c>
      <c r="F3065" s="4">
        <v>14.0</v>
      </c>
      <c r="G3065" s="4" t="s">
        <v>5326</v>
      </c>
    </row>
    <row r="3066">
      <c r="A3066" s="1">
        <v>3064.0</v>
      </c>
      <c r="B3066" s="4" t="s">
        <v>5306</v>
      </c>
      <c r="C3066" s="4" t="str">
        <f>IFERROR(__xludf.DUMMYFUNCTION("GOOGLETRANSLATE(D:D,""auto"",""en"")"),"Stella Cuiying Jun Ye Donglie broadcast propaganda")</f>
        <v>Stella Cuiying Jun Ye Donglie broadcast propaganda</v>
      </c>
      <c r="D3066" s="4" t="s">
        <v>5254</v>
      </c>
      <c r="E3066" s="4">
        <v>8157656.0</v>
      </c>
      <c r="F3066" s="4">
        <v>15.0</v>
      </c>
      <c r="G3066" s="4" t="s">
        <v>5255</v>
      </c>
    </row>
    <row r="3067">
      <c r="A3067" s="1">
        <v>3065.0</v>
      </c>
      <c r="B3067" s="4" t="s">
        <v>5306</v>
      </c>
      <c r="C3067" s="4" t="str">
        <f>IFERROR(__xludf.DUMMYFUNCTION("GOOGLETRANSLATE(D:D,""auto"",""en"")"),"The national total of 80,026 cases of pneumonia diagnosed with the new crown")</f>
        <v>The national total of 80,026 cases of pneumonia diagnosed with the new crown</v>
      </c>
      <c r="D3067" s="4" t="s">
        <v>5327</v>
      </c>
      <c r="E3067" s="4">
        <v>7995348.0</v>
      </c>
      <c r="F3067" s="4">
        <v>16.0</v>
      </c>
      <c r="G3067" s="4" t="s">
        <v>5328</v>
      </c>
    </row>
    <row r="3068">
      <c r="A3068" s="1">
        <v>3066.0</v>
      </c>
      <c r="B3068" s="4" t="s">
        <v>5306</v>
      </c>
      <c r="C3068" s="4" t="str">
        <f>IFERROR(__xludf.DUMMYFUNCTION("GOOGLETRANSLATE(D:D,""auto"",""en"")"),"Hubei new confirmed cases 196 cases")</f>
        <v>Hubei new confirmed cases 196 cases</v>
      </c>
      <c r="D3068" s="4" t="s">
        <v>5329</v>
      </c>
      <c r="E3068" s="4">
        <v>7916067.0</v>
      </c>
      <c r="F3068" s="4">
        <v>17.0</v>
      </c>
      <c r="G3068" s="4" t="s">
        <v>5330</v>
      </c>
    </row>
    <row r="3069">
      <c r="A3069" s="1">
        <v>3067.0</v>
      </c>
      <c r="B3069" s="4" t="s">
        <v>5306</v>
      </c>
      <c r="C3069" s="4" t="str">
        <f>IFERROR(__xludf.DUMMYFUNCTION("GOOGLETRANSLATE(D:D,""auto"",""en"")"),"Released prisoners arrived from the Chinese findings")</f>
        <v>Released prisoners arrived from the Chinese findings</v>
      </c>
      <c r="D3069" s="4" t="s">
        <v>5331</v>
      </c>
      <c r="E3069" s="4">
        <v>7571719.0</v>
      </c>
      <c r="F3069" s="4">
        <v>18.0</v>
      </c>
      <c r="G3069" s="4" t="s">
        <v>5332</v>
      </c>
    </row>
    <row r="3070">
      <c r="A3070" s="1">
        <v>3068.0</v>
      </c>
      <c r="B3070" s="4" t="s">
        <v>5306</v>
      </c>
      <c r="C3070" s="4" t="str">
        <f>IFERROR(__xludf.DUMMYFUNCTION("GOOGLETRANSLATE(D:D,""auto"",""en"")"),"Director of Hubei Provincial Department of Justice, and many others checked")</f>
        <v>Director of Hubei Provincial Department of Justice, and many others checked</v>
      </c>
      <c r="D3070" s="4" t="s">
        <v>5333</v>
      </c>
      <c r="E3070" s="4">
        <v>7563625.0</v>
      </c>
      <c r="F3070" s="4">
        <v>19.0</v>
      </c>
      <c r="G3070" s="4" t="s">
        <v>5334</v>
      </c>
    </row>
    <row r="3071">
      <c r="A3071" s="1">
        <v>3069.0</v>
      </c>
      <c r="B3071" s="4" t="s">
        <v>5306</v>
      </c>
      <c r="C3071" s="4" t="str">
        <f>IFERROR(__xludf.DUMMYFUNCTION("GOOGLETRANSLATE(D:D,""auto"",""en"")"),"Lee before and after shave now")</f>
        <v>Lee before and after shave now</v>
      </c>
      <c r="D3071" s="4" t="s">
        <v>5335</v>
      </c>
      <c r="E3071" s="4">
        <v>7507815.0</v>
      </c>
      <c r="F3071" s="4">
        <v>20.0</v>
      </c>
      <c r="G3071" s="4" t="s">
        <v>5336</v>
      </c>
    </row>
    <row r="3072">
      <c r="A3072" s="1">
        <v>3070.0</v>
      </c>
      <c r="B3072" s="4" t="s">
        <v>5306</v>
      </c>
      <c r="C3072" s="4" t="str">
        <f>IFERROR(__xludf.DUMMYFUNCTION("GOOGLETRANSLATE(D:D,""auto"",""en"")"),"The new crown pneumonia dead autopsy doctors Liu Liang")</f>
        <v>The new crown pneumonia dead autopsy doctors Liu Liang</v>
      </c>
      <c r="D3072" s="4" t="s">
        <v>5337</v>
      </c>
      <c r="E3072" s="4">
        <v>7464998.0</v>
      </c>
      <c r="F3072" s="4">
        <v>21.0</v>
      </c>
      <c r="G3072" s="4" t="s">
        <v>5338</v>
      </c>
    </row>
    <row r="3073">
      <c r="A3073" s="1">
        <v>3071.0</v>
      </c>
      <c r="B3073" s="4" t="s">
        <v>5306</v>
      </c>
      <c r="C3073" s="4" t="str">
        <f>IFERROR(__xludf.DUMMYFUNCTION("GOOGLETRANSLATE(D:D,""auto"",""en"")"),"Chen Yao Yue income baggage fight face Qiluo")</f>
        <v>Chen Yao Yue income baggage fight face Qiluo</v>
      </c>
      <c r="D3073" s="4" t="s">
        <v>5339</v>
      </c>
      <c r="E3073" s="4">
        <v>7460843.0</v>
      </c>
      <c r="F3073" s="4">
        <v>22.0</v>
      </c>
      <c r="G3073" s="4" t="s">
        <v>5340</v>
      </c>
    </row>
    <row r="3074">
      <c r="A3074" s="1">
        <v>3072.0</v>
      </c>
      <c r="B3074" s="4" t="s">
        <v>5306</v>
      </c>
      <c r="C3074" s="4" t="str">
        <f>IFERROR(__xludf.DUMMYFUNCTION("GOOGLETRANSLATE(D:D,""auto"",""en"")"),"New Korea confirmed cases 476 cases")</f>
        <v>New Korea confirmed cases 476 cases</v>
      </c>
      <c r="D3074" s="4" t="s">
        <v>5341</v>
      </c>
      <c r="E3074" s="4">
        <v>7393388.0</v>
      </c>
      <c r="F3074" s="4">
        <v>23.0</v>
      </c>
      <c r="G3074" s="4" t="s">
        <v>5342</v>
      </c>
    </row>
    <row r="3075">
      <c r="A3075" s="1">
        <v>3073.0</v>
      </c>
      <c r="B3075" s="4" t="s">
        <v>5306</v>
      </c>
      <c r="C3075" s="4" t="str">
        <f>IFERROR(__xludf.DUMMYFUNCTION("GOOGLETRANSLATE(D:D,""auto"",""en"")"),"Dalian is not now a large number of Japanese personnel influx of Korean situation")</f>
        <v>Dalian is not now a large number of Japanese personnel influx of Korean situation</v>
      </c>
      <c r="D3075" s="4" t="s">
        <v>5343</v>
      </c>
      <c r="E3075" s="4">
        <v>7373110.0</v>
      </c>
      <c r="F3075" s="4">
        <v>24.0</v>
      </c>
      <c r="G3075" s="4" t="s">
        <v>5344</v>
      </c>
    </row>
    <row r="3076">
      <c r="A3076" s="1">
        <v>3074.0</v>
      </c>
      <c r="B3076" s="4" t="s">
        <v>5306</v>
      </c>
      <c r="C3076" s="4" t="str">
        <f>IFERROR(__xludf.DUMMYFUNCTION("GOOGLETRANSLATE(D:D,""auto"",""en"")"),"Beijing briefing released prisoners from the Han to Beijing details")</f>
        <v>Beijing briefing released prisoners from the Han to Beijing details</v>
      </c>
      <c r="D3076" s="4" t="s">
        <v>5345</v>
      </c>
      <c r="E3076" s="4">
        <v>7113359.0</v>
      </c>
      <c r="F3076" s="4">
        <v>25.0</v>
      </c>
      <c r="G3076" s="4" t="s">
        <v>5346</v>
      </c>
    </row>
    <row r="3077">
      <c r="A3077" s="1">
        <v>3075.0</v>
      </c>
      <c r="B3077" s="4" t="s">
        <v>5306</v>
      </c>
      <c r="C3077" s="4" t="str">
        <f>IFERROR(__xludf.DUMMYFUNCTION("GOOGLETRANSLATE(D:D,""auto"",""en"")"),"Liu Yuning night MV beam of light")</f>
        <v>Liu Yuning night MV beam of light</v>
      </c>
      <c r="D3077" s="4" t="s">
        <v>5347</v>
      </c>
      <c r="E3077" s="4">
        <v>7064342.0</v>
      </c>
      <c r="F3077" s="4">
        <v>26.0</v>
      </c>
      <c r="G3077" s="4" t="s">
        <v>5348</v>
      </c>
    </row>
    <row r="3078">
      <c r="A3078" s="1">
        <v>3076.0</v>
      </c>
      <c r="B3078" s="4" t="s">
        <v>5306</v>
      </c>
      <c r="C3078" s="4" t="str">
        <f>IFERROR(__xludf.DUMMYFUNCTION("GOOGLETRANSLATE(D:D,""auto"",""en"")"),"Xiaozhan fan club re-issued")</f>
        <v>Xiaozhan fan club re-issued</v>
      </c>
      <c r="D3078" s="4" t="s">
        <v>5349</v>
      </c>
      <c r="E3078" s="4">
        <v>7001438.0</v>
      </c>
      <c r="F3078" s="4">
        <v>27.0</v>
      </c>
      <c r="G3078" s="4" t="s">
        <v>5350</v>
      </c>
    </row>
    <row r="3079">
      <c r="A3079" s="1">
        <v>3077.0</v>
      </c>
      <c r="B3079" s="4" t="s">
        <v>5306</v>
      </c>
      <c r="C3079" s="4" t="str">
        <f>IFERROR(__xludf.DUMMYFUNCTION("GOOGLETRANSLATE(D:D,""auto"",""en"")"),"Henry Huo response dislocated jaw")</f>
        <v>Henry Huo response dislocated jaw</v>
      </c>
      <c r="D3079" s="4" t="s">
        <v>5256</v>
      </c>
      <c r="E3079" s="4">
        <v>6931136.0</v>
      </c>
      <c r="F3079" s="4">
        <v>28.0</v>
      </c>
      <c r="G3079" s="4" t="s">
        <v>5257</v>
      </c>
    </row>
    <row r="3080">
      <c r="A3080" s="1">
        <v>3078.0</v>
      </c>
      <c r="B3080" s="4" t="s">
        <v>5306</v>
      </c>
      <c r="C3080" s="4" t="str">
        <f>IFERROR(__xludf.DUMMYFUNCTION("GOOGLETRANSLATE(D:D,""auto"",""en"")"),"Bayern fans extreme behavior caused by interruption of game")</f>
        <v>Bayern fans extreme behavior caused by interruption of game</v>
      </c>
      <c r="D3080" s="4" t="s">
        <v>5284</v>
      </c>
      <c r="E3080" s="4">
        <v>6918932.0</v>
      </c>
      <c r="F3080" s="4">
        <v>29.0</v>
      </c>
      <c r="G3080" s="4" t="s">
        <v>5285</v>
      </c>
    </row>
    <row r="3081">
      <c r="A3081" s="1">
        <v>3079.0</v>
      </c>
      <c r="B3081" s="4" t="s">
        <v>5306</v>
      </c>
      <c r="C3081" s="4" t="str">
        <f>IFERROR(__xludf.DUMMYFUNCTION("GOOGLETRANSLATE(D:D,""auto"",""en"")"),"Yiyangqianxi the cover of GQ")</f>
        <v>Yiyangqianxi the cover of GQ</v>
      </c>
      <c r="D3081" s="4" t="s">
        <v>5248</v>
      </c>
      <c r="E3081" s="4">
        <v>6867779.0</v>
      </c>
      <c r="F3081" s="4">
        <v>30.0</v>
      </c>
      <c r="G3081" s="4" t="s">
        <v>5249</v>
      </c>
    </row>
    <row r="3082">
      <c r="A3082" s="1">
        <v>3080.0</v>
      </c>
      <c r="B3082" s="4" t="s">
        <v>5306</v>
      </c>
      <c r="C3082" s="4" t="str">
        <f>IFERROR(__xludf.DUMMYFUNCTION("GOOGLETRANSLATE(D:D,""auto"",""en"")"),"Zhao Wei and Ruby Lin responded substandard rumors")</f>
        <v>Zhao Wei and Ruby Lin responded substandard rumors</v>
      </c>
      <c r="D3082" s="4" t="s">
        <v>5264</v>
      </c>
      <c r="E3082" s="4">
        <v>6815157.0</v>
      </c>
      <c r="F3082" s="4">
        <v>31.0</v>
      </c>
      <c r="G3082" s="4" t="s">
        <v>5265</v>
      </c>
    </row>
    <row r="3083">
      <c r="A3083" s="1">
        <v>3081.0</v>
      </c>
      <c r="B3083" s="4" t="s">
        <v>5306</v>
      </c>
      <c r="C3083" s="4" t="str">
        <f>IFERROR(__xludf.DUMMYFUNCTION("GOOGLETRANSLATE(D:D,""auto"",""en"")"),"Chen Shu Tucao Cuiying Jun")</f>
        <v>Chen Shu Tucao Cuiying Jun</v>
      </c>
      <c r="D3083" s="4" t="s">
        <v>5351</v>
      </c>
      <c r="E3083" s="4">
        <v>6707743.0</v>
      </c>
      <c r="F3083" s="4">
        <v>32.0</v>
      </c>
      <c r="G3083" s="4" t="s">
        <v>5352</v>
      </c>
    </row>
    <row r="3084">
      <c r="A3084" s="1">
        <v>3082.0</v>
      </c>
      <c r="B3084" s="4" t="s">
        <v>5306</v>
      </c>
      <c r="C3084" s="4" t="str">
        <f>IFERROR(__xludf.DUMMYFUNCTION("GOOGLETRANSLATE(D:D,""auto"",""en"")"),"Summer just say the words Hefei")</f>
        <v>Summer just say the words Hefei</v>
      </c>
      <c r="D3084" s="4" t="s">
        <v>5353</v>
      </c>
      <c r="E3084" s="4">
        <v>6590860.0</v>
      </c>
      <c r="F3084" s="4">
        <v>33.0</v>
      </c>
      <c r="G3084" s="4" t="s">
        <v>5354</v>
      </c>
    </row>
    <row r="3085">
      <c r="A3085" s="1">
        <v>3083.0</v>
      </c>
      <c r="B3085" s="4" t="s">
        <v>5306</v>
      </c>
      <c r="C3085" s="4" t="str">
        <f>IFERROR(__xludf.DUMMYFUNCTION("GOOGLETRANSLATE(D:D,""auto"",""en"")"),"Ren Jialun Tan Song Yun Chorus rain in June")</f>
        <v>Ren Jialun Tan Song Yun Chorus rain in June</v>
      </c>
      <c r="D3085" s="4" t="s">
        <v>5224</v>
      </c>
      <c r="E3085" s="4">
        <v>6578515.0</v>
      </c>
      <c r="F3085" s="4">
        <v>34.0</v>
      </c>
      <c r="G3085" s="4" t="s">
        <v>5225</v>
      </c>
    </row>
    <row r="3086">
      <c r="A3086" s="1">
        <v>3084.0</v>
      </c>
      <c r="B3086" s="4" t="s">
        <v>5306</v>
      </c>
      <c r="C3086" s="4" t="str">
        <f>IFERROR(__xludf.DUMMYFUNCTION("GOOGLETRANSLATE(D:D,""auto"",""en"")"),"Luo Yunxi makeup")</f>
        <v>Luo Yunxi makeup</v>
      </c>
      <c r="D3086" s="4" t="s">
        <v>5355</v>
      </c>
      <c r="E3086" s="4">
        <v>6524029.0</v>
      </c>
      <c r="F3086" s="4">
        <v>35.0</v>
      </c>
      <c r="G3086" s="4" t="s">
        <v>5356</v>
      </c>
    </row>
    <row r="3087">
      <c r="A3087" s="1">
        <v>3085.0</v>
      </c>
      <c r="B3087" s="4" t="s">
        <v>5306</v>
      </c>
      <c r="C3087" s="4" t="str">
        <f>IFERROR(__xludf.DUMMYFUNCTION("GOOGLETRANSLATE(D:D,""auto"",""en"")"),"Zhang Jike who put me tied a rope skipping")</f>
        <v>Zhang Jike who put me tied a rope skipping</v>
      </c>
      <c r="D3087" s="4" t="s">
        <v>5357</v>
      </c>
      <c r="E3087" s="4">
        <v>6510474.0</v>
      </c>
      <c r="F3087" s="4">
        <v>36.0</v>
      </c>
      <c r="G3087" s="4" t="s">
        <v>5358</v>
      </c>
    </row>
    <row r="3088">
      <c r="A3088" s="1">
        <v>3086.0</v>
      </c>
      <c r="B3088" s="4" t="s">
        <v>5306</v>
      </c>
      <c r="C3088" s="4" t="str">
        <f>IFERROR(__xludf.DUMMYFUNCTION("GOOGLETRANSLATE(D:D,""auto"",""en"")"),"Zhong Nanshan team to talk about the epidemic control measures")</f>
        <v>Zhong Nanshan team to talk about the epidemic control measures</v>
      </c>
      <c r="D3088" s="4" t="s">
        <v>5359</v>
      </c>
      <c r="E3088" s="4">
        <v>6490967.0</v>
      </c>
      <c r="F3088" s="4">
        <v>37.0</v>
      </c>
      <c r="G3088" s="4" t="s">
        <v>5360</v>
      </c>
    </row>
    <row r="3089">
      <c r="A3089" s="1">
        <v>3087.0</v>
      </c>
      <c r="B3089" s="4" t="s">
        <v>5306</v>
      </c>
      <c r="C3089" s="4" t="str">
        <f>IFERROR(__xludf.DUMMYFUNCTION("GOOGLETRANSLATE(D:D,""auto"",""en"")"),"China Overseas cumulative 7169 cases of pneumonia diagnosed with the new crown")</f>
        <v>China Overseas cumulative 7169 cases of pneumonia diagnosed with the new crown</v>
      </c>
      <c r="D3089" s="4" t="s">
        <v>5361</v>
      </c>
      <c r="E3089" s="4">
        <v>6471845.0</v>
      </c>
      <c r="F3089" s="4">
        <v>38.0</v>
      </c>
      <c r="G3089" s="4" t="s">
        <v>5362</v>
      </c>
    </row>
    <row r="3090">
      <c r="A3090" s="1">
        <v>3088.0</v>
      </c>
      <c r="B3090" s="4" t="s">
        <v>5306</v>
      </c>
      <c r="C3090" s="4" t="str">
        <f>IFERROR(__xludf.DUMMYFUNCTION("GOOGLETRANSLATE(D:D,""auto"",""en"")"),"Zhejiang new foreign imported confirmed cases 1 case")</f>
        <v>Zhejiang new foreign imported confirmed cases 1 case</v>
      </c>
      <c r="D3090" s="4" t="s">
        <v>5363</v>
      </c>
      <c r="E3090" s="4">
        <v>6470050.0</v>
      </c>
      <c r="F3090" s="4">
        <v>39.0</v>
      </c>
      <c r="G3090" s="4" t="s">
        <v>5364</v>
      </c>
    </row>
    <row r="3091">
      <c r="A3091" s="1">
        <v>3089.0</v>
      </c>
      <c r="B3091" s="4" t="s">
        <v>5306</v>
      </c>
      <c r="C3091" s="4" t="str">
        <f>IFERROR(__xludf.DUMMYFUNCTION("GOOGLETRANSLATE(D:D,""auto"",""en"")"),"14 cities in Hubei new cases 0")</f>
        <v>14 cities in Hubei new cases 0</v>
      </c>
      <c r="D3091" s="4" t="s">
        <v>5365</v>
      </c>
      <c r="E3091" s="4">
        <v>6357652.0</v>
      </c>
      <c r="F3091" s="4">
        <v>40.0</v>
      </c>
      <c r="G3091" s="4" t="s">
        <v>5366</v>
      </c>
    </row>
    <row r="3092">
      <c r="A3092" s="1">
        <v>3090.0</v>
      </c>
      <c r="B3092" s="4" t="s">
        <v>5306</v>
      </c>
      <c r="C3092" s="4" t="str">
        <f>IFERROR(__xludf.DUMMYFUNCTION("GOOGLETRANSLATE(D:D,""auto"",""en"")"),"Li Jiahang wife said I like to dance Yangko")</f>
        <v>Li Jiahang wife said I like to dance Yangko</v>
      </c>
      <c r="D3092" s="4" t="s">
        <v>5367</v>
      </c>
      <c r="E3092" s="4">
        <v>6342093.0</v>
      </c>
      <c r="F3092" s="4">
        <v>41.0</v>
      </c>
      <c r="G3092" s="4" t="s">
        <v>5368</v>
      </c>
    </row>
    <row r="3093">
      <c r="A3093" s="1">
        <v>3091.0</v>
      </c>
      <c r="B3093" s="4" t="s">
        <v>5306</v>
      </c>
      <c r="C3093" s="4" t="str">
        <f>IFERROR(__xludf.DUMMYFUNCTION("GOOGLETRANSLATE(D:D,""auto"",""en"")"),"Shenzhen via Hong Kong by the British new imported cases")</f>
        <v>Shenzhen via Hong Kong by the British new imported cases</v>
      </c>
      <c r="D3093" s="4" t="s">
        <v>5369</v>
      </c>
      <c r="E3093" s="4">
        <v>6316783.0</v>
      </c>
      <c r="F3093" s="4">
        <v>42.0</v>
      </c>
      <c r="G3093" s="4" t="s">
        <v>5370</v>
      </c>
    </row>
    <row r="3094">
      <c r="A3094" s="1">
        <v>3092.0</v>
      </c>
      <c r="B3094" s="4" t="s">
        <v>5306</v>
      </c>
      <c r="C3094" s="4" t="str">
        <f>IFERROR(__xludf.DUMMYFUNCTION("GOOGLETRANSLATE(D:D,""auto"",""en"")"),"France need a doctor's prescription to buy masks")</f>
        <v>France need a doctor's prescription to buy masks</v>
      </c>
      <c r="D3094" s="4" t="s">
        <v>5371</v>
      </c>
      <c r="E3094" s="4">
        <v>6316339.0</v>
      </c>
      <c r="F3094" s="4">
        <v>43.0</v>
      </c>
      <c r="G3094" s="4" t="s">
        <v>5372</v>
      </c>
    </row>
    <row r="3095">
      <c r="A3095" s="1">
        <v>3093.0</v>
      </c>
      <c r="B3095" s="4" t="s">
        <v>5306</v>
      </c>
      <c r="C3095" s="4" t="str">
        <f>IFERROR(__xludf.DUMMYFUNCTION("GOOGLETRANSLATE(D:D,""auto"",""en"")"),"South Korea confirms new world for the first time Christians have been to Wuhan")</f>
        <v>South Korea confirms new world for the first time Christians have been to Wuhan</v>
      </c>
      <c r="D3095" s="4" t="s">
        <v>5373</v>
      </c>
      <c r="E3095" s="4">
        <v>6316271.0</v>
      </c>
      <c r="F3095" s="4">
        <v>44.0</v>
      </c>
      <c r="G3095" s="4" t="s">
        <v>5374</v>
      </c>
    </row>
    <row r="3096">
      <c r="A3096" s="1">
        <v>3094.0</v>
      </c>
      <c r="B3096" s="4" t="s">
        <v>5306</v>
      </c>
      <c r="C3096" s="4" t="str">
        <f>IFERROR(__xludf.DUMMYFUNCTION("GOOGLETRANSLATE(D:D,""auto"",""en"")"),"Members wear a mask ridicule Italy is angry wrestling microphone")</f>
        <v>Members wear a mask ridicule Italy is angry wrestling microphone</v>
      </c>
      <c r="D3096" s="4" t="s">
        <v>5375</v>
      </c>
      <c r="E3096" s="4">
        <v>6315849.0</v>
      </c>
      <c r="F3096" s="4">
        <v>45.0</v>
      </c>
      <c r="G3096" s="4" t="s">
        <v>5376</v>
      </c>
    </row>
    <row r="3097">
      <c r="A3097" s="1">
        <v>3095.0</v>
      </c>
      <c r="B3097" s="4" t="s">
        <v>5306</v>
      </c>
      <c r="C3097" s="4" t="str">
        <f>IFERROR(__xludf.DUMMYFUNCTION("GOOGLETRANSLATE(D:D,""auto"",""en"")"),"Italy refused to wear masks to residents free")</f>
        <v>Italy refused to wear masks to residents free</v>
      </c>
      <c r="D3097" s="4" t="s">
        <v>5377</v>
      </c>
      <c r="E3097" s="4">
        <v>6315737.0</v>
      </c>
      <c r="F3097" s="4">
        <v>46.0</v>
      </c>
      <c r="G3097" s="4" t="s">
        <v>5378</v>
      </c>
    </row>
    <row r="3098">
      <c r="A3098" s="1">
        <v>3096.0</v>
      </c>
      <c r="B3098" s="4" t="s">
        <v>5306</v>
      </c>
      <c r="C3098" s="4" t="str">
        <f>IFERROR(__xludf.DUMMYFUNCTION("GOOGLETRANSLATE(D:D,""auto"",""en"")"),"Wu Lei made Oolong")</f>
        <v>Wu Lei made Oolong</v>
      </c>
      <c r="D3098" s="4" t="s">
        <v>5379</v>
      </c>
      <c r="E3098" s="4">
        <v>6315707.0</v>
      </c>
      <c r="F3098" s="4">
        <v>47.0</v>
      </c>
      <c r="G3098" s="4" t="s">
        <v>5380</v>
      </c>
    </row>
    <row r="3099">
      <c r="A3099" s="1">
        <v>3097.0</v>
      </c>
      <c r="B3099" s="4" t="s">
        <v>5306</v>
      </c>
      <c r="C3099" s="4" t="str">
        <f>IFERROR(__xludf.DUMMYFUNCTION("GOOGLETRANSLATE(D:D,""auto"",""en"")"),"Wang Yuan magazine Scenes")</f>
        <v>Wang Yuan magazine Scenes</v>
      </c>
      <c r="D3099" s="4" t="s">
        <v>5381</v>
      </c>
      <c r="E3099" s="4">
        <v>6289671.0</v>
      </c>
      <c r="F3099" s="4">
        <v>48.0</v>
      </c>
      <c r="G3099" s="4" t="s">
        <v>5382</v>
      </c>
    </row>
    <row r="3100">
      <c r="A3100" s="1">
        <v>3098.0</v>
      </c>
      <c r="B3100" s="4" t="s">
        <v>5306</v>
      </c>
      <c r="C3100" s="4" t="str">
        <f>IFERROR(__xludf.DUMMYFUNCTION("GOOGLETRANSLATE(D:D,""auto"",""en"")"),"Fuzhou a bridge under construction collapsed happen girder")</f>
        <v>Fuzhou a bridge under construction collapsed happen girder</v>
      </c>
      <c r="D3100" s="4" t="s">
        <v>5383</v>
      </c>
      <c r="E3100" s="4">
        <v>6281318.0</v>
      </c>
      <c r="F3100" s="4">
        <v>49.0</v>
      </c>
      <c r="G3100" s="4" t="s">
        <v>5384</v>
      </c>
    </row>
    <row r="3101">
      <c r="A3101" s="1">
        <v>3099.0</v>
      </c>
      <c r="B3101" s="4" t="s">
        <v>5306</v>
      </c>
      <c r="C3101" s="4" t="str">
        <f>IFERROR(__xludf.DUMMYFUNCTION("GOOGLETRANSLATE(D:D,""auto"",""en"")"),"Sun Yang announced the complete blood sample bottle")</f>
        <v>Sun Yang announced the complete blood sample bottle</v>
      </c>
      <c r="D3101" s="4" t="s">
        <v>5385</v>
      </c>
      <c r="E3101" s="4">
        <v>6279732.0</v>
      </c>
      <c r="F3101" s="4">
        <v>50.0</v>
      </c>
      <c r="G3101" s="4" t="s">
        <v>5386</v>
      </c>
    </row>
    <row r="3102">
      <c r="A3102" s="1">
        <v>3100.0</v>
      </c>
      <c r="B3102" s="4" t="s">
        <v>5387</v>
      </c>
      <c r="C3102" s="4" t="str">
        <f>IFERROR(__xludf.DUMMYFUNCTION("GOOGLETRANSLATE(D:D,""auto"",""en"")"),"Liu Bo Xin imitate the hum roll")</f>
        <v>Liu Bo Xin imitate the hum roll</v>
      </c>
      <c r="D3102" s="4" t="s">
        <v>5307</v>
      </c>
      <c r="E3102" s="4">
        <v>9962275.0</v>
      </c>
      <c r="F3102" s="4">
        <v>1.0</v>
      </c>
      <c r="G3102" s="4" t="s">
        <v>5308</v>
      </c>
    </row>
    <row r="3103">
      <c r="A3103" s="1">
        <v>3101.0</v>
      </c>
      <c r="B3103" s="4" t="s">
        <v>5387</v>
      </c>
      <c r="C3103" s="4" t="str">
        <f>IFERROR(__xludf.DUMMYFUNCTION("GOOGLETRANSLATE(D:D,""auto"",""en"")"),"The national total of 80,151 cases of pneumonia diagnosed with the new crown")</f>
        <v>The national total of 80,151 cases of pneumonia diagnosed with the new crown</v>
      </c>
      <c r="D3103" s="4" t="s">
        <v>5388</v>
      </c>
      <c r="E3103" s="4">
        <v>8992406.0</v>
      </c>
      <c r="F3103" s="4">
        <v>2.0</v>
      </c>
      <c r="G3103" s="4" t="s">
        <v>5389</v>
      </c>
    </row>
    <row r="3104">
      <c r="A3104" s="1">
        <v>3102.0</v>
      </c>
      <c r="B3104" s="4" t="s">
        <v>5387</v>
      </c>
      <c r="C3104" s="4" t="str">
        <f>IFERROR(__xludf.DUMMYFUNCTION("GOOGLETRANSLATE(D:D,""auto"",""en"")"),"114 cases of new cases diagnosed Hubei")</f>
        <v>114 cases of new cases diagnosed Hubei</v>
      </c>
      <c r="D3104" s="4" t="s">
        <v>5390</v>
      </c>
      <c r="E3104" s="4">
        <v>8907442.0</v>
      </c>
      <c r="F3104" s="4">
        <v>3.0</v>
      </c>
      <c r="G3104" s="4" t="s">
        <v>5391</v>
      </c>
    </row>
    <row r="3105">
      <c r="A3105" s="1">
        <v>3103.0</v>
      </c>
      <c r="B3105" s="4" t="s">
        <v>5387</v>
      </c>
      <c r="C3105" s="4" t="str">
        <f>IFERROR(__xludf.DUMMYFUNCTION("GOOGLETRANSLATE(D:D,""auto"",""en"")"),"Chen Yao Yue income baggage fight face Qiluo")</f>
        <v>Chen Yao Yue income baggage fight face Qiluo</v>
      </c>
      <c r="D3105" s="4" t="s">
        <v>5339</v>
      </c>
      <c r="E3105" s="4">
        <v>8727121.0</v>
      </c>
      <c r="F3105" s="4">
        <v>4.0</v>
      </c>
      <c r="G3105" s="4" t="s">
        <v>5340</v>
      </c>
    </row>
    <row r="3106">
      <c r="A3106" s="1">
        <v>3104.0</v>
      </c>
      <c r="B3106" s="4" t="s">
        <v>5387</v>
      </c>
      <c r="C3106" s="4" t="str">
        <f>IFERROR(__xludf.DUMMYFUNCTION("GOOGLETRANSLATE(D:D,""auto"",""en"")"),"Italy confirmed a total of 2036 cases of pneumonia new crown")</f>
        <v>Italy confirmed a total of 2036 cases of pneumonia new crown</v>
      </c>
      <c r="D3106" s="4" t="s">
        <v>5392</v>
      </c>
      <c r="E3106" s="4">
        <v>8666086.0</v>
      </c>
      <c r="F3106" s="4">
        <v>5.0</v>
      </c>
      <c r="G3106" s="4" t="s">
        <v>5393</v>
      </c>
    </row>
    <row r="3107">
      <c r="A3107" s="1">
        <v>3105.0</v>
      </c>
      <c r="B3107" s="4" t="s">
        <v>5387</v>
      </c>
      <c r="C3107" s="4" t="str">
        <f>IFERROR(__xludf.DUMMYFUNCTION("GOOGLETRANSLATE(D:D,""auto"",""en"")"),"Tian Fangfang national distribution boyfriend came")</f>
        <v>Tian Fangfang national distribution boyfriend came</v>
      </c>
      <c r="D3107" s="4" t="s">
        <v>5394</v>
      </c>
      <c r="E3107" s="4">
        <v>8258626.0</v>
      </c>
      <c r="F3107" s="4">
        <v>6.0</v>
      </c>
      <c r="G3107" s="4" t="s">
        <v>5395</v>
      </c>
    </row>
    <row r="3108">
      <c r="A3108" s="1">
        <v>3106.0</v>
      </c>
      <c r="B3108" s="4" t="s">
        <v>5387</v>
      </c>
      <c r="C3108" s="4" t="str">
        <f>IFERROR(__xludf.DUMMYFUNCTION("GOOGLETRANSLATE(D:D,""auto"",""en"")"),"Liu Bo Xin respond hum roll")</f>
        <v>Liu Bo Xin respond hum roll</v>
      </c>
      <c r="D3108" s="4" t="s">
        <v>5396</v>
      </c>
      <c r="E3108" s="4">
        <v>8178604.0</v>
      </c>
      <c r="F3108" s="4">
        <v>7.0</v>
      </c>
      <c r="G3108" s="4" t="s">
        <v>5397</v>
      </c>
    </row>
    <row r="3109">
      <c r="A3109" s="1">
        <v>3107.0</v>
      </c>
      <c r="B3109" s="4" t="s">
        <v>5387</v>
      </c>
      <c r="C3109" s="4" t="str">
        <f>IFERROR(__xludf.DUMMYFUNCTION("GOOGLETRANSLATE(D:D,""auto"",""en"")"),"Bo Yin stewardess occasional side to help her husband to sign")</f>
        <v>Bo Yin stewardess occasional side to help her husband to sign</v>
      </c>
      <c r="D3109" s="4" t="s">
        <v>5398</v>
      </c>
      <c r="E3109" s="4">
        <v>8088774.0</v>
      </c>
      <c r="F3109" s="4">
        <v>8.0</v>
      </c>
      <c r="G3109" s="4" t="s">
        <v>5399</v>
      </c>
    </row>
    <row r="3110">
      <c r="A3110" s="1">
        <v>3108.0</v>
      </c>
      <c r="B3110" s="4" t="s">
        <v>5387</v>
      </c>
      <c r="C3110" s="4" t="str">
        <f>IFERROR(__xludf.DUMMYFUNCTION("GOOGLETRANSLATE(D:D,""auto"",""en"")"),"FINA will consider Sun Yang the gold medal penalty to Horton")</f>
        <v>FINA will consider Sun Yang the gold medal penalty to Horton</v>
      </c>
      <c r="D3110" s="4" t="s">
        <v>5400</v>
      </c>
      <c r="E3110" s="4">
        <v>7980759.0</v>
      </c>
      <c r="F3110" s="4">
        <v>9.0</v>
      </c>
      <c r="G3110" s="4" t="s">
        <v>5401</v>
      </c>
    </row>
    <row r="3111">
      <c r="A3111" s="1">
        <v>3109.0</v>
      </c>
      <c r="B3111" s="4" t="s">
        <v>5387</v>
      </c>
      <c r="C3111" s="4" t="str">
        <f>IFERROR(__xludf.DUMMYFUNCTION("GOOGLETRANSLATE(D:D,""auto"",""en"")"),"Iran 2336 cases were diagnosed pneumonia new crown")</f>
        <v>Iran 2336 cases were diagnosed pneumonia new crown</v>
      </c>
      <c r="D3111" s="4" t="s">
        <v>5402</v>
      </c>
      <c r="E3111" s="4">
        <v>7956661.0</v>
      </c>
      <c r="F3111" s="4">
        <v>10.0</v>
      </c>
      <c r="G3111" s="4" t="s">
        <v>5403</v>
      </c>
    </row>
    <row r="3112">
      <c r="A3112" s="1">
        <v>3110.0</v>
      </c>
      <c r="B3112" s="4" t="s">
        <v>5387</v>
      </c>
      <c r="C3112" s="4" t="str">
        <f>IFERROR(__xludf.DUMMYFUNCTION("GOOGLETRANSLATE(D:D,""auto"",""en"")"),"Rejection hair facelift")</f>
        <v>Rejection hair facelift</v>
      </c>
      <c r="D3112" s="4" t="s">
        <v>5309</v>
      </c>
      <c r="E3112" s="4">
        <v>7936078.0</v>
      </c>
      <c r="F3112" s="4">
        <v>11.0</v>
      </c>
      <c r="G3112" s="4" t="s">
        <v>5310</v>
      </c>
    </row>
    <row r="3113">
      <c r="A3113" s="1">
        <v>3111.0</v>
      </c>
      <c r="B3113" s="4" t="s">
        <v>5387</v>
      </c>
      <c r="C3113" s="4" t="str">
        <f>IFERROR(__xludf.DUMMYFUNCTION("GOOGLETRANSLATE(D:D,""auto"",""en"")"),"Tian Fangfang to assign you to a boyfriend")</f>
        <v>Tian Fangfang to assign you to a boyfriend</v>
      </c>
      <c r="D3113" s="4" t="s">
        <v>5404</v>
      </c>
      <c r="E3113" s="4">
        <v>7851069.0</v>
      </c>
      <c r="F3113" s="4">
        <v>12.0</v>
      </c>
      <c r="G3113" s="4" t="s">
        <v>5405</v>
      </c>
    </row>
    <row r="3114">
      <c r="A3114" s="1">
        <v>3112.0</v>
      </c>
      <c r="B3114" s="4" t="s">
        <v>5387</v>
      </c>
      <c r="C3114" s="4" t="str">
        <f>IFERROR(__xludf.DUMMYFUNCTION("GOOGLETRANSLATE(D:D,""auto"",""en"")"),"Zhu once plain grilled noodles")</f>
        <v>Zhu once plain grilled noodles</v>
      </c>
      <c r="D3114" s="4" t="s">
        <v>5406</v>
      </c>
      <c r="E3114" s="4">
        <v>7837465.0</v>
      </c>
      <c r="F3114" s="4">
        <v>13.0</v>
      </c>
      <c r="G3114" s="4" t="s">
        <v>5407</v>
      </c>
    </row>
    <row r="3115">
      <c r="A3115" s="1">
        <v>3113.0</v>
      </c>
      <c r="B3115" s="4" t="s">
        <v>5387</v>
      </c>
      <c r="C3115" s="4" t="str">
        <f>IFERROR(__xludf.DUMMYFUNCTION("GOOGLETRANSLATE(D:D,""auto"",""en"")"),"Wang Junkai one second Face")</f>
        <v>Wang Junkai one second Face</v>
      </c>
      <c r="D3115" s="4" t="s">
        <v>5408</v>
      </c>
      <c r="E3115" s="4">
        <v>7776425.0</v>
      </c>
      <c r="F3115" s="4">
        <v>14.0</v>
      </c>
      <c r="G3115" s="4" t="s">
        <v>5409</v>
      </c>
    </row>
    <row r="3116">
      <c r="A3116" s="1">
        <v>3114.0</v>
      </c>
      <c r="B3116" s="4" t="s">
        <v>5387</v>
      </c>
      <c r="C3116" s="4" t="str">
        <f>IFERROR(__xludf.DUMMYFUNCTION("GOOGLETRANSLATE(D:D,""auto"",""en"")"),"Wang Yuan Ouyang Nana father and mother of all the children play")</f>
        <v>Wang Yuan Ouyang Nana father and mother of all the children play</v>
      </c>
      <c r="D3116" s="4" t="s">
        <v>5410</v>
      </c>
      <c r="E3116" s="4">
        <v>7756195.0</v>
      </c>
      <c r="F3116" s="4">
        <v>15.0</v>
      </c>
      <c r="G3116" s="4" t="s">
        <v>5411</v>
      </c>
    </row>
    <row r="3117">
      <c r="A3117" s="1">
        <v>3115.0</v>
      </c>
      <c r="B3117" s="4" t="s">
        <v>5387</v>
      </c>
      <c r="C3117" s="4" t="str">
        <f>IFERROR(__xludf.DUMMYFUNCTION("GOOGLETRANSLATE(D:D,""auto"",""en"")"),"Li Wenliang with department colleagues died of pneumonia because of the new crown")</f>
        <v>Li Wenliang with department colleagues died of pneumonia because of the new crown</v>
      </c>
      <c r="D3117" s="4" t="s">
        <v>5412</v>
      </c>
      <c r="E3117" s="4">
        <v>7745404.0</v>
      </c>
      <c r="F3117" s="4">
        <v>16.0</v>
      </c>
      <c r="G3117" s="4" t="s">
        <v>5413</v>
      </c>
    </row>
    <row r="3118">
      <c r="A3118" s="1">
        <v>3116.0</v>
      </c>
      <c r="B3118" s="4" t="s">
        <v>5387</v>
      </c>
      <c r="C3118" s="4" t="str">
        <f>IFERROR(__xludf.DUMMYFUNCTION("GOOGLETRANSLATE(D:D,""auto"",""en"")"),"Curry three-hour-League career")</f>
        <v>Curry three-hour-League career</v>
      </c>
      <c r="D3118" s="4" t="s">
        <v>5414</v>
      </c>
      <c r="E3118" s="4">
        <v>7725880.0</v>
      </c>
      <c r="F3118" s="4">
        <v>17.0</v>
      </c>
      <c r="G3118" s="4" t="s">
        <v>5415</v>
      </c>
    </row>
    <row r="3119">
      <c r="A3119" s="1">
        <v>3117.0</v>
      </c>
      <c r="B3119" s="4" t="s">
        <v>5387</v>
      </c>
      <c r="C3119" s="4" t="str">
        <f>IFERROR(__xludf.DUMMYFUNCTION("GOOGLETRANSLATE(D:D,""auto"",""en"")"),"Where network to respond to five yuan Cheap Flights")</f>
        <v>Where network to respond to five yuan Cheap Flights</v>
      </c>
      <c r="D3119" s="4" t="s">
        <v>5416</v>
      </c>
      <c r="E3119" s="4">
        <v>7662170.0</v>
      </c>
      <c r="F3119" s="4">
        <v>18.0</v>
      </c>
      <c r="G3119" s="4" t="s">
        <v>5417</v>
      </c>
    </row>
    <row r="3120">
      <c r="A3120" s="1">
        <v>3118.0</v>
      </c>
      <c r="B3120" s="4" t="s">
        <v>5387</v>
      </c>
      <c r="C3120" s="4" t="str">
        <f>IFERROR(__xludf.DUMMYFUNCTION("GOOGLETRANSLATE(D:D,""auto"",""en"")"),"Tokyo Olympics was postponed to allow the end be held")</f>
        <v>Tokyo Olympics was postponed to allow the end be held</v>
      </c>
      <c r="D3120" s="4" t="s">
        <v>5418</v>
      </c>
      <c r="E3120" s="4">
        <v>7575496.0</v>
      </c>
      <c r="F3120" s="4">
        <v>19.0</v>
      </c>
      <c r="G3120" s="4" t="s">
        <v>5419</v>
      </c>
    </row>
    <row r="3121">
      <c r="A3121" s="1">
        <v>3119.0</v>
      </c>
      <c r="B3121" s="4" t="s">
        <v>5387</v>
      </c>
      <c r="C3121" s="4" t="str">
        <f>IFERROR(__xludf.DUMMYFUNCTION("GOOGLETRANSLATE(D:D,""auto"",""en"")"),"Chestnut head")</f>
        <v>Chestnut head</v>
      </c>
      <c r="D3121" s="4" t="s">
        <v>5420</v>
      </c>
      <c r="E3121" s="4">
        <v>7531767.0</v>
      </c>
      <c r="F3121" s="4">
        <v>20.0</v>
      </c>
      <c r="G3121" s="4" t="s">
        <v>5421</v>
      </c>
    </row>
    <row r="3122">
      <c r="A3122" s="1">
        <v>3120.0</v>
      </c>
      <c r="B3122" s="4" t="s">
        <v>5387</v>
      </c>
      <c r="C3122" s="4" t="str">
        <f>IFERROR(__xludf.DUMMYFUNCTION("GOOGLETRANSLATE(D:D,""auto"",""en"")"),"See the car is not closing")</f>
        <v>See the car is not closing</v>
      </c>
      <c r="D3122" s="4" t="s">
        <v>4957</v>
      </c>
      <c r="E3122" s="4">
        <v>7521165.0</v>
      </c>
      <c r="F3122" s="4">
        <v>21.0</v>
      </c>
      <c r="G3122" s="4" t="s">
        <v>4958</v>
      </c>
    </row>
    <row r="3123">
      <c r="A3123" s="1">
        <v>3121.0</v>
      </c>
      <c r="B3123" s="4" t="s">
        <v>5387</v>
      </c>
      <c r="C3123" s="4" t="str">
        <f>IFERROR(__xludf.DUMMYFUNCTION("GOOGLETRANSLATE(D:D,""auto"",""en"")"),"Treasury said the cost of the masses will not delay treatment")</f>
        <v>Treasury said the cost of the masses will not delay treatment</v>
      </c>
      <c r="D3123" s="4" t="s">
        <v>5422</v>
      </c>
      <c r="E3123" s="4">
        <v>7466834.0</v>
      </c>
      <c r="F3123" s="4">
        <v>22.0</v>
      </c>
      <c r="G3123" s="4" t="s">
        <v>5423</v>
      </c>
    </row>
    <row r="3124">
      <c r="A3124" s="1">
        <v>3122.0</v>
      </c>
      <c r="B3124" s="4" t="s">
        <v>5387</v>
      </c>
      <c r="C3124" s="4" t="str">
        <f>IFERROR(__xludf.DUMMYFUNCTION("GOOGLETRANSLATE(D:D,""auto"",""en"")"),"This house is not boring at home")</f>
        <v>This house is not boring at home</v>
      </c>
      <c r="D3124" s="4" t="s">
        <v>5424</v>
      </c>
      <c r="E3124" s="4">
        <v>7263133.0</v>
      </c>
      <c r="F3124" s="4">
        <v>23.0</v>
      </c>
      <c r="G3124" s="4" t="s">
        <v>5425</v>
      </c>
    </row>
    <row r="3125">
      <c r="A3125" s="1">
        <v>3123.0</v>
      </c>
      <c r="B3125" s="4" t="s">
        <v>5387</v>
      </c>
      <c r="C3125" s="4" t="str">
        <f>IFERROR(__xludf.DUMMYFUNCTION("GOOGLETRANSLATE(D:D,""auto"",""en"")"),"Huangshan found two new species of mammals")</f>
        <v>Huangshan found two new species of mammals</v>
      </c>
      <c r="D3125" s="4" t="s">
        <v>5426</v>
      </c>
      <c r="E3125" s="4">
        <v>7179434.0</v>
      </c>
      <c r="F3125" s="4">
        <v>24.0</v>
      </c>
      <c r="G3125" s="4" t="s">
        <v>5427</v>
      </c>
    </row>
    <row r="3126">
      <c r="A3126" s="1">
        <v>3124.0</v>
      </c>
      <c r="B3126" s="4" t="s">
        <v>5387</v>
      </c>
      <c r="C3126" s="4" t="str">
        <f>IFERROR(__xludf.DUMMYFUNCTION("GOOGLETRANSLATE(D:D,""auto"",""en"")"),"Boyfriend cooking like in alchemy")</f>
        <v>Boyfriend cooking like in alchemy</v>
      </c>
      <c r="D3126" s="4" t="s">
        <v>5428</v>
      </c>
      <c r="E3126" s="4">
        <v>7136713.0</v>
      </c>
      <c r="F3126" s="4">
        <v>25.0</v>
      </c>
      <c r="G3126" s="4" t="s">
        <v>5429</v>
      </c>
    </row>
    <row r="3127">
      <c r="A3127" s="1">
        <v>3125.0</v>
      </c>
      <c r="B3127" s="4" t="s">
        <v>5387</v>
      </c>
      <c r="C3127" s="4" t="str">
        <f>IFERROR(__xludf.DUMMYFUNCTION("GOOGLETRANSLATE(D:D,""auto"",""en"")"),"Bryant died according to the findings of breaches")</f>
        <v>Bryant died according to the findings of breaches</v>
      </c>
      <c r="D3127" s="4" t="s">
        <v>5430</v>
      </c>
      <c r="E3127" s="4">
        <v>7134477.0</v>
      </c>
      <c r="F3127" s="4">
        <v>26.0</v>
      </c>
      <c r="G3127" s="4" t="s">
        <v>5431</v>
      </c>
    </row>
    <row r="3128">
      <c r="A3128" s="1">
        <v>3126.0</v>
      </c>
      <c r="B3128" s="4" t="s">
        <v>5387</v>
      </c>
      <c r="C3128" s="4" t="str">
        <f>IFERROR(__xludf.DUMMYFUNCTION("GOOGLETRANSLATE(D:D,""auto"",""en"")"),"Crimea's death")</f>
        <v>Crimea's death</v>
      </c>
      <c r="D3128" s="4" t="s">
        <v>5432</v>
      </c>
      <c r="E3128" s="4">
        <v>7134430.0</v>
      </c>
      <c r="F3128" s="4">
        <v>27.0</v>
      </c>
      <c r="G3128" s="4" t="s">
        <v>5433</v>
      </c>
    </row>
    <row r="3129">
      <c r="A3129" s="1">
        <v>3127.0</v>
      </c>
      <c r="B3129" s="4" t="s">
        <v>5387</v>
      </c>
      <c r="C3129" s="4" t="str">
        <f>IFERROR(__xludf.DUMMYFUNCTION("GOOGLETRANSLATE(D:D,""auto"",""en"")"),"South Korea confirmed a total of 4812 cases of pneumonia new crown")</f>
        <v>South Korea confirmed a total of 4812 cases of pneumonia new crown</v>
      </c>
      <c r="D3129" s="4" t="s">
        <v>5434</v>
      </c>
      <c r="E3129" s="4">
        <v>7103117.0</v>
      </c>
      <c r="F3129" s="4">
        <v>28.0</v>
      </c>
      <c r="G3129" s="4" t="s">
        <v>5435</v>
      </c>
    </row>
    <row r="3130">
      <c r="A3130" s="1">
        <v>3128.0</v>
      </c>
      <c r="B3130" s="4" t="s">
        <v>5387</v>
      </c>
      <c r="C3130" s="4" t="str">
        <f>IFERROR(__xludf.DUMMYFUNCTION("GOOGLETRANSLATE(D:D,""auto"",""en"")"),"Li Jiahang wife said I like to dance Yangko")</f>
        <v>Li Jiahang wife said I like to dance Yangko</v>
      </c>
      <c r="D3130" s="4" t="s">
        <v>5367</v>
      </c>
      <c r="E3130" s="4">
        <v>7098502.0</v>
      </c>
      <c r="F3130" s="4">
        <v>29.0</v>
      </c>
      <c r="G3130" s="4" t="s">
        <v>5368</v>
      </c>
    </row>
    <row r="3131">
      <c r="A3131" s="1">
        <v>3129.0</v>
      </c>
      <c r="B3131" s="4" t="s">
        <v>5387</v>
      </c>
      <c r="C3131" s="4" t="str">
        <f>IFERROR(__xludf.DUMMYFUNCTION("GOOGLETRANSLATE(D:D,""auto"",""en"")"),"Iran Chinese treatment program translated into Persian")</f>
        <v>Iran Chinese treatment program translated into Persian</v>
      </c>
      <c r="D3131" s="4" t="s">
        <v>5436</v>
      </c>
      <c r="E3131" s="4">
        <v>7098051.0</v>
      </c>
      <c r="F3131" s="4">
        <v>30.0</v>
      </c>
      <c r="G3131" s="4" t="s">
        <v>5437</v>
      </c>
    </row>
    <row r="3132">
      <c r="A3132" s="1">
        <v>3130.0</v>
      </c>
      <c r="B3132" s="4" t="s">
        <v>5387</v>
      </c>
      <c r="C3132" s="4" t="str">
        <f>IFERROR(__xludf.DUMMYFUNCTION("GOOGLETRANSLATE(D:D,""auto"",""en"")"),"Liu Yuning night MV beam of light")</f>
        <v>Liu Yuning night MV beam of light</v>
      </c>
      <c r="D3132" s="4" t="s">
        <v>5347</v>
      </c>
      <c r="E3132" s="4">
        <v>7089394.0</v>
      </c>
      <c r="F3132" s="4">
        <v>31.0</v>
      </c>
      <c r="G3132" s="4" t="s">
        <v>5348</v>
      </c>
    </row>
    <row r="3133">
      <c r="A3133" s="1">
        <v>3131.0</v>
      </c>
      <c r="B3133" s="4" t="s">
        <v>5387</v>
      </c>
      <c r="C3133" s="4" t="str">
        <f>IFERROR(__xludf.DUMMYFUNCTION("GOOGLETRANSLATE(D:D,""auto"",""en"")"),"Xu aunt's room bright cooperate in dealing with rogue")</f>
        <v>Xu aunt's room bright cooperate in dealing with rogue</v>
      </c>
      <c r="D3133" s="4" t="s">
        <v>5438</v>
      </c>
      <c r="E3133" s="4">
        <v>7075402.0</v>
      </c>
      <c r="F3133" s="4">
        <v>32.0</v>
      </c>
      <c r="G3133" s="4" t="s">
        <v>5439</v>
      </c>
    </row>
    <row r="3134">
      <c r="A3134" s="1">
        <v>3132.0</v>
      </c>
      <c r="B3134" s="4" t="s">
        <v>5387</v>
      </c>
      <c r="C3134" s="4" t="str">
        <f>IFERROR(__xludf.DUMMYFUNCTION("GOOGLETRANSLATE(D:D,""auto"",""en"")"),"China's total foreign diagnosed with pneumonia in 8774 cases of new crown")</f>
        <v>China's total foreign diagnosed with pneumonia in 8774 cases of new crown</v>
      </c>
      <c r="D3134" s="4" t="s">
        <v>5440</v>
      </c>
      <c r="E3134" s="4">
        <v>7025118.0</v>
      </c>
      <c r="F3134" s="4">
        <v>33.0</v>
      </c>
      <c r="G3134" s="4" t="s">
        <v>5441</v>
      </c>
    </row>
    <row r="3135">
      <c r="A3135" s="1">
        <v>3133.0</v>
      </c>
      <c r="B3135" s="4" t="s">
        <v>5387</v>
      </c>
      <c r="C3135" s="4" t="str">
        <f>IFERROR(__xludf.DUMMYFUNCTION("GOOGLETRANSLATE(D:D,""auto"",""en"")"),"Ethiopia mysterious infectious disease outbreak")</f>
        <v>Ethiopia mysterious infectious disease outbreak</v>
      </c>
      <c r="D3135" s="4" t="s">
        <v>5319</v>
      </c>
      <c r="E3135" s="4">
        <v>6883404.0</v>
      </c>
      <c r="F3135" s="4">
        <v>34.0</v>
      </c>
      <c r="G3135" s="4" t="s">
        <v>5320</v>
      </c>
    </row>
    <row r="3136">
      <c r="A3136" s="1">
        <v>3134.0</v>
      </c>
      <c r="B3136" s="4" t="s">
        <v>5387</v>
      </c>
      <c r="C3136" s="4" t="str">
        <f>IFERROR(__xludf.DUMMYFUNCTION("GOOGLETRANSLATE(D:D,""auto"",""en"")"),"Hera issued with brother")</f>
        <v>Hera issued with brother</v>
      </c>
      <c r="D3136" s="4" t="s">
        <v>5442</v>
      </c>
      <c r="E3136" s="4">
        <v>6857730.0</v>
      </c>
      <c r="F3136" s="4">
        <v>35.0</v>
      </c>
      <c r="G3136" s="4" t="s">
        <v>5443</v>
      </c>
    </row>
    <row r="3137">
      <c r="A3137" s="1">
        <v>3135.0</v>
      </c>
      <c r="B3137" s="4" t="s">
        <v>5387</v>
      </c>
      <c r="C3137" s="4" t="str">
        <f>IFERROR(__xludf.DUMMYFUNCTION("GOOGLETRANSLATE(D:D,""auto"",""en"")"),"Shanghai new cases of pneumonia in one case a new crown")</f>
        <v>Shanghai new cases of pneumonia in one case a new crown</v>
      </c>
      <c r="D3137" s="4" t="s">
        <v>5444</v>
      </c>
      <c r="E3137" s="4">
        <v>6768221.0</v>
      </c>
      <c r="F3137" s="4">
        <v>36.0</v>
      </c>
      <c r="G3137" s="4" t="s">
        <v>5445</v>
      </c>
    </row>
    <row r="3138">
      <c r="A3138" s="1">
        <v>3136.0</v>
      </c>
      <c r="B3138" s="4" t="s">
        <v>5387</v>
      </c>
      <c r="C3138" s="4" t="str">
        <f>IFERROR(__xludf.DUMMYFUNCTION("GOOGLETRANSLATE(D:D,""auto"",""en"")"),"Seafood market began to work in South disinfection")</f>
        <v>Seafood market began to work in South disinfection</v>
      </c>
      <c r="D3138" s="4" t="s">
        <v>5446</v>
      </c>
      <c r="E3138" s="4">
        <v>6653425.0</v>
      </c>
      <c r="F3138" s="4">
        <v>37.0</v>
      </c>
      <c r="G3138" s="4" t="s">
        <v>5447</v>
      </c>
    </row>
    <row r="3139">
      <c r="A3139" s="1">
        <v>3137.0</v>
      </c>
      <c r="B3139" s="4" t="s">
        <v>5387</v>
      </c>
      <c r="C3139" s="4" t="str">
        <f>IFERROR(__xludf.DUMMYFUNCTION("GOOGLETRANSLATE(D:D,""auto"",""en"")"),"Hyun Bin was laughing fans slip of the tongue to the wall")</f>
        <v>Hyun Bin was laughing fans slip of the tongue to the wall</v>
      </c>
      <c r="D3139" s="4" t="s">
        <v>5448</v>
      </c>
      <c r="E3139" s="4">
        <v>6612157.0</v>
      </c>
      <c r="F3139" s="4">
        <v>38.0</v>
      </c>
      <c r="G3139" s="4" t="s">
        <v>5449</v>
      </c>
    </row>
    <row r="3140">
      <c r="A3140" s="1">
        <v>3138.0</v>
      </c>
      <c r="B3140" s="4" t="s">
        <v>5387</v>
      </c>
      <c r="C3140" s="4" t="str">
        <f>IFERROR(__xludf.DUMMYFUNCTION("GOOGLETRANSLATE(D:D,""auto"",""en"")"),"Net exposure Xiaozhan grandfather's death")</f>
        <v>Net exposure Xiaozhan grandfather's death</v>
      </c>
      <c r="D3140" s="4" t="s">
        <v>5450</v>
      </c>
      <c r="E3140" s="4">
        <v>6577356.0</v>
      </c>
      <c r="F3140" s="4">
        <v>39.0</v>
      </c>
      <c r="G3140" s="4" t="s">
        <v>5451</v>
      </c>
    </row>
    <row r="3141">
      <c r="A3141" s="1">
        <v>3139.0</v>
      </c>
      <c r="B3141" s="4" t="s">
        <v>5387</v>
      </c>
      <c r="C3141" s="4" t="str">
        <f>IFERROR(__xludf.DUMMYFUNCTION("GOOGLETRANSLATE(D:D,""auto"",""en"")"),"Jackson Wang response was to marry")</f>
        <v>Jackson Wang response was to marry</v>
      </c>
      <c r="D3141" s="4" t="s">
        <v>5321</v>
      </c>
      <c r="E3141" s="4">
        <v>6557238.0</v>
      </c>
      <c r="F3141" s="4">
        <v>40.0</v>
      </c>
      <c r="G3141" s="4" t="s">
        <v>5322</v>
      </c>
    </row>
    <row r="3142">
      <c r="A3142" s="1">
        <v>3140.0</v>
      </c>
      <c r="B3142" s="4" t="s">
        <v>5387</v>
      </c>
      <c r="C3142" s="4" t="str">
        <f>IFERROR(__xludf.DUMMYFUNCTION("GOOGLETRANSLATE(D:D,""auto"",""en"")"),"New Korea confirmed cases 374 cases")</f>
        <v>New Korea confirmed cases 374 cases</v>
      </c>
      <c r="D3142" s="4" t="s">
        <v>5452</v>
      </c>
      <c r="E3142" s="4">
        <v>6530264.0</v>
      </c>
      <c r="F3142" s="4">
        <v>41.0</v>
      </c>
      <c r="G3142" s="4" t="s">
        <v>5453</v>
      </c>
    </row>
    <row r="3143">
      <c r="A3143" s="1">
        <v>3141.0</v>
      </c>
      <c r="B3143" s="4" t="s">
        <v>5387</v>
      </c>
      <c r="C3143" s="4" t="str">
        <f>IFERROR(__xludf.DUMMYFUNCTION("GOOGLETRANSLATE(D:D,""auto"",""en"")"),"Lee before and after shave now")</f>
        <v>Lee before and after shave now</v>
      </c>
      <c r="D3143" s="4" t="s">
        <v>5335</v>
      </c>
      <c r="E3143" s="4">
        <v>6395011.0</v>
      </c>
      <c r="F3143" s="4">
        <v>42.0</v>
      </c>
      <c r="G3143" s="4" t="s">
        <v>5336</v>
      </c>
    </row>
    <row r="3144">
      <c r="A3144" s="1">
        <v>3142.0</v>
      </c>
      <c r="B3144" s="4" t="s">
        <v>5387</v>
      </c>
      <c r="C3144" s="4" t="str">
        <f>IFERROR(__xludf.DUMMYFUNCTION("GOOGLETRANSLATE(D:D,""auto"",""en"")"),"Iran 23 new members diagnosed with pneumonia crown")</f>
        <v>Iran 23 new members diagnosed with pneumonia crown</v>
      </c>
      <c r="D3144" s="4" t="s">
        <v>5454</v>
      </c>
      <c r="E3144" s="4">
        <v>6354879.0</v>
      </c>
      <c r="F3144" s="4">
        <v>43.0</v>
      </c>
      <c r="G3144" s="4" t="s">
        <v>5455</v>
      </c>
    </row>
    <row r="3145">
      <c r="A3145" s="1">
        <v>3143.0</v>
      </c>
      <c r="B3145" s="4" t="s">
        <v>5387</v>
      </c>
      <c r="C3145" s="4" t="str">
        <f>IFERROR(__xludf.DUMMYFUNCTION("GOOGLETRANSLATE(D:D,""auto"",""en"")"),"Yi Xi smelt one thousand friends, please listen up solo version")</f>
        <v>Yi Xi smelt one thousand friends, please listen up solo version</v>
      </c>
      <c r="D3145" s="4" t="s">
        <v>5456</v>
      </c>
      <c r="E3145" s="4">
        <v>6263633.0</v>
      </c>
      <c r="F3145" s="4">
        <v>44.0</v>
      </c>
      <c r="G3145" s="4" t="s">
        <v>5457</v>
      </c>
    </row>
    <row r="3146">
      <c r="A3146" s="1">
        <v>3144.0</v>
      </c>
      <c r="B3146" s="4" t="s">
        <v>5387</v>
      </c>
      <c r="C3146" s="4" t="str">
        <f>IFERROR(__xludf.DUMMYFUNCTION("GOOGLETRANSLATE(D:D,""auto"",""en"")"),"A motion to let others know your major")</f>
        <v>A motion to let others know your major</v>
      </c>
      <c r="D3146" s="4" t="s">
        <v>5458</v>
      </c>
      <c r="E3146" s="4">
        <v>6252437.0</v>
      </c>
      <c r="F3146" s="4">
        <v>45.0</v>
      </c>
      <c r="G3146" s="4" t="s">
        <v>5459</v>
      </c>
    </row>
    <row r="3147">
      <c r="A3147" s="1">
        <v>3145.0</v>
      </c>
      <c r="B3147" s="4" t="s">
        <v>5387</v>
      </c>
      <c r="C3147" s="4" t="str">
        <f>IFERROR(__xludf.DUMMYFUNCTION("GOOGLETRANSLATE(D:D,""auto"",""en"")"),"Wang Yibo makeup")</f>
        <v>Wang Yibo makeup</v>
      </c>
      <c r="D3147" s="4" t="s">
        <v>5460</v>
      </c>
      <c r="E3147" s="4">
        <v>6210170.0</v>
      </c>
      <c r="F3147" s="4">
        <v>46.0</v>
      </c>
      <c r="G3147" s="4" t="s">
        <v>5461</v>
      </c>
    </row>
    <row r="3148">
      <c r="A3148" s="1">
        <v>3146.0</v>
      </c>
      <c r="B3148" s="4" t="s">
        <v>5387</v>
      </c>
      <c r="C3148" s="4" t="str">
        <f>IFERROR(__xludf.DUMMYFUNCTION("GOOGLETRANSLATE(D:D,""auto"",""en"")"),"Stella kick Cuiying Jun")</f>
        <v>Stella kick Cuiying Jun</v>
      </c>
      <c r="D3148" s="4" t="s">
        <v>5462</v>
      </c>
      <c r="E3148" s="4">
        <v>6188056.0</v>
      </c>
      <c r="F3148" s="4">
        <v>47.0</v>
      </c>
      <c r="G3148" s="4" t="s">
        <v>5463</v>
      </c>
    </row>
    <row r="3149">
      <c r="A3149" s="1">
        <v>3147.0</v>
      </c>
      <c r="B3149" s="4" t="s">
        <v>5387</v>
      </c>
      <c r="C3149" s="4" t="str">
        <f>IFERROR(__xludf.DUMMYFUNCTION("GOOGLETRANSLATE(D:D,""auto"",""en"")"),"China to send charter flights to return Iran Chinese")</f>
        <v>China to send charter flights to return Iran Chinese</v>
      </c>
      <c r="D3149" s="4" t="s">
        <v>5464</v>
      </c>
      <c r="E3149" s="4">
        <v>6154227.0</v>
      </c>
      <c r="F3149" s="4">
        <v>48.0</v>
      </c>
      <c r="G3149" s="4" t="s">
        <v>5465</v>
      </c>
    </row>
    <row r="3150">
      <c r="A3150" s="1">
        <v>3148.0</v>
      </c>
      <c r="B3150" s="4" t="s">
        <v>5387</v>
      </c>
      <c r="C3150" s="4" t="str">
        <f>IFERROR(__xludf.DUMMYFUNCTION("GOOGLETRANSLATE(D:D,""auto"",""en"")"),"Zhejiang new seven cases of imported cases in Italy")</f>
        <v>Zhejiang new seven cases of imported cases in Italy</v>
      </c>
      <c r="D3150" s="4" t="s">
        <v>5466</v>
      </c>
      <c r="E3150" s="4">
        <v>6152750.0</v>
      </c>
      <c r="F3150" s="4">
        <v>49.0</v>
      </c>
      <c r="G3150" s="4" t="s">
        <v>5467</v>
      </c>
    </row>
    <row r="3151">
      <c r="A3151" s="1">
        <v>3149.0</v>
      </c>
      <c r="B3151" s="4" t="s">
        <v>5387</v>
      </c>
      <c r="C3151" s="4" t="str">
        <f>IFERROR(__xludf.DUMMYFUNCTION("GOOGLETRANSLATE(D:D,""auto"",""en"")"),"Wu Lei Wang Junkai longer than sleep")</f>
        <v>Wu Lei Wang Junkai longer than sleep</v>
      </c>
      <c r="D3151" s="4" t="s">
        <v>5468</v>
      </c>
      <c r="E3151" s="4">
        <v>6132745.0</v>
      </c>
      <c r="F3151" s="4">
        <v>50.0</v>
      </c>
      <c r="G3151" s="4" t="s">
        <v>5469</v>
      </c>
    </row>
    <row r="3152">
      <c r="A3152" s="1">
        <v>3150.0</v>
      </c>
      <c r="B3152" s="4" t="s">
        <v>5470</v>
      </c>
      <c r="C3152" s="4" t="str">
        <f>IFERROR(__xludf.DUMMYFUNCTION("GOOGLETRANSLATE(D:D,""auto"",""en"")"),"Saipan")</f>
        <v>Saipan</v>
      </c>
      <c r="D3152" s="4" t="s">
        <v>5471</v>
      </c>
      <c r="E3152" s="4">
        <v>9710953.0</v>
      </c>
      <c r="F3152" s="4">
        <v>1.0</v>
      </c>
      <c r="G3152" s="4" t="s">
        <v>5472</v>
      </c>
    </row>
    <row r="3153">
      <c r="A3153" s="1">
        <v>3151.0</v>
      </c>
      <c r="B3153" s="4" t="s">
        <v>5470</v>
      </c>
      <c r="C3153" s="4" t="str">
        <f>IFERROR(__xludf.DUMMYFUNCTION("GOOGLETRANSLATE(D:D,""auto"",""en"")"),"Chinese research team found that the new virus has mutated crown")</f>
        <v>Chinese research team found that the new virus has mutated crown</v>
      </c>
      <c r="D3153" s="4" t="s">
        <v>5473</v>
      </c>
      <c r="E3153" s="4">
        <v>9648700.0</v>
      </c>
      <c r="F3153" s="4">
        <v>2.0</v>
      </c>
      <c r="G3153" s="4" t="s">
        <v>5474</v>
      </c>
    </row>
    <row r="3154">
      <c r="A3154" s="1">
        <v>3152.0</v>
      </c>
      <c r="B3154" s="4" t="s">
        <v>5470</v>
      </c>
      <c r="C3154" s="4" t="str">
        <f>IFERROR(__xludf.DUMMYFUNCTION("GOOGLETRANSLATE(D:D,""auto"",""en"")"),"Wang Junkai Internet lesson scene")</f>
        <v>Wang Junkai Internet lesson scene</v>
      </c>
      <c r="D3154" s="4" t="s">
        <v>5475</v>
      </c>
      <c r="E3154" s="4">
        <v>9412759.0</v>
      </c>
      <c r="F3154" s="4">
        <v>3.0</v>
      </c>
      <c r="G3154" s="4" t="s">
        <v>5476</v>
      </c>
    </row>
    <row r="3155">
      <c r="A3155" s="1">
        <v>3153.0</v>
      </c>
      <c r="B3155" s="4" t="s">
        <v>5470</v>
      </c>
      <c r="C3155" s="4" t="str">
        <f>IFERROR(__xludf.DUMMYFUNCTION("GOOGLETRANSLATE(D:D,""auto"",""en"")"),"Ada filter under vibrato")</f>
        <v>Ada filter under vibrato</v>
      </c>
      <c r="D3155" s="4" t="s">
        <v>5477</v>
      </c>
      <c r="E3155" s="4">
        <v>9083663.0</v>
      </c>
      <c r="F3155" s="4">
        <v>4.0</v>
      </c>
      <c r="G3155" s="4" t="s">
        <v>5478</v>
      </c>
    </row>
    <row r="3156">
      <c r="A3156" s="1">
        <v>3154.0</v>
      </c>
      <c r="B3156" s="4" t="s">
        <v>5470</v>
      </c>
      <c r="C3156" s="4" t="str">
        <f>IFERROR(__xludf.DUMMYFUNCTION("GOOGLETRANSLATE(D:D,""auto"",""en"")"),"The new crown virus is resolutely anti-symmetric Chinese virus")</f>
        <v>The new crown virus is resolutely anti-symmetric Chinese virus</v>
      </c>
      <c r="D3156" s="4" t="s">
        <v>5479</v>
      </c>
      <c r="E3156" s="4">
        <v>9063334.0</v>
      </c>
      <c r="F3156" s="4">
        <v>5.0</v>
      </c>
      <c r="G3156" s="4" t="s">
        <v>5480</v>
      </c>
    </row>
    <row r="3157">
      <c r="A3157" s="1">
        <v>3155.0</v>
      </c>
      <c r="B3157" s="4" t="s">
        <v>5470</v>
      </c>
      <c r="C3157" s="4" t="str">
        <f>IFERROR(__xludf.DUMMYFUNCTION("GOOGLETRANSLATE(D:D,""auto"",""en"")"),"Rong Yang brokerage company statement")</f>
        <v>Rong Yang brokerage company statement</v>
      </c>
      <c r="D3157" s="4" t="s">
        <v>5481</v>
      </c>
      <c r="E3157" s="4">
        <v>8978297.0</v>
      </c>
      <c r="F3157" s="4">
        <v>6.0</v>
      </c>
      <c r="G3157" s="4" t="s">
        <v>5482</v>
      </c>
    </row>
    <row r="3158">
      <c r="A3158" s="1">
        <v>3156.0</v>
      </c>
      <c r="B3158" s="4" t="s">
        <v>5470</v>
      </c>
      <c r="C3158" s="4" t="str">
        <f>IFERROR(__xludf.DUMMYFUNCTION("GOOGLETRANSLATE(D:D,""auto"",""en"")"),"Yi Xi smelt one thousand have been like girls")</f>
        <v>Yi Xi smelt one thousand have been like girls</v>
      </c>
      <c r="D3158" s="4" t="s">
        <v>5483</v>
      </c>
      <c r="E3158" s="4">
        <v>8813750.0</v>
      </c>
      <c r="F3158" s="4">
        <v>7.0</v>
      </c>
      <c r="G3158" s="4" t="s">
        <v>5484</v>
      </c>
    </row>
    <row r="3159">
      <c r="A3159" s="1">
        <v>3157.0</v>
      </c>
      <c r="B3159" s="4" t="s">
        <v>5470</v>
      </c>
      <c r="C3159" s="4" t="str">
        <f>IFERROR(__xludf.DUMMYFUNCTION("GOOGLETRANSLATE(D:D,""auto"",""en"")"),"Russian export ban masks and other medical supplies")</f>
        <v>Russian export ban masks and other medical supplies</v>
      </c>
      <c r="D3159" s="4" t="s">
        <v>5485</v>
      </c>
      <c r="E3159" s="4">
        <v>8720561.0</v>
      </c>
      <c r="F3159" s="4">
        <v>8.0</v>
      </c>
      <c r="G3159" s="4" t="s">
        <v>5486</v>
      </c>
    </row>
    <row r="3160">
      <c r="A3160" s="1">
        <v>3158.0</v>
      </c>
      <c r="B3160" s="4" t="s">
        <v>5470</v>
      </c>
      <c r="C3160" s="4" t="str">
        <f>IFERROR(__xludf.DUMMYFUNCTION("GOOGLETRANSLATE(D:D,""auto"",""en"")"),"Fan Chengcheng to cut eight holes Qiuku")</f>
        <v>Fan Chengcheng to cut eight holes Qiuku</v>
      </c>
      <c r="D3160" s="4" t="s">
        <v>5487</v>
      </c>
      <c r="E3160" s="4">
        <v>8032333.0</v>
      </c>
      <c r="F3160" s="4">
        <v>9.0</v>
      </c>
      <c r="G3160" s="4" t="s">
        <v>5488</v>
      </c>
    </row>
    <row r="3161">
      <c r="A3161" s="1">
        <v>3159.0</v>
      </c>
      <c r="B3161" s="4" t="s">
        <v>5470</v>
      </c>
      <c r="C3161" s="4" t="str">
        <f>IFERROR(__xludf.DUMMYFUNCTION("GOOGLETRANSLATE(D:D,""auto"",""en"")"),"Liu Bo Xin respond hum roll")</f>
        <v>Liu Bo Xin respond hum roll</v>
      </c>
      <c r="D3161" s="4" t="s">
        <v>5396</v>
      </c>
      <c r="E3161" s="4">
        <v>8002194.0</v>
      </c>
      <c r="F3161" s="4">
        <v>10.0</v>
      </c>
      <c r="G3161" s="4" t="s">
        <v>5397</v>
      </c>
    </row>
    <row r="3162">
      <c r="A3162" s="1">
        <v>3160.0</v>
      </c>
      <c r="B3162" s="4" t="s">
        <v>5470</v>
      </c>
      <c r="C3162" s="4" t="str">
        <f>IFERROR(__xludf.DUMMYFUNCTION("GOOGLETRANSLATE(D:D,""auto"",""en"")"),"Malicious trademark registration application was rejected Vulcan Hill")</f>
        <v>Malicious trademark registration application was rejected Vulcan Hill</v>
      </c>
      <c r="D3162" s="4" t="s">
        <v>5489</v>
      </c>
      <c r="E3162" s="4">
        <v>7841087.0</v>
      </c>
      <c r="F3162" s="4">
        <v>11.0</v>
      </c>
      <c r="G3162" s="4" t="s">
        <v>5490</v>
      </c>
    </row>
    <row r="3163">
      <c r="A3163" s="1">
        <v>3161.0</v>
      </c>
      <c r="B3163" s="4" t="s">
        <v>5470</v>
      </c>
      <c r="C3163" s="4" t="str">
        <f>IFERROR(__xludf.DUMMYFUNCTION("GOOGLETRANSLATE(D:D,""auto"",""en"")"),"Zhu once plain grilled noodles")</f>
        <v>Zhu once plain grilled noodles</v>
      </c>
      <c r="D3163" s="4" t="s">
        <v>5406</v>
      </c>
      <c r="E3163" s="4">
        <v>7837465.0</v>
      </c>
      <c r="F3163" s="4">
        <v>12.0</v>
      </c>
      <c r="G3163" s="4" t="s">
        <v>5407</v>
      </c>
    </row>
    <row r="3164">
      <c r="A3164" s="1">
        <v>3162.0</v>
      </c>
      <c r="B3164" s="4" t="s">
        <v>5470</v>
      </c>
      <c r="C3164" s="4" t="str">
        <f>IFERROR(__xludf.DUMMYFUNCTION("GOOGLETRANSLATE(D:D,""auto"",""en"")"),"Italy into Europe hardest-hit countries")</f>
        <v>Italy into Europe hardest-hit countries</v>
      </c>
      <c r="D3164" s="4" t="s">
        <v>5491</v>
      </c>
      <c r="E3164" s="4">
        <v>7693244.0</v>
      </c>
      <c r="F3164" s="4">
        <v>13.0</v>
      </c>
      <c r="G3164" s="4" t="s">
        <v>5492</v>
      </c>
    </row>
    <row r="3165">
      <c r="A3165" s="1">
        <v>3163.0</v>
      </c>
      <c r="B3165" s="4" t="s">
        <v>5470</v>
      </c>
      <c r="C3165" s="4" t="str">
        <f>IFERROR(__xludf.DUMMYFUNCTION("GOOGLETRANSLATE(D:D,""auto"",""en"")"),"He Jiong first love to talk about good and angry, funny")</f>
        <v>He Jiong first love to talk about good and angry, funny</v>
      </c>
      <c r="D3165" s="4" t="s">
        <v>5493</v>
      </c>
      <c r="E3165" s="4">
        <v>7640546.0</v>
      </c>
      <c r="F3165" s="4">
        <v>14.0</v>
      </c>
      <c r="G3165" s="4" t="s">
        <v>5494</v>
      </c>
    </row>
    <row r="3166">
      <c r="A3166" s="1">
        <v>3164.0</v>
      </c>
      <c r="B3166" s="4" t="s">
        <v>5470</v>
      </c>
      <c r="C3166" s="4" t="str">
        <f>IFERROR(__xludf.DUMMYFUNCTION("GOOGLETRANSLATE(D:D,""auto"",""en"")"),"Performance artist died in Ouray")</f>
        <v>Performance artist died in Ouray</v>
      </c>
      <c r="D3166" s="4" t="s">
        <v>5495</v>
      </c>
      <c r="E3166" s="4">
        <v>7611329.0</v>
      </c>
      <c r="F3166" s="4">
        <v>15.0</v>
      </c>
      <c r="G3166" s="4" t="s">
        <v>5496</v>
      </c>
    </row>
    <row r="3167">
      <c r="A3167" s="1">
        <v>3165.0</v>
      </c>
      <c r="B3167" s="4" t="s">
        <v>5470</v>
      </c>
      <c r="C3167" s="4" t="str">
        <f>IFERROR(__xludf.DUMMYFUNCTION("GOOGLETRANSLATE(D:D,""auto"",""en"")"),"Abe cough in the Senate to speak")</f>
        <v>Abe cough in the Senate to speak</v>
      </c>
      <c r="D3167" s="4" t="s">
        <v>5497</v>
      </c>
      <c r="E3167" s="4">
        <v>7426892.0</v>
      </c>
      <c r="F3167" s="4">
        <v>16.0</v>
      </c>
      <c r="G3167" s="4" t="s">
        <v>5498</v>
      </c>
    </row>
    <row r="3168">
      <c r="A3168" s="1">
        <v>3166.0</v>
      </c>
      <c r="B3168" s="4" t="s">
        <v>5470</v>
      </c>
      <c r="C3168" s="4" t="str">
        <f>IFERROR(__xludf.DUMMYFUNCTION("GOOGLETRANSLATE(D:D,""auto"",""en"")"),"Lu Lu response network Red Wind")</f>
        <v>Lu Lu response network Red Wind</v>
      </c>
      <c r="D3168" s="4" t="s">
        <v>5499</v>
      </c>
      <c r="E3168" s="4">
        <v>7342258.0</v>
      </c>
      <c r="F3168" s="4">
        <v>17.0</v>
      </c>
      <c r="G3168" s="4" t="s">
        <v>5500</v>
      </c>
    </row>
    <row r="3169">
      <c r="A3169" s="1">
        <v>3167.0</v>
      </c>
      <c r="B3169" s="4" t="s">
        <v>5470</v>
      </c>
      <c r="C3169" s="4" t="str">
        <f>IFERROR(__xludf.DUMMYFUNCTION("GOOGLETRANSLATE(D:D,""auto"",""en"")"),"South Korea confirmed a total of 5328 cases of pneumonia new crown")</f>
        <v>South Korea confirmed a total of 5328 cases of pneumonia new crown</v>
      </c>
      <c r="D3169" s="4" t="s">
        <v>5501</v>
      </c>
      <c r="E3169" s="4">
        <v>7259212.0</v>
      </c>
      <c r="F3169" s="4">
        <v>18.0</v>
      </c>
      <c r="G3169" s="4" t="s">
        <v>5502</v>
      </c>
    </row>
    <row r="3170">
      <c r="A3170" s="1">
        <v>3168.0</v>
      </c>
      <c r="B3170" s="4" t="s">
        <v>5470</v>
      </c>
      <c r="C3170" s="4" t="str">
        <f>IFERROR(__xludf.DUMMYFUNCTION("GOOGLETRANSLATE(D:D,""auto"",""en"")"),"Wang Yuan Ouyang Nana father and mother of all the children play")</f>
        <v>Wang Yuan Ouyang Nana father and mother of all the children play</v>
      </c>
      <c r="D3170" s="4" t="s">
        <v>5410</v>
      </c>
      <c r="E3170" s="4">
        <v>7252606.0</v>
      </c>
      <c r="F3170" s="4">
        <v>19.0</v>
      </c>
      <c r="G3170" s="4" t="s">
        <v>5411</v>
      </c>
    </row>
    <row r="3171">
      <c r="A3171" s="1">
        <v>3169.0</v>
      </c>
      <c r="B3171" s="4" t="s">
        <v>5470</v>
      </c>
      <c r="C3171" s="4" t="str">
        <f>IFERROR(__xludf.DUMMYFUNCTION("GOOGLETRANSLATE(D:D,""auto"",""en"")"),"German cruise ship carrying 1,200 people detection results released")</f>
        <v>German cruise ship carrying 1,200 people detection results released</v>
      </c>
      <c r="D3171" s="4" t="s">
        <v>5503</v>
      </c>
      <c r="E3171" s="4">
        <v>7251227.0</v>
      </c>
      <c r="F3171" s="4">
        <v>20.0</v>
      </c>
      <c r="G3171" s="4" t="s">
        <v>5504</v>
      </c>
    </row>
    <row r="3172">
      <c r="A3172" s="1">
        <v>3170.0</v>
      </c>
      <c r="B3172" s="4" t="s">
        <v>5470</v>
      </c>
      <c r="C3172" s="4" t="str">
        <f>IFERROR(__xludf.DUMMYFUNCTION("GOOGLETRANSLATE(D:D,""auto"",""en"")"),"Where network to respond to five yuan Cheap Flights")</f>
        <v>Where network to respond to five yuan Cheap Flights</v>
      </c>
      <c r="D3172" s="4" t="s">
        <v>5416</v>
      </c>
      <c r="E3172" s="4">
        <v>7247707.0</v>
      </c>
      <c r="F3172" s="4">
        <v>21.0</v>
      </c>
      <c r="G3172" s="4" t="s">
        <v>5417</v>
      </c>
    </row>
    <row r="3173">
      <c r="A3173" s="1">
        <v>3171.0</v>
      </c>
      <c r="B3173" s="4" t="s">
        <v>5470</v>
      </c>
      <c r="C3173" s="4" t="str">
        <f>IFERROR(__xludf.DUMMYFUNCTION("GOOGLETRANSLATE(D:D,""auto"",""en"")"),"Zhang take a ride on mom bright room together")</f>
        <v>Zhang take a ride on mom bright room together</v>
      </c>
      <c r="D3173" s="4" t="s">
        <v>5505</v>
      </c>
      <c r="E3173" s="4">
        <v>7239696.0</v>
      </c>
      <c r="F3173" s="4">
        <v>22.0</v>
      </c>
      <c r="G3173" s="4" t="s">
        <v>5506</v>
      </c>
    </row>
    <row r="3174">
      <c r="A3174" s="1">
        <v>3172.0</v>
      </c>
      <c r="B3174" s="4" t="s">
        <v>5470</v>
      </c>
      <c r="C3174" s="4" t="str">
        <f>IFERROR(__xludf.DUMMYFUNCTION("GOOGLETRANSLATE(D:D,""auto"",""en"")"),"Chestnut head")</f>
        <v>Chestnut head</v>
      </c>
      <c r="D3174" s="4" t="s">
        <v>5420</v>
      </c>
      <c r="E3174" s="4">
        <v>7167431.0</v>
      </c>
      <c r="F3174" s="4">
        <v>23.0</v>
      </c>
      <c r="G3174" s="4" t="s">
        <v>5421</v>
      </c>
    </row>
    <row r="3175">
      <c r="A3175" s="1">
        <v>3173.0</v>
      </c>
      <c r="B3175" s="4" t="s">
        <v>5470</v>
      </c>
      <c r="C3175" s="4" t="str">
        <f>IFERROR(__xludf.DUMMYFUNCTION("GOOGLETRANSLATE(D:D,""auto"",""en"")"),"Hubei new confirmed cases 115 cases")</f>
        <v>Hubei new confirmed cases 115 cases</v>
      </c>
      <c r="D3175" s="4" t="s">
        <v>5507</v>
      </c>
      <c r="E3175" s="4">
        <v>7164009.0</v>
      </c>
      <c r="F3175" s="4">
        <v>24.0</v>
      </c>
      <c r="G3175" s="4" t="s">
        <v>5508</v>
      </c>
    </row>
    <row r="3176">
      <c r="A3176" s="1">
        <v>3174.0</v>
      </c>
      <c r="B3176" s="4" t="s">
        <v>5470</v>
      </c>
      <c r="C3176" s="4" t="str">
        <f>IFERROR(__xludf.DUMMYFUNCTION("GOOGLETRANSLATE(D:D,""auto"",""en"")"),"The national total of 80,270 cases of pneumonia diagnosed with the new crown")</f>
        <v>The national total of 80,270 cases of pneumonia diagnosed with the new crown</v>
      </c>
      <c r="D3176" s="4" t="s">
        <v>5509</v>
      </c>
      <c r="E3176" s="4">
        <v>7160417.0</v>
      </c>
      <c r="F3176" s="4">
        <v>25.0</v>
      </c>
      <c r="G3176" s="4" t="s">
        <v>5510</v>
      </c>
    </row>
    <row r="3177">
      <c r="A3177" s="1">
        <v>3175.0</v>
      </c>
      <c r="B3177" s="4" t="s">
        <v>5470</v>
      </c>
      <c r="C3177" s="4" t="str">
        <f>IFERROR(__xludf.DUMMYFUNCTION("GOOGLETRANSLATE(D:D,""auto"",""en"")"),"O'Neal bright start hairline")</f>
        <v>O'Neal bright start hairline</v>
      </c>
      <c r="D3177" s="4" t="s">
        <v>5511</v>
      </c>
      <c r="E3177" s="4">
        <v>7140943.0</v>
      </c>
      <c r="F3177" s="4">
        <v>26.0</v>
      </c>
      <c r="G3177" s="4" t="s">
        <v>5512</v>
      </c>
    </row>
    <row r="3178">
      <c r="A3178" s="1">
        <v>3176.0</v>
      </c>
      <c r="B3178" s="4" t="s">
        <v>5470</v>
      </c>
      <c r="C3178" s="4" t="str">
        <f>IFERROR(__xludf.DUMMYFUNCTION("GOOGLETRANSLATE(D:D,""auto"",""en"")"),"It should be noted waste caused by aerosol or contact transmission")</f>
        <v>It should be noted waste caused by aerosol or contact transmission</v>
      </c>
      <c r="D3178" s="4" t="s">
        <v>5513</v>
      </c>
      <c r="E3178" s="4">
        <v>7125000.0</v>
      </c>
      <c r="F3178" s="4">
        <v>27.0</v>
      </c>
      <c r="G3178" s="4" t="s">
        <v>5514</v>
      </c>
    </row>
    <row r="3179">
      <c r="A3179" s="1">
        <v>3177.0</v>
      </c>
      <c r="B3179" s="4" t="s">
        <v>5470</v>
      </c>
      <c r="C3179" s="4" t="str">
        <f>IFERROR(__xludf.DUMMYFUNCTION("GOOGLETRANSLATE(D:D,""auto"",""en"")"),"Duncan served as Spurs coach")</f>
        <v>Duncan served as Spurs coach</v>
      </c>
      <c r="D3179" s="4" t="s">
        <v>5515</v>
      </c>
      <c r="E3179" s="4">
        <v>7113506.0</v>
      </c>
      <c r="F3179" s="4">
        <v>28.0</v>
      </c>
      <c r="G3179" s="4" t="s">
        <v>5516</v>
      </c>
    </row>
    <row r="3180">
      <c r="A3180" s="1">
        <v>3178.0</v>
      </c>
      <c r="B3180" s="4" t="s">
        <v>5470</v>
      </c>
      <c r="C3180" s="4" t="str">
        <f>IFERROR(__xludf.DUMMYFUNCTION("GOOGLETRANSLATE(D:D,""auto"",""en"")"),"Haikou Municipal former secretary of the double open")</f>
        <v>Haikou Municipal former secretary of the double open</v>
      </c>
      <c r="D3180" s="4" t="s">
        <v>5517</v>
      </c>
      <c r="E3180" s="4">
        <v>7073461.0</v>
      </c>
      <c r="F3180" s="4">
        <v>29.0</v>
      </c>
      <c r="G3180" s="4" t="s">
        <v>5518</v>
      </c>
    </row>
    <row r="3181">
      <c r="A3181" s="1">
        <v>3179.0</v>
      </c>
      <c r="B3181" s="4" t="s">
        <v>5470</v>
      </c>
      <c r="C3181" s="4" t="str">
        <f>IFERROR(__xludf.DUMMYFUNCTION("GOOGLETRANSLATE(D:D,""auto"",""en"")"),"Italy confirmed a total of 2502 cases of pneumonia new crown")</f>
        <v>Italy confirmed a total of 2502 cases of pneumonia new crown</v>
      </c>
      <c r="D3181" s="4" t="s">
        <v>5519</v>
      </c>
      <c r="E3181" s="4">
        <v>7073246.0</v>
      </c>
      <c r="F3181" s="4">
        <v>30.0</v>
      </c>
      <c r="G3181" s="4" t="s">
        <v>5520</v>
      </c>
    </row>
    <row r="3182">
      <c r="A3182" s="1">
        <v>3180.0</v>
      </c>
      <c r="B3182" s="4" t="s">
        <v>5470</v>
      </c>
      <c r="C3182" s="4" t="str">
        <f>IFERROR(__xludf.DUMMYFUNCTION("GOOGLETRANSLATE(D:D,""auto"",""en"")"),"Mai Li Su Yan accordion")</f>
        <v>Mai Li Su Yan accordion</v>
      </c>
      <c r="D3182" s="4" t="s">
        <v>5521</v>
      </c>
      <c r="E3182" s="4">
        <v>7070796.0</v>
      </c>
      <c r="F3182" s="4">
        <v>31.0</v>
      </c>
      <c r="G3182" s="4" t="s">
        <v>5522</v>
      </c>
    </row>
    <row r="3183">
      <c r="A3183" s="1">
        <v>3181.0</v>
      </c>
      <c r="B3183" s="4" t="s">
        <v>5470</v>
      </c>
      <c r="C3183" s="4" t="str">
        <f>IFERROR(__xludf.DUMMYFUNCTION("GOOGLETRANSLATE(D:D,""auto"",""en"")"),"ZHANG Wen-hong predict the eventual development of a new virus crown")</f>
        <v>ZHANG Wen-hong predict the eventual development of a new virus crown</v>
      </c>
      <c r="D3183" s="4" t="s">
        <v>5523</v>
      </c>
      <c r="E3183" s="4">
        <v>6960732.0</v>
      </c>
      <c r="F3183" s="4">
        <v>32.0</v>
      </c>
      <c r="G3183" s="4" t="s">
        <v>5524</v>
      </c>
    </row>
    <row r="3184">
      <c r="A3184" s="1">
        <v>3182.0</v>
      </c>
      <c r="B3184" s="4" t="s">
        <v>5470</v>
      </c>
      <c r="C3184" s="4" t="str">
        <f>IFERROR(__xludf.DUMMYFUNCTION("GOOGLETRANSLATE(D:D,""auto"",""en"")"),"Lee Min Ho drama trailer")</f>
        <v>Lee Min Ho drama trailer</v>
      </c>
      <c r="D3184" s="4" t="s">
        <v>5525</v>
      </c>
      <c r="E3184" s="4">
        <v>6921079.0</v>
      </c>
      <c r="F3184" s="4">
        <v>33.0</v>
      </c>
      <c r="G3184" s="4" t="s">
        <v>5526</v>
      </c>
    </row>
    <row r="3185">
      <c r="A3185" s="1">
        <v>3183.0</v>
      </c>
      <c r="B3185" s="4" t="s">
        <v>5470</v>
      </c>
      <c r="C3185" s="4" t="str">
        <f>IFERROR(__xludf.DUMMYFUNCTION("GOOGLETRANSLATE(D:D,""auto"",""en"")"),"Beijing new cases of two cases of foreign input")</f>
        <v>Beijing new cases of two cases of foreign input</v>
      </c>
      <c r="D3185" s="4" t="s">
        <v>5527</v>
      </c>
      <c r="E3185" s="4">
        <v>6836417.0</v>
      </c>
      <c r="F3185" s="4">
        <v>34.0</v>
      </c>
      <c r="G3185" s="4" t="s">
        <v>5528</v>
      </c>
    </row>
    <row r="3186">
      <c r="A3186" s="1">
        <v>3184.0</v>
      </c>
      <c r="B3186" s="4" t="s">
        <v>5470</v>
      </c>
      <c r="C3186" s="4" t="str">
        <f>IFERROR(__xludf.DUMMYFUNCTION("GOOGLETRANSLATE(D:D,""auto"",""en"")"),"Two flights carrying more than 30 Italian overseas Chinese Hang arrived in the night")</f>
        <v>Two flights carrying more than 30 Italian overseas Chinese Hang arrived in the night</v>
      </c>
      <c r="D3186" s="4" t="s">
        <v>5529</v>
      </c>
      <c r="E3186" s="4">
        <v>6835578.0</v>
      </c>
      <c r="F3186" s="4">
        <v>35.0</v>
      </c>
      <c r="G3186" s="4" t="s">
        <v>5530</v>
      </c>
    </row>
    <row r="3187">
      <c r="A3187" s="1">
        <v>3185.0</v>
      </c>
      <c r="B3187" s="4" t="s">
        <v>5470</v>
      </c>
      <c r="C3187" s="4" t="str">
        <f>IFERROR(__xludf.DUMMYFUNCTION("GOOGLETRANSLATE(D:D,""auto"",""en"")"),"Shandong any city prison outbreak event is to identify")</f>
        <v>Shandong any city prison outbreak event is to identify</v>
      </c>
      <c r="D3187" s="4" t="s">
        <v>5531</v>
      </c>
      <c r="E3187" s="4">
        <v>6833827.0</v>
      </c>
      <c r="F3187" s="4">
        <v>36.0</v>
      </c>
      <c r="G3187" s="4" t="s">
        <v>5532</v>
      </c>
    </row>
    <row r="3188">
      <c r="A3188" s="1">
        <v>3186.0</v>
      </c>
      <c r="B3188" s="4" t="s">
        <v>5470</v>
      </c>
      <c r="C3188" s="4" t="str">
        <f>IFERROR(__xludf.DUMMYFUNCTION("GOOGLETRANSLATE(D:D,""auto"",""en"")"),"Wuhan to be promoted cadres line 10 Contagion")</f>
        <v>Wuhan to be promoted cadres line 10 Contagion</v>
      </c>
      <c r="D3188" s="4" t="s">
        <v>5533</v>
      </c>
      <c r="E3188" s="4">
        <v>6806175.0</v>
      </c>
      <c r="F3188" s="4">
        <v>37.0</v>
      </c>
      <c r="G3188" s="4" t="s">
        <v>5534</v>
      </c>
    </row>
    <row r="3189">
      <c r="A3189" s="1">
        <v>3187.0</v>
      </c>
      <c r="B3189" s="4" t="s">
        <v>5470</v>
      </c>
      <c r="C3189" s="4" t="str">
        <f>IFERROR(__xludf.DUMMYFUNCTION("GOOGLETRANSLATE(D:D,""auto"",""en"")"),"Newly diagnosed patients with a total of over 1000 cases of Japanese Crown pneumonia")</f>
        <v>Newly diagnosed patients with a total of over 1000 cases of Japanese Crown pneumonia</v>
      </c>
      <c r="D3189" s="4" t="s">
        <v>5535</v>
      </c>
      <c r="E3189" s="4">
        <v>6772044.0</v>
      </c>
      <c r="F3189" s="4">
        <v>38.0</v>
      </c>
      <c r="G3189" s="4" t="s">
        <v>5536</v>
      </c>
    </row>
    <row r="3190">
      <c r="A3190" s="1">
        <v>3188.0</v>
      </c>
      <c r="B3190" s="4" t="s">
        <v>5470</v>
      </c>
      <c r="C3190" s="4" t="str">
        <f>IFERROR(__xludf.DUMMYFUNCTION("GOOGLETRANSLATE(D:D,""auto"",""en"")"),"Curry three-hour-League career")</f>
        <v>Curry three-hour-League career</v>
      </c>
      <c r="D3190" s="4" t="s">
        <v>5414</v>
      </c>
      <c r="E3190" s="4">
        <v>6768506.0</v>
      </c>
      <c r="F3190" s="4">
        <v>39.0</v>
      </c>
      <c r="G3190" s="4" t="s">
        <v>5415</v>
      </c>
    </row>
    <row r="3191">
      <c r="A3191" s="1">
        <v>3189.0</v>
      </c>
      <c r="B3191" s="4" t="s">
        <v>5470</v>
      </c>
      <c r="C3191" s="4" t="str">
        <f>IFERROR(__xludf.DUMMYFUNCTION("GOOGLETRANSLATE(D:D,""auto"",""en"")"),"Seafood market began to work in South disinfection")</f>
        <v>Seafood market began to work in South disinfection</v>
      </c>
      <c r="D3191" s="4" t="s">
        <v>5446</v>
      </c>
      <c r="E3191" s="4">
        <v>6737247.0</v>
      </c>
      <c r="F3191" s="4">
        <v>40.0</v>
      </c>
      <c r="G3191" s="4" t="s">
        <v>5447</v>
      </c>
    </row>
    <row r="3192">
      <c r="A3192" s="1">
        <v>3190.0</v>
      </c>
      <c r="B3192" s="4" t="s">
        <v>5470</v>
      </c>
      <c r="C3192" s="4" t="str">
        <f>IFERROR(__xludf.DUMMYFUNCTION("GOOGLETRANSLATE(D:D,""auto"",""en"")"),"Korean government will provide 130 million disadvantaged masks")</f>
        <v>Korean government will provide 130 million disadvantaged masks</v>
      </c>
      <c r="D3192" s="4" t="s">
        <v>5537</v>
      </c>
      <c r="E3192" s="4">
        <v>6714247.0</v>
      </c>
      <c r="F3192" s="4">
        <v>41.0</v>
      </c>
      <c r="G3192" s="4" t="s">
        <v>5538</v>
      </c>
    </row>
    <row r="3193">
      <c r="A3193" s="1">
        <v>3191.0</v>
      </c>
      <c r="B3193" s="4" t="s">
        <v>5470</v>
      </c>
      <c r="C3193" s="4" t="str">
        <f>IFERROR(__xludf.DUMMYFUNCTION("GOOGLETRANSLATE(D:D,""auto"",""en"")"),"papi sauce smooth birth")</f>
        <v>papi sauce smooth birth</v>
      </c>
      <c r="D3193" s="4" t="s">
        <v>5539</v>
      </c>
      <c r="E3193" s="4">
        <v>6666902.0</v>
      </c>
      <c r="F3193" s="4">
        <v>42.0</v>
      </c>
      <c r="G3193" s="4" t="s">
        <v>5540</v>
      </c>
    </row>
    <row r="3194">
      <c r="A3194" s="1">
        <v>3192.0</v>
      </c>
      <c r="B3194" s="4" t="s">
        <v>5470</v>
      </c>
      <c r="C3194" s="4" t="str">
        <f>IFERROR(__xludf.DUMMYFUNCTION("GOOGLETRANSLATE(D:D,""auto"",""en"")"),"Chen Yao Yue income baggage fight face Qiluo")</f>
        <v>Chen Yao Yue income baggage fight face Qiluo</v>
      </c>
      <c r="D3194" s="4" t="s">
        <v>5339</v>
      </c>
      <c r="E3194" s="4">
        <v>6659607.0</v>
      </c>
      <c r="F3194" s="4">
        <v>43.0</v>
      </c>
      <c r="G3194" s="4" t="s">
        <v>5340</v>
      </c>
    </row>
    <row r="3195">
      <c r="A3195" s="1">
        <v>3193.0</v>
      </c>
      <c r="B3195" s="4" t="s">
        <v>5470</v>
      </c>
      <c r="C3195" s="4" t="str">
        <f>IFERROR(__xludf.DUMMYFUNCTION("GOOGLETRANSLATE(D:D,""auto"",""en"")"),"Abe, speaking before the Senate cough")</f>
        <v>Abe, speaking before the Senate cough</v>
      </c>
      <c r="D3195" s="4" t="s">
        <v>5541</v>
      </c>
      <c r="E3195" s="4">
        <v>6652396.0</v>
      </c>
      <c r="F3195" s="4">
        <v>44.0</v>
      </c>
      <c r="G3195" s="4" t="s">
        <v>5542</v>
      </c>
    </row>
    <row r="3196">
      <c r="A3196" s="1">
        <v>3194.0</v>
      </c>
      <c r="B3196" s="4" t="s">
        <v>5470</v>
      </c>
      <c r="C3196" s="4" t="str">
        <f>IFERROR(__xludf.DUMMYFUNCTION("GOOGLETRANSLATE(D:D,""auto"",""en"")"),"Wang Junkai one second Face")</f>
        <v>Wang Junkai one second Face</v>
      </c>
      <c r="D3196" s="4" t="s">
        <v>5408</v>
      </c>
      <c r="E3196" s="4">
        <v>6628302.0</v>
      </c>
      <c r="F3196" s="4">
        <v>45.0</v>
      </c>
      <c r="G3196" s="4" t="s">
        <v>5409</v>
      </c>
    </row>
    <row r="3197">
      <c r="A3197" s="1">
        <v>3195.0</v>
      </c>
      <c r="B3197" s="4" t="s">
        <v>5470</v>
      </c>
      <c r="C3197" s="4" t="str">
        <f>IFERROR(__xludf.DUMMYFUNCTION("GOOGLETRANSLATE(D:D,""auto"",""en"")"),"Former party secretary of Shandong Provincial Department of Justice, 11 were criminal")</f>
        <v>Former party secretary of Shandong Provincial Department of Justice, 11 were criminal</v>
      </c>
      <c r="D3197" s="4" t="s">
        <v>5543</v>
      </c>
      <c r="E3197" s="4">
        <v>6610326.0</v>
      </c>
      <c r="F3197" s="4">
        <v>46.0</v>
      </c>
      <c r="G3197" s="4" t="s">
        <v>5544</v>
      </c>
    </row>
    <row r="3198">
      <c r="A3198" s="1">
        <v>3196.0</v>
      </c>
      <c r="B3198" s="4" t="s">
        <v>5470</v>
      </c>
      <c r="C3198" s="4" t="str">
        <f>IFERROR(__xludf.DUMMYFUNCTION("GOOGLETRANSLATE(D:D,""auto"",""en"")"),"United States Moderator")</f>
        <v>United States Moderator</v>
      </c>
      <c r="D3198" s="4" t="s">
        <v>5545</v>
      </c>
      <c r="E3198" s="4">
        <v>6610322.0</v>
      </c>
      <c r="F3198" s="4">
        <v>47.0</v>
      </c>
      <c r="G3198" s="4" t="s">
        <v>5546</v>
      </c>
    </row>
    <row r="3199">
      <c r="A3199" s="1">
        <v>3197.0</v>
      </c>
      <c r="B3199" s="4" t="s">
        <v>5470</v>
      </c>
      <c r="C3199" s="4" t="str">
        <f>IFERROR(__xludf.DUMMYFUNCTION("GOOGLETRANSLATE(D:D,""auto"",""en"")"),"Leading the fight against SARS hospital subsidies far more than the front-line health care")</f>
        <v>Leading the fight against SARS hospital subsidies far more than the front-line health care</v>
      </c>
      <c r="D3199" s="4" t="s">
        <v>5547</v>
      </c>
      <c r="E3199" s="4">
        <v>6599670.0</v>
      </c>
      <c r="F3199" s="4">
        <v>48.0</v>
      </c>
      <c r="G3199" s="4" t="s">
        <v>5548</v>
      </c>
    </row>
    <row r="3200">
      <c r="A3200" s="1">
        <v>3198.0</v>
      </c>
      <c r="B3200" s="4" t="s">
        <v>5470</v>
      </c>
      <c r="C3200" s="4" t="str">
        <f>IFERROR(__xludf.DUMMYFUNCTION("GOOGLETRANSLATE(D:D,""auto"",""en"")"),"I thought I tied a woodchuck")</f>
        <v>I thought I tied a woodchuck</v>
      </c>
      <c r="D3200" s="4" t="s">
        <v>5549</v>
      </c>
      <c r="E3200" s="4">
        <v>6569575.0</v>
      </c>
      <c r="F3200" s="4">
        <v>49.0</v>
      </c>
      <c r="G3200" s="4" t="s">
        <v>5550</v>
      </c>
    </row>
    <row r="3201">
      <c r="A3201" s="1">
        <v>3199.0</v>
      </c>
      <c r="B3201" s="4" t="s">
        <v>5470</v>
      </c>
      <c r="C3201" s="4" t="str">
        <f>IFERROR(__xludf.DUMMYFUNCTION("GOOGLETRANSLATE(D:D,""auto"",""en"")"),"Acting big test")</f>
        <v>Acting big test</v>
      </c>
      <c r="D3201" s="4" t="s">
        <v>5551</v>
      </c>
      <c r="E3201" s="4">
        <v>6567338.0</v>
      </c>
      <c r="F3201" s="4">
        <v>50.0</v>
      </c>
      <c r="G3201" s="4" t="s">
        <v>5552</v>
      </c>
    </row>
    <row r="3202">
      <c r="A3202" s="1">
        <v>3200.0</v>
      </c>
      <c r="B3202" s="4" t="s">
        <v>5553</v>
      </c>
      <c r="C3202" s="4" t="str">
        <f>IFERROR(__xludf.DUMMYFUNCTION("GOOGLETRANSLATE(D:D,""auto"",""en"")"),"The national total of 80,409 cases of pneumonia diagnosed with the new crown")</f>
        <v>The national total of 80,409 cases of pneumonia diagnosed with the new crown</v>
      </c>
      <c r="D3202" s="4" t="s">
        <v>5554</v>
      </c>
      <c r="E3202" s="4">
        <v>8644600.0</v>
      </c>
      <c r="F3202" s="4">
        <v>1.0</v>
      </c>
      <c r="G3202" s="4" t="s">
        <v>5555</v>
      </c>
    </row>
    <row r="3203">
      <c r="A3203" s="1">
        <v>3201.0</v>
      </c>
      <c r="B3203" s="4" t="s">
        <v>5553</v>
      </c>
      <c r="C3203" s="4" t="str">
        <f>IFERROR(__xludf.DUMMYFUNCTION("GOOGLETRANSLATE(D:D,""auto"",""en"")"),"Saipan")</f>
        <v>Saipan</v>
      </c>
      <c r="D3203" s="4" t="s">
        <v>5471</v>
      </c>
      <c r="E3203" s="4">
        <v>8427386.0</v>
      </c>
      <c r="F3203" s="4">
        <v>2.0</v>
      </c>
      <c r="G3203" s="4" t="s">
        <v>5472</v>
      </c>
    </row>
    <row r="3204">
      <c r="A3204" s="1">
        <v>3202.0</v>
      </c>
      <c r="B3204" s="4" t="s">
        <v>5553</v>
      </c>
      <c r="C3204" s="4" t="str">
        <f>IFERROR(__xludf.DUMMYFUNCTION("GOOGLETRANSLATE(D:D,""auto"",""en"")"),"Waking of Insects")</f>
        <v>Waking of Insects</v>
      </c>
      <c r="D3204" s="4" t="s">
        <v>5556</v>
      </c>
      <c r="E3204" s="4">
        <v>8392949.0</v>
      </c>
      <c r="F3204" s="4">
        <v>3.0</v>
      </c>
      <c r="G3204" s="4" t="s">
        <v>5557</v>
      </c>
    </row>
    <row r="3205">
      <c r="A3205" s="1">
        <v>3203.0</v>
      </c>
      <c r="B3205" s="4" t="s">
        <v>5553</v>
      </c>
      <c r="C3205" s="4" t="str">
        <f>IFERROR(__xludf.DUMMYFUNCTION("GOOGLETRANSLATE(D:D,""auto"",""en"")"),"Wang Junkai Internet lesson scene")</f>
        <v>Wang Junkai Internet lesson scene</v>
      </c>
      <c r="D3205" s="4" t="s">
        <v>5475</v>
      </c>
      <c r="E3205" s="4">
        <v>8371164.0</v>
      </c>
      <c r="F3205" s="4">
        <v>4.0</v>
      </c>
      <c r="G3205" s="4" t="s">
        <v>5476</v>
      </c>
    </row>
    <row r="3206">
      <c r="A3206" s="1">
        <v>3204.0</v>
      </c>
      <c r="B3206" s="4" t="s">
        <v>5553</v>
      </c>
      <c r="C3206" s="4" t="str">
        <f>IFERROR(__xludf.DUMMYFUNCTION("GOOGLETRANSLATE(D:D,""auto"",""en"")"),"And love beans with online courses is how an experience")</f>
        <v>And love beans with online courses is how an experience</v>
      </c>
      <c r="D3206" s="4" t="s">
        <v>5558</v>
      </c>
      <c r="E3206" s="4">
        <v>8264059.0</v>
      </c>
      <c r="F3206" s="4">
        <v>5.0</v>
      </c>
      <c r="G3206" s="4" t="s">
        <v>5559</v>
      </c>
    </row>
    <row r="3207">
      <c r="A3207" s="1">
        <v>3205.0</v>
      </c>
      <c r="B3207" s="4" t="s">
        <v>5553</v>
      </c>
      <c r="C3207" s="4" t="str">
        <f>IFERROR(__xludf.DUMMYFUNCTION("GOOGLETRANSLATE(D:D,""auto"",""en"")"),"Hubei new confirmed cases 134 cases")</f>
        <v>Hubei new confirmed cases 134 cases</v>
      </c>
      <c r="D3207" s="4" t="s">
        <v>5560</v>
      </c>
      <c r="E3207" s="4">
        <v>8160673.0</v>
      </c>
      <c r="F3207" s="4">
        <v>6.0</v>
      </c>
      <c r="G3207" s="4" t="s">
        <v>5561</v>
      </c>
    </row>
    <row r="3208">
      <c r="A3208" s="1">
        <v>3206.0</v>
      </c>
      <c r="B3208" s="4" t="s">
        <v>5553</v>
      </c>
      <c r="C3208" s="4" t="str">
        <f>IFERROR(__xludf.DUMMYFUNCTION("GOOGLETRANSLATE(D:D,""auto"",""en"")"),"Rong Yang brokerage company statement")</f>
        <v>Rong Yang brokerage company statement</v>
      </c>
      <c r="D3208" s="4" t="s">
        <v>5481</v>
      </c>
      <c r="E3208" s="4">
        <v>8096657.0</v>
      </c>
      <c r="F3208" s="4">
        <v>7.0</v>
      </c>
      <c r="G3208" s="4" t="s">
        <v>5482</v>
      </c>
    </row>
    <row r="3209">
      <c r="A3209" s="1">
        <v>3207.0</v>
      </c>
      <c r="B3209" s="4" t="s">
        <v>5553</v>
      </c>
      <c r="C3209" s="4" t="str">
        <f>IFERROR(__xludf.DUMMYFUNCTION("GOOGLETRANSLATE(D:D,""auto"",""en"")"),"Sansei III pillow book finale")</f>
        <v>Sansei III pillow book finale</v>
      </c>
      <c r="D3209" s="4" t="s">
        <v>5562</v>
      </c>
      <c r="E3209" s="4">
        <v>8051786.0</v>
      </c>
      <c r="F3209" s="4">
        <v>8.0</v>
      </c>
      <c r="G3209" s="4" t="s">
        <v>5563</v>
      </c>
    </row>
    <row r="3210">
      <c r="A3210" s="1">
        <v>3208.0</v>
      </c>
      <c r="B3210" s="4" t="s">
        <v>5553</v>
      </c>
      <c r="C3210" s="4" t="str">
        <f>IFERROR(__xludf.DUMMYFUNCTION("GOOGLETRANSLATE(D:D,""auto"",""en"")"),"Zhang take a ride on mom bright room together")</f>
        <v>Zhang take a ride on mom bright room together</v>
      </c>
      <c r="D3210" s="4" t="s">
        <v>5505</v>
      </c>
      <c r="E3210" s="4">
        <v>8002935.0</v>
      </c>
      <c r="F3210" s="4">
        <v>9.0</v>
      </c>
      <c r="G3210" s="4" t="s">
        <v>5506</v>
      </c>
    </row>
    <row r="3211">
      <c r="A3211" s="1">
        <v>3209.0</v>
      </c>
      <c r="B3211" s="4" t="s">
        <v>5553</v>
      </c>
      <c r="C3211" s="4" t="str">
        <f>IFERROR(__xludf.DUMMYFUNCTION("GOOGLETRANSLATE(D:D,""auto"",""en"")"),"New Overseas Chinese crown diagnosed 12,668 cases of pneumonia")</f>
        <v>New Overseas Chinese crown diagnosed 12,668 cases of pneumonia</v>
      </c>
      <c r="D3211" s="4" t="s">
        <v>5564</v>
      </c>
      <c r="E3211" s="4">
        <v>7979954.0</v>
      </c>
      <c r="F3211" s="4">
        <v>10.0</v>
      </c>
      <c r="G3211" s="4" t="s">
        <v>5565</v>
      </c>
    </row>
    <row r="3212">
      <c r="A3212" s="1">
        <v>3210.0</v>
      </c>
      <c r="B3212" s="4" t="s">
        <v>5553</v>
      </c>
      <c r="C3212" s="4" t="str">
        <f>IFERROR(__xludf.DUMMYFUNCTION("GOOGLETRANSLATE(D:D,""auto"",""en"")"),"Wang Junkai our band poster")</f>
        <v>Wang Junkai our band poster</v>
      </c>
      <c r="D3212" s="4" t="s">
        <v>5566</v>
      </c>
      <c r="E3212" s="4">
        <v>7938275.0</v>
      </c>
      <c r="F3212" s="4">
        <v>11.0</v>
      </c>
      <c r="G3212" s="4" t="s">
        <v>5567</v>
      </c>
    </row>
    <row r="3213">
      <c r="A3213" s="1">
        <v>3211.0</v>
      </c>
      <c r="B3213" s="4" t="s">
        <v>5553</v>
      </c>
      <c r="C3213" s="4" t="str">
        <f>IFERROR(__xludf.DUMMYFUNCTION("GOOGLETRANSLATE(D:D,""auto"",""en"")"),"Guo innocent love song")</f>
        <v>Guo innocent love song</v>
      </c>
      <c r="D3213" s="4" t="s">
        <v>5568</v>
      </c>
      <c r="E3213" s="4">
        <v>7937492.0</v>
      </c>
      <c r="F3213" s="4">
        <v>12.0</v>
      </c>
      <c r="G3213" s="4" t="s">
        <v>5569</v>
      </c>
    </row>
    <row r="3214">
      <c r="A3214" s="1">
        <v>3212.0</v>
      </c>
      <c r="B3214" s="4" t="s">
        <v>5553</v>
      </c>
      <c r="C3214" s="4" t="str">
        <f>IFERROR(__xludf.DUMMYFUNCTION("GOOGLETRANSLATE(D:D,""auto"",""en"")"),"papi sauce smooth birth")</f>
        <v>papi sauce smooth birth</v>
      </c>
      <c r="D3214" s="4" t="s">
        <v>5539</v>
      </c>
      <c r="E3214" s="4">
        <v>7929879.0</v>
      </c>
      <c r="F3214" s="4">
        <v>13.0</v>
      </c>
      <c r="G3214" s="4" t="s">
        <v>5540</v>
      </c>
    </row>
    <row r="3215">
      <c r="A3215" s="1">
        <v>3213.0</v>
      </c>
      <c r="B3215" s="4" t="s">
        <v>5553</v>
      </c>
      <c r="C3215" s="4" t="str">
        <f>IFERROR(__xludf.DUMMYFUNCTION("GOOGLETRANSLATE(D:D,""auto"",""en"")"),"9-year-old girl was discharged Leibie staff")</f>
        <v>9-year-old girl was discharged Leibie staff</v>
      </c>
      <c r="D3215" s="4" t="s">
        <v>5570</v>
      </c>
      <c r="E3215" s="4">
        <v>7822266.0</v>
      </c>
      <c r="F3215" s="4">
        <v>14.0</v>
      </c>
      <c r="G3215" s="4" t="s">
        <v>5571</v>
      </c>
    </row>
    <row r="3216">
      <c r="A3216" s="1">
        <v>3214.0</v>
      </c>
      <c r="B3216" s="4" t="s">
        <v>5553</v>
      </c>
      <c r="C3216" s="4" t="str">
        <f>IFERROR(__xludf.DUMMYFUNCTION("GOOGLETRANSLATE(D:D,""auto"",""en"")"),"Masks the country's first self-service vending machines")</f>
        <v>Masks the country's first self-service vending machines</v>
      </c>
      <c r="D3216" s="4" t="s">
        <v>5572</v>
      </c>
      <c r="E3216" s="4">
        <v>7778618.0</v>
      </c>
      <c r="F3216" s="4">
        <v>15.0</v>
      </c>
      <c r="G3216" s="4" t="s">
        <v>5573</v>
      </c>
    </row>
    <row r="3217">
      <c r="A3217" s="1">
        <v>3215.0</v>
      </c>
      <c r="B3217" s="4" t="s">
        <v>5553</v>
      </c>
      <c r="C3217" s="4" t="str">
        <f>IFERROR(__xludf.DUMMYFUNCTION("GOOGLETRANSLATE(D:D,""auto"",""en"")"),"Acting in dim eye injury")</f>
        <v>Acting in dim eye injury</v>
      </c>
      <c r="D3217" s="4" t="s">
        <v>5574</v>
      </c>
      <c r="E3217" s="4">
        <v>7725508.0</v>
      </c>
      <c r="F3217" s="4">
        <v>16.0</v>
      </c>
      <c r="G3217" s="4" t="s">
        <v>5575</v>
      </c>
    </row>
    <row r="3218">
      <c r="A3218" s="1">
        <v>3216.0</v>
      </c>
      <c r="B3218" s="4" t="s">
        <v>5553</v>
      </c>
      <c r="C3218" s="4" t="str">
        <f>IFERROR(__xludf.DUMMYFUNCTION("GOOGLETRANSLATE(D:D,""auto"",""en"")"),"US Center for Disease Control confirmed the number of states to stop publishing")</f>
        <v>US Center for Disease Control confirmed the number of states to stop publishing</v>
      </c>
      <c r="D3218" s="4" t="s">
        <v>5576</v>
      </c>
      <c r="E3218" s="4">
        <v>7654012.0</v>
      </c>
      <c r="F3218" s="4">
        <v>17.0</v>
      </c>
      <c r="G3218" s="4" t="s">
        <v>5577</v>
      </c>
    </row>
    <row r="3219">
      <c r="A3219" s="1">
        <v>3217.0</v>
      </c>
      <c r="B3219" s="4" t="s">
        <v>5553</v>
      </c>
      <c r="C3219" s="4" t="str">
        <f>IFERROR(__xludf.DUMMYFUNCTION("GOOGLETRANSLATE(D:D,""auto"",""en"")"),"Li Jiaqi version came manta")</f>
        <v>Li Jiaqi version came manta</v>
      </c>
      <c r="D3219" s="4" t="s">
        <v>5578</v>
      </c>
      <c r="E3219" s="4">
        <v>7569422.0</v>
      </c>
      <c r="F3219" s="4">
        <v>18.0</v>
      </c>
      <c r="G3219" s="4" t="s">
        <v>5579</v>
      </c>
    </row>
    <row r="3220">
      <c r="A3220" s="1">
        <v>3218.0</v>
      </c>
      <c r="B3220" s="4" t="s">
        <v>5553</v>
      </c>
      <c r="C3220" s="4" t="str">
        <f>IFERROR(__xludf.DUMMYFUNCTION("GOOGLETRANSLATE(D:D,""auto"",""en"")"),"Italy confirmed cases rose to 3089 cases")</f>
        <v>Italy confirmed cases rose to 3089 cases</v>
      </c>
      <c r="D3220" s="4" t="s">
        <v>5580</v>
      </c>
      <c r="E3220" s="4">
        <v>7428287.0</v>
      </c>
      <c r="F3220" s="4">
        <v>19.0</v>
      </c>
      <c r="G3220" s="4" t="s">
        <v>5581</v>
      </c>
    </row>
    <row r="3221">
      <c r="A3221" s="1">
        <v>3219.0</v>
      </c>
      <c r="B3221" s="4" t="s">
        <v>5553</v>
      </c>
      <c r="C3221" s="4" t="str">
        <f>IFERROR(__xludf.DUMMYFUNCTION("GOOGLETRANSLATE(D:D,""auto"",""en"")"),"New virus attacks the central nervous system crown")</f>
        <v>New virus attacks the central nervous system crown</v>
      </c>
      <c r="D3221" s="4" t="s">
        <v>5582</v>
      </c>
      <c r="E3221" s="4">
        <v>7376167.0</v>
      </c>
      <c r="F3221" s="4">
        <v>20.0</v>
      </c>
      <c r="G3221" s="4" t="s">
        <v>5583</v>
      </c>
    </row>
    <row r="3222">
      <c r="A3222" s="1">
        <v>3220.0</v>
      </c>
      <c r="B3222" s="4" t="s">
        <v>5553</v>
      </c>
      <c r="C3222" s="4" t="str">
        <f>IFERROR(__xludf.DUMMYFUNCTION("GOOGLETRANSLATE(D:D,""auto"",""en"")"),"Sichuan new confirmed cases 1 case")</f>
        <v>Sichuan new confirmed cases 1 case</v>
      </c>
      <c r="D3222" s="4" t="s">
        <v>5584</v>
      </c>
      <c r="E3222" s="4">
        <v>7366907.0</v>
      </c>
      <c r="F3222" s="4">
        <v>21.0</v>
      </c>
      <c r="G3222" s="4" t="s">
        <v>5585</v>
      </c>
    </row>
    <row r="3223">
      <c r="A3223" s="1">
        <v>3221.0</v>
      </c>
      <c r="B3223" s="4" t="s">
        <v>5553</v>
      </c>
      <c r="C3223" s="4" t="str">
        <f>IFERROR(__xludf.DUMMYFUNCTION("GOOGLETRANSLATE(D:D,""auto"",""en"")"),"Net more than what students have classes")</f>
        <v>Net more than what students have classes</v>
      </c>
      <c r="D3223" s="4" t="s">
        <v>5586</v>
      </c>
      <c r="E3223" s="4">
        <v>7356410.0</v>
      </c>
      <c r="F3223" s="4">
        <v>22.0</v>
      </c>
      <c r="G3223" s="4" t="s">
        <v>5587</v>
      </c>
    </row>
    <row r="3224">
      <c r="A3224" s="1">
        <v>3222.0</v>
      </c>
      <c r="B3224" s="4" t="s">
        <v>5553</v>
      </c>
      <c r="C3224" s="4" t="str">
        <f>IFERROR(__xludf.DUMMYFUNCTION("GOOGLETRANSLATE(D:D,""auto"",""en"")"),"Beijing Add 1 new cases of pneumonia crown")</f>
        <v>Beijing Add 1 new cases of pneumonia crown</v>
      </c>
      <c r="D3224" s="4" t="s">
        <v>5588</v>
      </c>
      <c r="E3224" s="4">
        <v>7353233.0</v>
      </c>
      <c r="F3224" s="4">
        <v>23.0</v>
      </c>
      <c r="G3224" s="4" t="s">
        <v>5589</v>
      </c>
    </row>
    <row r="3225">
      <c r="A3225" s="1">
        <v>3223.0</v>
      </c>
      <c r="B3225" s="4" t="s">
        <v>5553</v>
      </c>
      <c r="C3225" s="4" t="str">
        <f>IFERROR(__xludf.DUMMYFUNCTION("GOOGLETRANSLATE(D:D,""auto"",""en"")"),"US new crown pneumonia increased to 153 cases")</f>
        <v>US new crown pneumonia increased to 153 cases</v>
      </c>
      <c r="D3225" s="4" t="s">
        <v>5590</v>
      </c>
      <c r="E3225" s="4">
        <v>7352982.0</v>
      </c>
      <c r="F3225" s="4">
        <v>24.0</v>
      </c>
      <c r="G3225" s="4" t="s">
        <v>5591</v>
      </c>
    </row>
    <row r="3226">
      <c r="A3226" s="1">
        <v>3224.0</v>
      </c>
      <c r="B3226" s="4" t="s">
        <v>5553</v>
      </c>
      <c r="C3226" s="4" t="str">
        <f>IFERROR(__xludf.DUMMYFUNCTION("GOOGLETRANSLATE(D:D,""auto"",""en"")"),"Experts on discharge standards are too broad")</f>
        <v>Experts on discharge standards are too broad</v>
      </c>
      <c r="D3226" s="4" t="s">
        <v>5592</v>
      </c>
      <c r="E3226" s="4">
        <v>7352611.0</v>
      </c>
      <c r="F3226" s="4">
        <v>25.0</v>
      </c>
      <c r="G3226" s="4" t="s">
        <v>5593</v>
      </c>
    </row>
    <row r="3227">
      <c r="A3227" s="1">
        <v>3225.0</v>
      </c>
      <c r="B3227" s="4" t="s">
        <v>5553</v>
      </c>
      <c r="C3227" s="4" t="str">
        <f>IFERROR(__xludf.DUMMYFUNCTION("GOOGLETRANSLATE(D:D,""auto"",""en"")"),"China will launch two Beidou satellite")</f>
        <v>China will launch two Beidou satellite</v>
      </c>
      <c r="D3227" s="4" t="s">
        <v>5594</v>
      </c>
      <c r="E3227" s="4">
        <v>7352603.0</v>
      </c>
      <c r="F3227" s="4">
        <v>26.0</v>
      </c>
      <c r="G3227" s="4" t="s">
        <v>5595</v>
      </c>
    </row>
    <row r="3228">
      <c r="A3228" s="1">
        <v>3226.0</v>
      </c>
      <c r="B3228" s="4" t="s">
        <v>5553</v>
      </c>
      <c r="C3228" s="4" t="str">
        <f>IFERROR(__xludf.DUMMYFUNCTION("GOOGLETRANSLATE(D:D,""auto"",""en"")"),"See the car is not closing")</f>
        <v>See the car is not closing</v>
      </c>
      <c r="D3228" s="4" t="s">
        <v>4957</v>
      </c>
      <c r="E3228" s="4">
        <v>7325458.0</v>
      </c>
      <c r="F3228" s="4">
        <v>27.0</v>
      </c>
      <c r="G3228" s="4" t="s">
        <v>4958</v>
      </c>
    </row>
    <row r="3229">
      <c r="A3229" s="1">
        <v>3227.0</v>
      </c>
      <c r="B3229" s="4" t="s">
        <v>5553</v>
      </c>
      <c r="C3229" s="4" t="str">
        <f>IFERROR(__xludf.DUMMYFUNCTION("GOOGLETRANSLATE(D:D,""auto"",""en"")"),"South Korea's largest Chinese enclave city of zero infection")</f>
        <v>South Korea's largest Chinese enclave city of zero infection</v>
      </c>
      <c r="D3229" s="4" t="s">
        <v>5596</v>
      </c>
      <c r="E3229" s="4">
        <v>7319330.0</v>
      </c>
      <c r="F3229" s="4">
        <v>28.0</v>
      </c>
      <c r="G3229" s="4" t="s">
        <v>5597</v>
      </c>
    </row>
    <row r="3230">
      <c r="A3230" s="1">
        <v>3228.0</v>
      </c>
      <c r="B3230" s="4" t="s">
        <v>5553</v>
      </c>
      <c r="C3230" s="4" t="str">
        <f>IFERROR(__xludf.DUMMYFUNCTION("GOOGLETRANSLATE(D:D,""auto"",""en"")"),"Ministry of Foreign Affairs to split the United States and host China an apology epidemic")</f>
        <v>Ministry of Foreign Affairs to split the United States and host China an apology epidemic</v>
      </c>
      <c r="D3230" s="4" t="s">
        <v>5598</v>
      </c>
      <c r="E3230" s="4">
        <v>7291869.0</v>
      </c>
      <c r="F3230" s="4">
        <v>29.0</v>
      </c>
      <c r="G3230" s="4" t="s">
        <v>5599</v>
      </c>
    </row>
    <row r="3231">
      <c r="A3231" s="1">
        <v>3229.0</v>
      </c>
      <c r="B3231" s="4" t="s">
        <v>5553</v>
      </c>
      <c r="C3231" s="4" t="str">
        <f>IFERROR(__xludf.DUMMYFUNCTION("GOOGLETRANSLATE(D:D,""auto"",""en"")"),"Xiao Zhan Wang Yibo discuss scenes")</f>
        <v>Xiao Zhan Wang Yibo discuss scenes</v>
      </c>
      <c r="D3231" s="4" t="s">
        <v>5600</v>
      </c>
      <c r="E3231" s="4">
        <v>7266712.0</v>
      </c>
      <c r="F3231" s="4">
        <v>30.0</v>
      </c>
      <c r="G3231" s="4" t="s">
        <v>5601</v>
      </c>
    </row>
    <row r="3232">
      <c r="A3232" s="1">
        <v>3230.0</v>
      </c>
      <c r="B3232" s="4" t="s">
        <v>5553</v>
      </c>
      <c r="C3232" s="4" t="str">
        <f>IFERROR(__xludf.DUMMYFUNCTION("GOOGLETRANSLATE(D:D,""auto"",""en"")"),"Fan Chengcheng to cut eight holes Qiuku")</f>
        <v>Fan Chengcheng to cut eight holes Qiuku</v>
      </c>
      <c r="D3232" s="4" t="s">
        <v>5487</v>
      </c>
      <c r="E3232" s="4">
        <v>7206970.0</v>
      </c>
      <c r="F3232" s="4">
        <v>31.0</v>
      </c>
      <c r="G3232" s="4" t="s">
        <v>5488</v>
      </c>
    </row>
    <row r="3233">
      <c r="A3233" s="1">
        <v>3231.0</v>
      </c>
      <c r="B3233" s="4" t="s">
        <v>5553</v>
      </c>
      <c r="C3233" s="4" t="str">
        <f>IFERROR(__xludf.DUMMYFUNCTION("GOOGLETRANSLATE(D:D,""auto"",""en"")"),"Joe Chen Allen's sweet")</f>
        <v>Joe Chen Allen's sweet</v>
      </c>
      <c r="D3233" s="4" t="s">
        <v>5602</v>
      </c>
      <c r="E3233" s="4">
        <v>7128123.0</v>
      </c>
      <c r="F3233" s="4">
        <v>32.0</v>
      </c>
      <c r="G3233" s="4" t="s">
        <v>5603</v>
      </c>
    </row>
    <row r="3234">
      <c r="A3234" s="1">
        <v>3232.0</v>
      </c>
      <c r="B3234" s="4" t="s">
        <v>5553</v>
      </c>
      <c r="C3234" s="4" t="str">
        <f>IFERROR(__xludf.DUMMYFUNCTION("GOOGLETRANSLATE(D:D,""auto"",""en"")"),"Saipan found")</f>
        <v>Saipan found</v>
      </c>
      <c r="D3234" s="4" t="s">
        <v>5604</v>
      </c>
      <c r="E3234" s="4">
        <v>7063989.0</v>
      </c>
      <c r="F3234" s="4">
        <v>33.0</v>
      </c>
      <c r="G3234" s="4" t="s">
        <v>5605</v>
      </c>
    </row>
    <row r="3235">
      <c r="A3235" s="1">
        <v>3233.0</v>
      </c>
      <c r="B3235" s="4" t="s">
        <v>5553</v>
      </c>
      <c r="C3235" s="4" t="str">
        <f>IFERROR(__xludf.DUMMYFUNCTION("GOOGLETRANSLATE(D:D,""auto"",""en"")"),"Hong Kong confirmed infected dogs")</f>
        <v>Hong Kong confirmed infected dogs</v>
      </c>
      <c r="D3235" s="4" t="s">
        <v>5606</v>
      </c>
      <c r="E3235" s="4">
        <v>7043197.0</v>
      </c>
      <c r="F3235" s="4">
        <v>34.0</v>
      </c>
      <c r="G3235" s="4" t="s">
        <v>5607</v>
      </c>
    </row>
    <row r="3236">
      <c r="A3236" s="1">
        <v>3234.0</v>
      </c>
      <c r="B3236" s="4" t="s">
        <v>5553</v>
      </c>
      <c r="C3236" s="4" t="str">
        <f>IFERROR(__xludf.DUMMYFUNCTION("GOOGLETRANSLATE(D:D,""auto"",""en"")"),"Soft-shelled turtle and other turtles would not join the list of fasting")</f>
        <v>Soft-shelled turtle and other turtles would not join the list of fasting</v>
      </c>
      <c r="D3236" s="4" t="s">
        <v>5608</v>
      </c>
      <c r="E3236" s="4">
        <v>7018972.0</v>
      </c>
      <c r="F3236" s="4">
        <v>35.0</v>
      </c>
      <c r="G3236" s="4" t="s">
        <v>5609</v>
      </c>
    </row>
    <row r="3237">
      <c r="A3237" s="1">
        <v>3235.0</v>
      </c>
      <c r="B3237" s="4" t="s">
        <v>5553</v>
      </c>
      <c r="C3237" s="4" t="str">
        <f>IFERROR(__xludf.DUMMYFUNCTION("GOOGLETRANSLATE(D:D,""auto"",""en"")"),"Palm notice things")</f>
        <v>Palm notice things</v>
      </c>
      <c r="D3237" s="4" t="s">
        <v>5610</v>
      </c>
      <c r="E3237" s="4">
        <v>7016986.0</v>
      </c>
      <c r="F3237" s="4">
        <v>36.0</v>
      </c>
      <c r="G3237" s="4" t="s">
        <v>5611</v>
      </c>
    </row>
    <row r="3238">
      <c r="A3238" s="1">
        <v>3236.0</v>
      </c>
      <c r="B3238" s="4" t="s">
        <v>5553</v>
      </c>
      <c r="C3238" s="4" t="str">
        <f>IFERROR(__xludf.DUMMYFUNCTION("GOOGLETRANSLATE(D:D,""auto"",""en"")"),"He Jiong first love to talk about good and angry, funny")</f>
        <v>He Jiong first love to talk about good and angry, funny</v>
      </c>
      <c r="D3238" s="4" t="s">
        <v>5493</v>
      </c>
      <c r="E3238" s="4">
        <v>7011756.0</v>
      </c>
      <c r="F3238" s="4">
        <v>37.0</v>
      </c>
      <c r="G3238" s="4" t="s">
        <v>5494</v>
      </c>
    </row>
    <row r="3239">
      <c r="A3239" s="1">
        <v>3237.0</v>
      </c>
      <c r="B3239" s="4" t="s">
        <v>5553</v>
      </c>
      <c r="C3239" s="4" t="str">
        <f>IFERROR(__xludf.DUMMYFUNCTION("GOOGLETRANSLATE(D:D,""auto"",""en"")"),"Li Wenliang was posthumously awarded the national immunization and other advanced individual title")</f>
        <v>Li Wenliang was posthumously awarded the national immunization and other advanced individual title</v>
      </c>
      <c r="D3239" s="4" t="s">
        <v>5612</v>
      </c>
      <c r="E3239" s="4">
        <v>7006147.0</v>
      </c>
      <c r="F3239" s="4">
        <v>38.0</v>
      </c>
      <c r="G3239" s="4" t="s">
        <v>5613</v>
      </c>
    </row>
    <row r="3240">
      <c r="A3240" s="1">
        <v>3238.0</v>
      </c>
      <c r="B3240" s="4" t="s">
        <v>5553</v>
      </c>
      <c r="C3240" s="4" t="str">
        <f>IFERROR(__xludf.DUMMYFUNCTION("GOOGLETRANSLATE(D:D,""auto"",""en"")"),"Princess Cruises has an outbreak occurs")</f>
        <v>Princess Cruises has an outbreak occurs</v>
      </c>
      <c r="D3240" s="4" t="s">
        <v>5614</v>
      </c>
      <c r="E3240" s="4">
        <v>6980578.0</v>
      </c>
      <c r="F3240" s="4">
        <v>39.0</v>
      </c>
      <c r="G3240" s="4" t="s">
        <v>5615</v>
      </c>
    </row>
    <row r="3241">
      <c r="A3241" s="1">
        <v>3239.0</v>
      </c>
      <c r="B3241" s="4" t="s">
        <v>5553</v>
      </c>
      <c r="C3241" s="4" t="str">
        <f>IFERROR(__xludf.DUMMYFUNCTION("GOOGLETRANSLATE(D:D,""auto"",""en"")"),"Liu Bo Xin respond hum roll")</f>
        <v>Liu Bo Xin respond hum roll</v>
      </c>
      <c r="D3241" s="4" t="s">
        <v>5396</v>
      </c>
      <c r="E3241" s="4">
        <v>6888768.0</v>
      </c>
      <c r="F3241" s="4">
        <v>40.0</v>
      </c>
      <c r="G3241" s="4" t="s">
        <v>5397</v>
      </c>
    </row>
    <row r="3242">
      <c r="A3242" s="1">
        <v>3240.0</v>
      </c>
      <c r="B3242" s="4" t="s">
        <v>5553</v>
      </c>
      <c r="C3242" s="4" t="str">
        <f>IFERROR(__xludf.DUMMYFUNCTION("GOOGLETRANSLATE(D:D,""auto"",""en"")"),"Olympic opening ceremony to encourage men and women to send two delegations standard-bearer")</f>
        <v>Olympic opening ceremony to encourage men and women to send two delegations standard-bearer</v>
      </c>
      <c r="D3242" s="4" t="s">
        <v>5616</v>
      </c>
      <c r="E3242" s="4">
        <v>6862094.0</v>
      </c>
      <c r="F3242" s="4">
        <v>41.0</v>
      </c>
      <c r="G3242" s="4" t="s">
        <v>5617</v>
      </c>
    </row>
    <row r="3243">
      <c r="A3243" s="1">
        <v>3241.0</v>
      </c>
      <c r="B3243" s="4" t="s">
        <v>5553</v>
      </c>
      <c r="C3243" s="4" t="str">
        <f>IFERROR(__xludf.DUMMYFUNCTION("GOOGLETRANSLATE(D:D,""auto"",""en"")"),"Former UN Secretary General Perez de Cuellar's death")</f>
        <v>Former UN Secretary General Perez de Cuellar's death</v>
      </c>
      <c r="D3243" s="4" t="s">
        <v>5618</v>
      </c>
      <c r="E3243" s="4">
        <v>6853597.0</v>
      </c>
      <c r="F3243" s="4">
        <v>42.0</v>
      </c>
      <c r="G3243" s="4" t="s">
        <v>5619</v>
      </c>
    </row>
    <row r="3244">
      <c r="A3244" s="1">
        <v>3242.0</v>
      </c>
      <c r="B3244" s="4" t="s">
        <v>5553</v>
      </c>
      <c r="C3244" s="4" t="str">
        <f>IFERROR(__xludf.DUMMYFUNCTION("GOOGLETRANSLATE(D:D,""auto"",""en"")"),"China to take back more than 1,300 Chinese citizens stranded abroad")</f>
        <v>China to take back more than 1,300 Chinese citizens stranded abroad</v>
      </c>
      <c r="D3244" s="4" t="s">
        <v>5620</v>
      </c>
      <c r="E3244" s="4">
        <v>6810103.0</v>
      </c>
      <c r="F3244" s="4">
        <v>43.0</v>
      </c>
      <c r="G3244" s="4" t="s">
        <v>5621</v>
      </c>
    </row>
    <row r="3245">
      <c r="A3245" s="1">
        <v>3243.0</v>
      </c>
      <c r="B3245" s="4" t="s">
        <v>5553</v>
      </c>
      <c r="C3245" s="4" t="str">
        <f>IFERROR(__xludf.DUMMYFUNCTION("GOOGLETRANSLATE(D:D,""auto"",""en"")"),"Shelter hospital said 10-year-old boy is too boring")</f>
        <v>Shelter hospital said 10-year-old boy is too boring</v>
      </c>
      <c r="D3245" s="4" t="s">
        <v>5622</v>
      </c>
      <c r="E3245" s="4">
        <v>6786358.0</v>
      </c>
      <c r="F3245" s="4">
        <v>44.0</v>
      </c>
      <c r="G3245" s="4" t="s">
        <v>5623</v>
      </c>
    </row>
    <row r="3246">
      <c r="A3246" s="1">
        <v>3244.0</v>
      </c>
      <c r="B3246" s="4" t="s">
        <v>5553</v>
      </c>
      <c r="C3246" s="4" t="str">
        <f>IFERROR(__xludf.DUMMYFUNCTION("GOOGLETRANSLATE(D:D,""auto"",""en"")"),"Chen Qi Yu Yu Bin lip-challenge")</f>
        <v>Chen Qi Yu Yu Bin lip-challenge</v>
      </c>
      <c r="D3246" s="4" t="s">
        <v>5624</v>
      </c>
      <c r="E3246" s="4">
        <v>6766742.0</v>
      </c>
      <c r="F3246" s="4">
        <v>45.0</v>
      </c>
      <c r="G3246" s="4" t="s">
        <v>5625</v>
      </c>
    </row>
    <row r="3247">
      <c r="A3247" s="1">
        <v>3245.0</v>
      </c>
      <c r="B3247" s="4" t="s">
        <v>5553</v>
      </c>
      <c r="C3247" s="4" t="str">
        <f>IFERROR(__xludf.DUMMYFUNCTION("GOOGLETRANSLATE(D:D,""auto"",""en"")"),"South Korea's new crown pneumonia rose to 5766 people")</f>
        <v>South Korea's new crown pneumonia rose to 5766 people</v>
      </c>
      <c r="D3247" s="4" t="s">
        <v>5626</v>
      </c>
      <c r="E3247" s="4">
        <v>6765070.0</v>
      </c>
      <c r="F3247" s="4">
        <v>46.0</v>
      </c>
      <c r="G3247" s="4" t="s">
        <v>5627</v>
      </c>
    </row>
    <row r="3248">
      <c r="A3248" s="1">
        <v>3246.0</v>
      </c>
      <c r="B3248" s="4" t="s">
        <v>5553</v>
      </c>
      <c r="C3248" s="4" t="str">
        <f>IFERROR(__xludf.DUMMYFUNCTION("GOOGLETRANSLATE(D:D,""auto"",""en"")"),"Wuhan, a new crown pneumonia patients after discharge from hospital death")</f>
        <v>Wuhan, a new crown pneumonia patients after discharge from hospital death</v>
      </c>
      <c r="D3248" s="4" t="s">
        <v>5628</v>
      </c>
      <c r="E3248" s="4">
        <v>6764921.0</v>
      </c>
      <c r="F3248" s="4">
        <v>47.0</v>
      </c>
      <c r="G3248" s="4" t="s">
        <v>5629</v>
      </c>
    </row>
    <row r="3249">
      <c r="A3249" s="1">
        <v>3247.0</v>
      </c>
      <c r="B3249" s="4" t="s">
        <v>5553</v>
      </c>
      <c r="C3249" s="4" t="str">
        <f>IFERROR(__xludf.DUMMYFUNCTION("GOOGLETRANSLATE(D:D,""auto"",""en"")"),"Huang Zi Jiao Summer Meng married")</f>
        <v>Huang Zi Jiao Summer Meng married</v>
      </c>
      <c r="D3249" s="4" t="s">
        <v>5630</v>
      </c>
      <c r="E3249" s="4">
        <v>6583500.0</v>
      </c>
      <c r="F3249" s="4">
        <v>48.0</v>
      </c>
      <c r="G3249" s="4" t="s">
        <v>5631</v>
      </c>
    </row>
    <row r="3250">
      <c r="A3250" s="1">
        <v>3248.0</v>
      </c>
      <c r="B3250" s="4" t="s">
        <v>5553</v>
      </c>
      <c r="C3250" s="4" t="str">
        <f>IFERROR(__xludf.DUMMYFUNCTION("GOOGLETRANSLATE(D:D,""auto"",""en"")"),"Ada filter under vibrato")</f>
        <v>Ada filter under vibrato</v>
      </c>
      <c r="D3250" s="4" t="s">
        <v>5477</v>
      </c>
      <c r="E3250" s="4">
        <v>6582547.0</v>
      </c>
      <c r="F3250" s="4">
        <v>49.0</v>
      </c>
      <c r="G3250" s="4" t="s">
        <v>5478</v>
      </c>
    </row>
    <row r="3251">
      <c r="A3251" s="1">
        <v>3249.0</v>
      </c>
      <c r="B3251" s="4" t="s">
        <v>5553</v>
      </c>
      <c r="C3251" s="4" t="str">
        <f>IFERROR(__xludf.DUMMYFUNCTION("GOOGLETRANSLATE(D:D,""auto"",""en"")"),"Heard the explosion laughed girls to settle a Turkey")</f>
        <v>Heard the explosion laughed girls to settle a Turkey</v>
      </c>
      <c r="D3251" s="4" t="s">
        <v>5632</v>
      </c>
      <c r="E3251" s="4">
        <v>6553190.0</v>
      </c>
      <c r="F3251" s="4">
        <v>50.0</v>
      </c>
      <c r="G3251" s="4" t="s">
        <v>5633</v>
      </c>
    </row>
    <row r="3252">
      <c r="A3252" s="1">
        <v>3250.0</v>
      </c>
      <c r="B3252" s="4" t="s">
        <v>5634</v>
      </c>
      <c r="C3252" s="4" t="str">
        <f>IFERROR(__xludf.DUMMYFUNCTION("GOOGLETRANSLATE(D:D,""auto"",""en"")"),"Zhang Weili's first UFC title defense")</f>
        <v>Zhang Weili's first UFC title defense</v>
      </c>
      <c r="D3252" s="4" t="s">
        <v>5635</v>
      </c>
      <c r="E3252" s="4">
        <v>1.1511032E7</v>
      </c>
      <c r="F3252" s="4">
        <v>1.0</v>
      </c>
      <c r="G3252" s="4" t="s">
        <v>5636</v>
      </c>
    </row>
    <row r="3253">
      <c r="A3253" s="1">
        <v>3251.0</v>
      </c>
      <c r="B3253" s="4" t="s">
        <v>5634</v>
      </c>
      <c r="C3253" s="4" t="str">
        <f>IFERROR(__xludf.DUMMYFUNCTION("GOOGLETRANSLATE(D:D,""auto"",""en"")"),"Shoelace transfiguration")</f>
        <v>Shoelace transfiguration</v>
      </c>
      <c r="D3253" s="4" t="s">
        <v>5637</v>
      </c>
      <c r="E3253" s="4">
        <v>1.1142853E7</v>
      </c>
      <c r="F3253" s="4">
        <v>2.0</v>
      </c>
      <c r="G3253" s="4" t="s">
        <v>5638</v>
      </c>
    </row>
    <row r="3254">
      <c r="A3254" s="1">
        <v>3252.0</v>
      </c>
      <c r="B3254" s="4" t="s">
        <v>5634</v>
      </c>
      <c r="C3254" s="4" t="str">
        <f>IFERROR(__xludf.DUMMYFUNCTION("GOOGLETRANSLATE(D:D,""auto"",""en"")"),"13-year-old ran away from home because of being scolded by his father")</f>
        <v>13-year-old ran away from home because of being scolded by his father</v>
      </c>
      <c r="D3254" s="4" t="s">
        <v>5639</v>
      </c>
      <c r="E3254" s="4">
        <v>9978982.0</v>
      </c>
      <c r="F3254" s="4">
        <v>3.0</v>
      </c>
      <c r="G3254" s="4" t="s">
        <v>5640</v>
      </c>
    </row>
    <row r="3255">
      <c r="A3255" s="1">
        <v>3253.0</v>
      </c>
      <c r="B3255" s="4" t="s">
        <v>5634</v>
      </c>
      <c r="C3255" s="4" t="str">
        <f>IFERROR(__xludf.DUMMYFUNCTION("GOOGLETRANSLATE(D:D,""auto"",""en"")"),"Foreign guy talk show China fight against SARS")</f>
        <v>Foreign guy talk show China fight against SARS</v>
      </c>
      <c r="D3255" s="4" t="s">
        <v>5641</v>
      </c>
      <c r="E3255" s="4">
        <v>8056188.0</v>
      </c>
      <c r="F3255" s="4">
        <v>4.0</v>
      </c>
      <c r="G3255" s="4" t="s">
        <v>5642</v>
      </c>
    </row>
    <row r="3256">
      <c r="A3256" s="1">
        <v>3254.0</v>
      </c>
      <c r="B3256" s="4" t="s">
        <v>5634</v>
      </c>
      <c r="C3256" s="4" t="str">
        <f>IFERROR(__xludf.DUMMYFUNCTION("GOOGLETRANSLATE(D:D,""auto"",""en"")"),"Dilly Reba crying play Soundtrack")</f>
        <v>Dilly Reba crying play Soundtrack</v>
      </c>
      <c r="D3256" s="4" t="s">
        <v>5643</v>
      </c>
      <c r="E3256" s="4">
        <v>7934345.0</v>
      </c>
      <c r="F3256" s="4">
        <v>5.0</v>
      </c>
      <c r="G3256" s="4" t="s">
        <v>5644</v>
      </c>
    </row>
    <row r="3257">
      <c r="A3257" s="1">
        <v>3255.0</v>
      </c>
      <c r="B3257" s="4" t="s">
        <v>5634</v>
      </c>
      <c r="C3257" s="4" t="str">
        <f>IFERROR(__xludf.DUMMYFUNCTION("GOOGLETRANSLATE(D:D,""auto"",""en"")"),"Southern Medical Jian Shaan suspects were arrested")</f>
        <v>Southern Medical Jian Shaan suspects were arrested</v>
      </c>
      <c r="D3257" s="4" t="s">
        <v>5645</v>
      </c>
      <c r="E3257" s="4">
        <v>7878276.0</v>
      </c>
      <c r="F3257" s="4">
        <v>6.0</v>
      </c>
      <c r="G3257" s="4" t="s">
        <v>5646</v>
      </c>
    </row>
    <row r="3258">
      <c r="A3258" s="1">
        <v>3256.0</v>
      </c>
      <c r="B3258" s="4" t="s">
        <v>5634</v>
      </c>
      <c r="C3258" s="4" t="str">
        <f>IFERROR(__xludf.DUMMYFUNCTION("GOOGLETRANSLATE(D:D,""auto"",""en"")"),"Secret inactivated first real appearance of new viruses crown")</f>
        <v>Secret inactivated first real appearance of new viruses crown</v>
      </c>
      <c r="D3258" s="4" t="s">
        <v>5647</v>
      </c>
      <c r="E3258" s="4">
        <v>7860757.0</v>
      </c>
      <c r="F3258" s="4">
        <v>7.0</v>
      </c>
      <c r="G3258" s="4" t="s">
        <v>5648</v>
      </c>
    </row>
    <row r="3259">
      <c r="A3259" s="1">
        <v>3257.0</v>
      </c>
      <c r="B3259" s="4" t="s">
        <v>5634</v>
      </c>
      <c r="C3259" s="4" t="str">
        <f>IFERROR(__xludf.DUMMYFUNCTION("GOOGLETRANSLATE(D:D,""auto"",""en"")"),"Waiters joining the Lakers")</f>
        <v>Waiters joining the Lakers</v>
      </c>
      <c r="D3259" s="4" t="s">
        <v>5649</v>
      </c>
      <c r="E3259" s="4">
        <v>7778512.0</v>
      </c>
      <c r="F3259" s="4">
        <v>8.0</v>
      </c>
      <c r="G3259" s="4" t="s">
        <v>5650</v>
      </c>
    </row>
    <row r="3260">
      <c r="A3260" s="1">
        <v>3258.0</v>
      </c>
      <c r="B3260" s="4" t="s">
        <v>5634</v>
      </c>
      <c r="C3260" s="4" t="str">
        <f>IFERROR(__xludf.DUMMYFUNCTION("GOOGLETRANSLATE(D:D,""auto"",""en"")"),"Miss a white ready to go abroad")</f>
        <v>Miss a white ready to go abroad</v>
      </c>
      <c r="D3260" s="4" t="s">
        <v>5651</v>
      </c>
      <c r="E3260" s="4">
        <v>7631808.0</v>
      </c>
      <c r="F3260" s="4">
        <v>9.0</v>
      </c>
      <c r="G3260" s="4" t="s">
        <v>5652</v>
      </c>
    </row>
    <row r="3261">
      <c r="A3261" s="1">
        <v>3259.0</v>
      </c>
      <c r="B3261" s="4" t="s">
        <v>5634</v>
      </c>
      <c r="C3261" s="4" t="str">
        <f>IFERROR(__xludf.DUMMYFUNCTION("GOOGLETRANSLATE(D:D,""auto"",""en"")"),"Saipan")</f>
        <v>Saipan</v>
      </c>
      <c r="D3261" s="4" t="s">
        <v>5471</v>
      </c>
      <c r="E3261" s="4">
        <v>7408453.0</v>
      </c>
      <c r="F3261" s="4">
        <v>10.0</v>
      </c>
      <c r="G3261" s="4" t="s">
        <v>5472</v>
      </c>
    </row>
    <row r="3262">
      <c r="A3262" s="1">
        <v>3260.0</v>
      </c>
      <c r="B3262" s="4" t="s">
        <v>5634</v>
      </c>
      <c r="C3262" s="4" t="str">
        <f>IFERROR(__xludf.DUMMYFUNCTION("GOOGLETRANSLATE(D:D,""auto"",""en"")"),"Wang Junkai our band poster")</f>
        <v>Wang Junkai our band poster</v>
      </c>
      <c r="D3262" s="4" t="s">
        <v>5566</v>
      </c>
      <c r="E3262" s="4">
        <v>7339241.0</v>
      </c>
      <c r="F3262" s="4">
        <v>11.0</v>
      </c>
      <c r="G3262" s="4" t="s">
        <v>5567</v>
      </c>
    </row>
    <row r="3263">
      <c r="A3263" s="1">
        <v>3261.0</v>
      </c>
      <c r="B3263" s="4" t="s">
        <v>5634</v>
      </c>
      <c r="C3263" s="4" t="str">
        <f>IFERROR(__xludf.DUMMYFUNCTION("GOOGLETRANSLATE(D:D,""auto"",""en"")"),"The national total of 80,552 cases of pneumonia diagnosed with the new crown")</f>
        <v>The national total of 80,552 cases of pneumonia diagnosed with the new crown</v>
      </c>
      <c r="D3263" s="4" t="s">
        <v>5653</v>
      </c>
      <c r="E3263" s="4">
        <v>7304866.0</v>
      </c>
      <c r="F3263" s="4">
        <v>12.0</v>
      </c>
      <c r="G3263" s="4" t="s">
        <v>5654</v>
      </c>
    </row>
    <row r="3264">
      <c r="A3264" s="1">
        <v>3262.0</v>
      </c>
      <c r="B3264" s="4" t="s">
        <v>5634</v>
      </c>
      <c r="C3264" s="4" t="str">
        <f>IFERROR(__xludf.DUMMYFUNCTION("GOOGLETRANSLATE(D:D,""auto"",""en"")"),"9-year-old girl was discharged Leibie staff")</f>
        <v>9-year-old girl was discharged Leibie staff</v>
      </c>
      <c r="D3264" s="4" t="s">
        <v>5570</v>
      </c>
      <c r="E3264" s="4">
        <v>7270119.0</v>
      </c>
      <c r="F3264" s="4">
        <v>13.0</v>
      </c>
      <c r="G3264" s="4" t="s">
        <v>5571</v>
      </c>
    </row>
    <row r="3265">
      <c r="A3265" s="1">
        <v>3263.0</v>
      </c>
      <c r="B3265" s="4" t="s">
        <v>5634</v>
      </c>
      <c r="C3265" s="4" t="str">
        <f>IFERROR(__xludf.DUMMYFUNCTION("GOOGLETRANSLATE(D:D,""auto"",""en"")"),"Curry comeback")</f>
        <v>Curry comeback</v>
      </c>
      <c r="D3265" s="4" t="s">
        <v>5655</v>
      </c>
      <c r="E3265" s="4">
        <v>7246916.0</v>
      </c>
      <c r="F3265" s="4">
        <v>14.0</v>
      </c>
      <c r="G3265" s="4" t="s">
        <v>5656</v>
      </c>
    </row>
    <row r="3266">
      <c r="A3266" s="1">
        <v>3264.0</v>
      </c>
      <c r="B3266" s="4" t="s">
        <v>5634</v>
      </c>
      <c r="C3266" s="4" t="str">
        <f>IFERROR(__xludf.DUMMYFUNCTION("GOOGLETRANSLATE(D:D,""auto"",""en"")"),"Italy confirmed cases rose to 3858 cases")</f>
        <v>Italy confirmed cases rose to 3858 cases</v>
      </c>
      <c r="D3266" s="4" t="s">
        <v>5657</v>
      </c>
      <c r="E3266" s="4">
        <v>7239792.0</v>
      </c>
      <c r="F3266" s="4">
        <v>15.0</v>
      </c>
      <c r="G3266" s="4" t="s">
        <v>5658</v>
      </c>
    </row>
    <row r="3267">
      <c r="A3267" s="1">
        <v>3265.0</v>
      </c>
      <c r="B3267" s="4" t="s">
        <v>5634</v>
      </c>
      <c r="C3267" s="4" t="str">
        <f>IFERROR(__xludf.DUMMYFUNCTION("GOOGLETRANSLATE(D:D,""auto"",""en"")"),"April portion of the vaccine is expected to enter clinical")</f>
        <v>April portion of the vaccine is expected to enter clinical</v>
      </c>
      <c r="D3267" s="4" t="s">
        <v>5659</v>
      </c>
      <c r="E3267" s="4">
        <v>7215900.0</v>
      </c>
      <c r="F3267" s="4">
        <v>16.0</v>
      </c>
      <c r="G3267" s="4" t="s">
        <v>5660</v>
      </c>
    </row>
    <row r="3268">
      <c r="A3268" s="1">
        <v>3266.0</v>
      </c>
      <c r="B3268" s="4" t="s">
        <v>5634</v>
      </c>
      <c r="C3268" s="4" t="str">
        <f>IFERROR(__xludf.DUMMYFUNCTION("GOOGLETRANSLATE(D:D,""auto"",""en"")"),"Strong because of love")</f>
        <v>Strong because of love</v>
      </c>
      <c r="D3268" s="4" t="s">
        <v>5661</v>
      </c>
      <c r="E3268" s="4">
        <v>7208470.0</v>
      </c>
      <c r="F3268" s="4">
        <v>17.0</v>
      </c>
      <c r="G3268" s="4" t="s">
        <v>5662</v>
      </c>
    </row>
    <row r="3269">
      <c r="A3269" s="1">
        <v>3267.0</v>
      </c>
      <c r="B3269" s="4" t="s">
        <v>5634</v>
      </c>
      <c r="C3269" s="4" t="str">
        <f>IFERROR(__xludf.DUMMYFUNCTION("GOOGLETRANSLATE(D:D,""auto"",""en"")"),"Xu Kai fans to name Alaso")</f>
        <v>Xu Kai fans to name Alaso</v>
      </c>
      <c r="D3269" s="4" t="s">
        <v>5663</v>
      </c>
      <c r="E3269" s="4">
        <v>7208111.0</v>
      </c>
      <c r="F3269" s="4">
        <v>18.0</v>
      </c>
      <c r="G3269" s="4" t="s">
        <v>5664</v>
      </c>
    </row>
    <row r="3270">
      <c r="A3270" s="1">
        <v>3268.0</v>
      </c>
      <c r="B3270" s="4" t="s">
        <v>5634</v>
      </c>
      <c r="C3270" s="4" t="str">
        <f>IFERROR(__xludf.DUMMYFUNCTION("GOOGLETRANSLATE(D:D,""auto"",""en"")"),"Ju Jing Yi winter")</f>
        <v>Ju Jing Yi winter</v>
      </c>
      <c r="D3270" s="4" t="s">
        <v>5665</v>
      </c>
      <c r="E3270" s="4">
        <v>7206738.0</v>
      </c>
      <c r="F3270" s="4">
        <v>19.0</v>
      </c>
      <c r="G3270" s="4" t="s">
        <v>5666</v>
      </c>
    </row>
    <row r="3271">
      <c r="A3271" s="1">
        <v>3269.0</v>
      </c>
      <c r="B3271" s="4" t="s">
        <v>5634</v>
      </c>
      <c r="C3271" s="4" t="str">
        <f>IFERROR(__xludf.DUMMYFUNCTION("GOOGLETRANSLATE(D:D,""auto"",""en"")"),"Confirmed cases worldwide has reached 100,000 cases")</f>
        <v>Confirmed cases worldwide has reached 100,000 cases</v>
      </c>
      <c r="D3271" s="4" t="s">
        <v>5667</v>
      </c>
      <c r="E3271" s="4">
        <v>7204905.0</v>
      </c>
      <c r="F3271" s="4">
        <v>20.0</v>
      </c>
      <c r="G3271" s="4" t="s">
        <v>5668</v>
      </c>
    </row>
    <row r="3272">
      <c r="A3272" s="1">
        <v>3270.0</v>
      </c>
      <c r="B3272" s="4" t="s">
        <v>5634</v>
      </c>
      <c r="C3272" s="4" t="str">
        <f>IFERROR(__xludf.DUMMYFUNCTION("GOOGLETRANSLATE(D:D,""auto"",""en"")"),"Chen Yao played many corners")</f>
        <v>Chen Yao played many corners</v>
      </c>
      <c r="D3272" s="4" t="s">
        <v>5669</v>
      </c>
      <c r="E3272" s="4">
        <v>7183197.0</v>
      </c>
      <c r="F3272" s="4">
        <v>21.0</v>
      </c>
      <c r="G3272" s="4" t="s">
        <v>5670</v>
      </c>
    </row>
    <row r="3273">
      <c r="A3273" s="1">
        <v>3271.0</v>
      </c>
      <c r="B3273" s="4" t="s">
        <v>5634</v>
      </c>
      <c r="C3273" s="4" t="str">
        <f>IFERROR(__xludf.DUMMYFUNCTION("GOOGLETRANSLATE(D:D,""auto"",""en"")"),"Joe Chen Allen's sweet")</f>
        <v>Joe Chen Allen's sweet</v>
      </c>
      <c r="D3273" s="4" t="s">
        <v>5602</v>
      </c>
      <c r="E3273" s="4">
        <v>7105536.0</v>
      </c>
      <c r="F3273" s="4">
        <v>22.0</v>
      </c>
      <c r="G3273" s="4" t="s">
        <v>5603</v>
      </c>
    </row>
    <row r="3274">
      <c r="A3274" s="1">
        <v>3272.0</v>
      </c>
      <c r="B3274" s="4" t="s">
        <v>5634</v>
      </c>
      <c r="C3274" s="4" t="str">
        <f>IFERROR(__xludf.DUMMYFUNCTION("GOOGLETRANSLATE(D:D,""auto"",""en"")"),"Add 17 cases of pneumonia foreign Gansu enter a new crown")</f>
        <v>Add 17 cases of pneumonia foreign Gansu enter a new crown</v>
      </c>
      <c r="D3274" s="4" t="s">
        <v>5671</v>
      </c>
      <c r="E3274" s="4">
        <v>7091769.0</v>
      </c>
      <c r="F3274" s="4">
        <v>23.0</v>
      </c>
      <c r="G3274" s="4" t="s">
        <v>5672</v>
      </c>
    </row>
    <row r="3275">
      <c r="A3275" s="1">
        <v>3273.0</v>
      </c>
      <c r="B3275" s="4" t="s">
        <v>5634</v>
      </c>
      <c r="C3275" s="4" t="str">
        <f>IFERROR(__xludf.DUMMYFUNCTION("GOOGLETRANSLATE(D:D,""auto"",""en"")"),"Aunt May is 15 years trafficked children found")</f>
        <v>Aunt May is 15 years trafficked children found</v>
      </c>
      <c r="D3275" s="4" t="s">
        <v>5673</v>
      </c>
      <c r="E3275" s="4">
        <v>7091081.0</v>
      </c>
      <c r="F3275" s="4">
        <v>24.0</v>
      </c>
      <c r="G3275" s="4" t="s">
        <v>5674</v>
      </c>
    </row>
    <row r="3276">
      <c r="A3276" s="1">
        <v>3274.0</v>
      </c>
      <c r="B3276" s="4" t="s">
        <v>5634</v>
      </c>
      <c r="C3276" s="4" t="str">
        <f>IFERROR(__xludf.DUMMYFUNCTION("GOOGLETRANSLATE(D:D,""auto"",""en"")"),"Vulcan Hill Hospital cumulative cure patients with broken one thousand")</f>
        <v>Vulcan Hill Hospital cumulative cure patients with broken one thousand</v>
      </c>
      <c r="D3276" s="4" t="s">
        <v>5675</v>
      </c>
      <c r="E3276" s="4">
        <v>7076914.0</v>
      </c>
      <c r="F3276" s="4">
        <v>25.0</v>
      </c>
      <c r="G3276" s="4" t="s">
        <v>5676</v>
      </c>
    </row>
    <row r="3277">
      <c r="A3277" s="1">
        <v>3275.0</v>
      </c>
      <c r="B3277" s="4" t="s">
        <v>5634</v>
      </c>
      <c r="C3277" s="4" t="str">
        <f>IFERROR(__xludf.DUMMYFUNCTION("GOOGLETRANSLATE(D:D,""auto"",""en"")"),"In addition to the new Hubei Wuhan cleared")</f>
        <v>In addition to the new Hubei Wuhan cleared</v>
      </c>
      <c r="D3277" s="4" t="s">
        <v>5677</v>
      </c>
      <c r="E3277" s="4">
        <v>7071487.0</v>
      </c>
      <c r="F3277" s="4">
        <v>26.0</v>
      </c>
      <c r="G3277" s="4" t="s">
        <v>5678</v>
      </c>
    </row>
    <row r="3278">
      <c r="A3278" s="1">
        <v>3276.0</v>
      </c>
      <c r="B3278" s="4" t="s">
        <v>5634</v>
      </c>
      <c r="C3278" s="4" t="str">
        <f>IFERROR(__xludf.DUMMYFUNCTION("GOOGLETRANSLATE(D:D,""auto"",""en"")"),"Beijing new cases of four cases of foreign input")</f>
        <v>Beijing new cases of four cases of foreign input</v>
      </c>
      <c r="D3278" s="4" t="s">
        <v>5679</v>
      </c>
      <c r="E3278" s="4">
        <v>7068993.0</v>
      </c>
      <c r="F3278" s="4">
        <v>27.0</v>
      </c>
      <c r="G3278" s="4" t="s">
        <v>5680</v>
      </c>
    </row>
    <row r="3279">
      <c r="A3279" s="1">
        <v>3277.0</v>
      </c>
      <c r="B3279" s="4" t="s">
        <v>5634</v>
      </c>
      <c r="C3279" s="4" t="str">
        <f>IFERROR(__xludf.DUMMYFUNCTION("GOOGLETRANSLATE(D:D,""auto"",""en"")"),"Doctors for the 87-year-old patient stopped to enjoy the sunset")</f>
        <v>Doctors for the 87-year-old patient stopped to enjoy the sunset</v>
      </c>
      <c r="D3279" s="4" t="s">
        <v>5681</v>
      </c>
      <c r="E3279" s="4">
        <v>6958006.0</v>
      </c>
      <c r="F3279" s="4">
        <v>28.0</v>
      </c>
      <c r="G3279" s="4" t="s">
        <v>5682</v>
      </c>
    </row>
    <row r="3280">
      <c r="A3280" s="1">
        <v>3278.0</v>
      </c>
      <c r="B3280" s="4" t="s">
        <v>5634</v>
      </c>
      <c r="C3280" s="4" t="str">
        <f>IFERROR(__xludf.DUMMYFUNCTION("GOOGLETRANSLATE(D:D,""auto"",""en"")"),"Hubei Provincial People's Congress Jiang Chaoliang resigned from the post of Director")</f>
        <v>Hubei Provincial People's Congress Jiang Chaoliang resigned from the post of Director</v>
      </c>
      <c r="D3280" s="4" t="s">
        <v>5683</v>
      </c>
      <c r="E3280" s="4">
        <v>6955693.0</v>
      </c>
      <c r="F3280" s="4">
        <v>29.0</v>
      </c>
      <c r="G3280" s="4" t="s">
        <v>5684</v>
      </c>
    </row>
    <row r="3281">
      <c r="A3281" s="1">
        <v>3279.0</v>
      </c>
      <c r="B3281" s="4" t="s">
        <v>5634</v>
      </c>
      <c r="C3281" s="4" t="str">
        <f>IFERROR(__xludf.DUMMYFUNCTION("GOOGLETRANSLATE(D:D,""auto"",""en"")"),"Wuhan new cases are expected in late March fundamental cleared")</f>
        <v>Wuhan new cases are expected in late March fundamental cleared</v>
      </c>
      <c r="D3281" s="4" t="s">
        <v>5685</v>
      </c>
      <c r="E3281" s="4">
        <v>6950046.0</v>
      </c>
      <c r="F3281" s="4">
        <v>30.0</v>
      </c>
      <c r="G3281" s="4" t="s">
        <v>5686</v>
      </c>
    </row>
    <row r="3282">
      <c r="A3282" s="1">
        <v>3280.0</v>
      </c>
      <c r="B3282" s="4" t="s">
        <v>5634</v>
      </c>
      <c r="C3282" s="4" t="str">
        <f>IFERROR(__xludf.DUMMYFUNCTION("GOOGLETRANSLATE(D:D,""auto"",""en"")"),"House leadership is higher than the subsidy line was removed from office")</f>
        <v>House leadership is higher than the subsidy line was removed from office</v>
      </c>
      <c r="D3282" s="4" t="s">
        <v>5687</v>
      </c>
      <c r="E3282" s="4">
        <v>6949767.0</v>
      </c>
      <c r="F3282" s="4">
        <v>31.0</v>
      </c>
      <c r="G3282" s="4" t="s">
        <v>5688</v>
      </c>
    </row>
    <row r="3283">
      <c r="A3283" s="1">
        <v>3281.0</v>
      </c>
      <c r="B3283" s="4" t="s">
        <v>5634</v>
      </c>
      <c r="C3283" s="4" t="str">
        <f>IFERROR(__xludf.DUMMYFUNCTION("GOOGLETRANSLATE(D:D,""auto"",""en"")"),"Italy Piacenza mayor confirmed")</f>
        <v>Italy Piacenza mayor confirmed</v>
      </c>
      <c r="D3283" s="4" t="s">
        <v>5689</v>
      </c>
      <c r="E3283" s="4">
        <v>6948600.0</v>
      </c>
      <c r="F3283" s="4">
        <v>32.0</v>
      </c>
      <c r="G3283" s="4" t="s">
        <v>5690</v>
      </c>
    </row>
    <row r="3284">
      <c r="A3284" s="1">
        <v>3282.0</v>
      </c>
      <c r="B3284" s="4" t="s">
        <v>5634</v>
      </c>
      <c r="C3284" s="4" t="str">
        <f>IFERROR(__xludf.DUMMYFUNCTION("GOOGLETRANSLATE(D:D,""auto"",""en"")"),"Iranian Speaker adviser died of pneumonia because of the new crown")</f>
        <v>Iranian Speaker adviser died of pneumonia because of the new crown</v>
      </c>
      <c r="D3284" s="4" t="s">
        <v>5691</v>
      </c>
      <c r="E3284" s="4">
        <v>6946587.0</v>
      </c>
      <c r="F3284" s="4">
        <v>33.0</v>
      </c>
      <c r="G3284" s="4" t="s">
        <v>5692</v>
      </c>
    </row>
    <row r="3285">
      <c r="A3285" s="1">
        <v>3283.0</v>
      </c>
      <c r="B3285" s="4" t="s">
        <v>5634</v>
      </c>
      <c r="C3285" s="4" t="str">
        <f>IFERROR(__xludf.DUMMYFUNCTION("GOOGLETRANSLATE(D:D,""auto"",""en"")"),"Britain first case of deaths")</f>
        <v>Britain first case of deaths</v>
      </c>
      <c r="D3285" s="4" t="s">
        <v>5693</v>
      </c>
      <c r="E3285" s="4">
        <v>6946218.0</v>
      </c>
      <c r="F3285" s="4">
        <v>34.0</v>
      </c>
      <c r="G3285" s="4" t="s">
        <v>5694</v>
      </c>
    </row>
    <row r="3286">
      <c r="A3286" s="1">
        <v>3284.0</v>
      </c>
      <c r="B3286" s="4" t="s">
        <v>5634</v>
      </c>
      <c r="C3286" s="4" t="str">
        <f>IFERROR(__xludf.DUMMYFUNCTION("GOOGLETRANSLATE(D:D,""auto"",""en"")"),"South Korea's new crown increased to 6284 cases of pneumonia")</f>
        <v>South Korea's new crown increased to 6284 cases of pneumonia</v>
      </c>
      <c r="D3286" s="4" t="s">
        <v>5695</v>
      </c>
      <c r="E3286" s="4">
        <v>6946218.0</v>
      </c>
      <c r="F3286" s="4">
        <v>35.0</v>
      </c>
      <c r="G3286" s="4" t="s">
        <v>5696</v>
      </c>
    </row>
    <row r="3287">
      <c r="A3287" s="1">
        <v>3285.0</v>
      </c>
      <c r="B3287" s="4" t="s">
        <v>5634</v>
      </c>
      <c r="C3287" s="4" t="str">
        <f>IFERROR(__xludf.DUMMYFUNCTION("GOOGLETRANSLATE(D:D,""auto"",""en"")"),"China Overseas 78 countries a total of 17,637 cases diagnosed")</f>
        <v>China Overseas 78 countries a total of 17,637 cases diagnosed</v>
      </c>
      <c r="D3287" s="4" t="s">
        <v>5697</v>
      </c>
      <c r="E3287" s="4">
        <v>6946217.0</v>
      </c>
      <c r="F3287" s="4">
        <v>36.0</v>
      </c>
      <c r="G3287" s="4" t="s">
        <v>5698</v>
      </c>
    </row>
    <row r="3288">
      <c r="A3288" s="1">
        <v>3286.0</v>
      </c>
      <c r="B3288" s="4" t="s">
        <v>5634</v>
      </c>
      <c r="C3288" s="4" t="str">
        <f>IFERROR(__xludf.DUMMYFUNCTION("GOOGLETRANSLATE(D:D,""auto"",""en"")"),"Return 0 new confirmed cases in Sichuan")</f>
        <v>Return 0 new confirmed cases in Sichuan</v>
      </c>
      <c r="D3288" s="4" t="s">
        <v>5699</v>
      </c>
      <c r="E3288" s="4">
        <v>6946217.0</v>
      </c>
      <c r="F3288" s="4">
        <v>37.0</v>
      </c>
      <c r="G3288" s="4" t="s">
        <v>5700</v>
      </c>
    </row>
    <row r="3289">
      <c r="A3289" s="1">
        <v>3287.0</v>
      </c>
      <c r="B3289" s="4" t="s">
        <v>5634</v>
      </c>
      <c r="C3289" s="4" t="str">
        <f>IFERROR(__xludf.DUMMYFUNCTION("GOOGLETRANSLATE(D:D,""auto"",""en"")"),"German crown new confirmed cases rose to 500 cases of pneumonia")</f>
        <v>German crown new confirmed cases rose to 500 cases of pneumonia</v>
      </c>
      <c r="D3289" s="4" t="s">
        <v>5701</v>
      </c>
      <c r="E3289" s="4">
        <v>6946217.0</v>
      </c>
      <c r="F3289" s="4">
        <v>38.0</v>
      </c>
      <c r="G3289" s="4" t="s">
        <v>5702</v>
      </c>
    </row>
    <row r="3290">
      <c r="A3290" s="1">
        <v>3288.0</v>
      </c>
      <c r="B3290" s="4" t="s">
        <v>5634</v>
      </c>
      <c r="C3290" s="4" t="str">
        <f>IFERROR(__xludf.DUMMYFUNCTION("GOOGLETRANSLATE(D:D,""auto"",""en"")"),"More than half of the provinces allow temperature backward district courier")</f>
        <v>More than half of the provinces allow temperature backward district courier</v>
      </c>
      <c r="D3290" s="4" t="s">
        <v>5703</v>
      </c>
      <c r="E3290" s="4">
        <v>6925296.0</v>
      </c>
      <c r="F3290" s="4">
        <v>39.0</v>
      </c>
      <c r="G3290" s="4" t="s">
        <v>5704</v>
      </c>
    </row>
    <row r="3291">
      <c r="A3291" s="1">
        <v>3289.0</v>
      </c>
      <c r="B3291" s="4" t="s">
        <v>5634</v>
      </c>
      <c r="C3291" s="4" t="str">
        <f>IFERROR(__xludf.DUMMYFUNCTION("GOOGLETRANSLATE(D:D,""auto"",""en"")"),"Xiao Zhan Wang Yibo discuss scenes")</f>
        <v>Xiao Zhan Wang Yibo discuss scenes</v>
      </c>
      <c r="D3291" s="4" t="s">
        <v>5600</v>
      </c>
      <c r="E3291" s="4">
        <v>6906231.0</v>
      </c>
      <c r="F3291" s="4">
        <v>40.0</v>
      </c>
      <c r="G3291" s="4" t="s">
        <v>5601</v>
      </c>
    </row>
    <row r="3292">
      <c r="A3292" s="1">
        <v>3290.0</v>
      </c>
      <c r="B3292" s="4" t="s">
        <v>5634</v>
      </c>
      <c r="C3292" s="4" t="str">
        <f>IFERROR(__xludf.DUMMYFUNCTION("GOOGLETRANSLATE(D:D,""auto"",""en"")"),"Beijing 827000 home back to Beijing personnel are observed")</f>
        <v>Beijing 827000 home back to Beijing personnel are observed</v>
      </c>
      <c r="D3292" s="4" t="s">
        <v>5705</v>
      </c>
      <c r="E3292" s="4">
        <v>6900086.0</v>
      </c>
      <c r="F3292" s="4">
        <v>41.0</v>
      </c>
      <c r="G3292" s="4" t="s">
        <v>5706</v>
      </c>
    </row>
    <row r="3293">
      <c r="A3293" s="1">
        <v>3291.0</v>
      </c>
      <c r="B3293" s="4" t="s">
        <v>5634</v>
      </c>
      <c r="C3293" s="4" t="str">
        <f>IFERROR(__xludf.DUMMYFUNCTION("GOOGLETRANSLATE(D:D,""auto"",""en"")"),"Guo innocent love song")</f>
        <v>Guo innocent love song</v>
      </c>
      <c r="D3293" s="4" t="s">
        <v>5568</v>
      </c>
      <c r="E3293" s="4">
        <v>6890253.0</v>
      </c>
      <c r="F3293" s="4">
        <v>42.0</v>
      </c>
      <c r="G3293" s="4" t="s">
        <v>5569</v>
      </c>
    </row>
    <row r="3294">
      <c r="A3294" s="1">
        <v>3292.0</v>
      </c>
      <c r="B3294" s="4" t="s">
        <v>5634</v>
      </c>
      <c r="C3294" s="4" t="str">
        <f>IFERROR(__xludf.DUMMYFUNCTION("GOOGLETRANSLATE(D:D,""auto"",""en"")"),"Saipan found")</f>
        <v>Saipan found</v>
      </c>
      <c r="D3294" s="4" t="s">
        <v>5604</v>
      </c>
      <c r="E3294" s="4">
        <v>6752620.0</v>
      </c>
      <c r="F3294" s="4">
        <v>43.0</v>
      </c>
      <c r="G3294" s="4" t="s">
        <v>5605</v>
      </c>
    </row>
    <row r="3295">
      <c r="A3295" s="1">
        <v>3293.0</v>
      </c>
      <c r="B3295" s="4" t="s">
        <v>5634</v>
      </c>
      <c r="C3295" s="4" t="str">
        <f>IFERROR(__xludf.DUMMYFUNCTION("GOOGLETRANSLATE(D:D,""auto"",""en"")"),"And love beans with online courses is how an experience")</f>
        <v>And love beans with online courses is how an experience</v>
      </c>
      <c r="D3295" s="4" t="s">
        <v>5558</v>
      </c>
      <c r="E3295" s="4">
        <v>6727836.0</v>
      </c>
      <c r="F3295" s="4">
        <v>44.0</v>
      </c>
      <c r="G3295" s="4" t="s">
        <v>5559</v>
      </c>
    </row>
    <row r="3296">
      <c r="A3296" s="1">
        <v>3294.0</v>
      </c>
      <c r="B3296" s="4" t="s">
        <v>5634</v>
      </c>
      <c r="C3296" s="4" t="str">
        <f>IFERROR(__xludf.DUMMYFUNCTION("GOOGLETRANSLATE(D:D,""auto"",""en"")"),"Sansei III pillow book finale")</f>
        <v>Sansei III pillow book finale</v>
      </c>
      <c r="D3296" s="4" t="s">
        <v>5562</v>
      </c>
      <c r="E3296" s="4">
        <v>6717086.0</v>
      </c>
      <c r="F3296" s="4">
        <v>45.0</v>
      </c>
      <c r="G3296" s="4" t="s">
        <v>5563</v>
      </c>
    </row>
    <row r="3297">
      <c r="A3297" s="1">
        <v>3295.0</v>
      </c>
      <c r="B3297" s="4" t="s">
        <v>5634</v>
      </c>
      <c r="C3297" s="4" t="str">
        <f>IFERROR(__xludf.DUMMYFUNCTION("GOOGLETRANSLATE(D:D,""auto"",""en"")"),"Vice Foreign Minister once every seven idioms")</f>
        <v>Vice Foreign Minister once every seven idioms</v>
      </c>
      <c r="D3297" s="4" t="s">
        <v>5707</v>
      </c>
      <c r="E3297" s="4">
        <v>6613922.0</v>
      </c>
      <c r="F3297" s="4">
        <v>46.0</v>
      </c>
      <c r="G3297" s="4" t="s">
        <v>5708</v>
      </c>
    </row>
    <row r="3298">
      <c r="A3298" s="1">
        <v>3296.0</v>
      </c>
      <c r="B3298" s="4" t="s">
        <v>5634</v>
      </c>
      <c r="C3298" s="4" t="str">
        <f>IFERROR(__xludf.DUMMYFUNCTION("GOOGLETRANSLATE(D:D,""auto"",""en"")"),"Li Jiaqi version came manta")</f>
        <v>Li Jiaqi version came manta</v>
      </c>
      <c r="D3298" s="4" t="s">
        <v>5578</v>
      </c>
      <c r="E3298" s="4">
        <v>6608643.0</v>
      </c>
      <c r="F3298" s="4">
        <v>47.0</v>
      </c>
      <c r="G3298" s="4" t="s">
        <v>5579</v>
      </c>
    </row>
    <row r="3299">
      <c r="A3299" s="1">
        <v>3297.0</v>
      </c>
      <c r="B3299" s="4" t="s">
        <v>5634</v>
      </c>
      <c r="C3299" s="4" t="str">
        <f>IFERROR(__xludf.DUMMYFUNCTION("GOOGLETRANSLATE(D:D,""auto"",""en"")"),"4 large monitor lizards melee rare scene")</f>
        <v>4 large monitor lizards melee rare scene</v>
      </c>
      <c r="D3299" s="4" t="s">
        <v>5709</v>
      </c>
      <c r="E3299" s="4">
        <v>6539821.0</v>
      </c>
      <c r="F3299" s="4">
        <v>48.0</v>
      </c>
      <c r="G3299" s="4" t="s">
        <v>5710</v>
      </c>
    </row>
    <row r="3300">
      <c r="A3300" s="1">
        <v>3298.0</v>
      </c>
      <c r="B3300" s="4" t="s">
        <v>5634</v>
      </c>
      <c r="C3300" s="4" t="str">
        <f>IFERROR(__xludf.DUMMYFUNCTION("GOOGLETRANSLATE(D:D,""auto"",""en"")"),"Gansu new foreign input 11 cases")</f>
        <v>Gansu new foreign input 11 cases</v>
      </c>
      <c r="D3300" s="4" t="s">
        <v>5711</v>
      </c>
      <c r="E3300" s="4">
        <v>6528674.0</v>
      </c>
      <c r="F3300" s="4">
        <v>49.0</v>
      </c>
      <c r="G3300" s="4" t="s">
        <v>5712</v>
      </c>
    </row>
    <row r="3301">
      <c r="A3301" s="1">
        <v>3299.0</v>
      </c>
      <c r="B3301" s="4" t="s">
        <v>5634</v>
      </c>
      <c r="C3301" s="4" t="str">
        <f>IFERROR(__xludf.DUMMYFUNCTION("GOOGLETRANSLATE(D:D,""auto"",""en"")"),"Wuhan residents to report to the Central Steering Group Gechuang")</f>
        <v>Wuhan residents to report to the Central Steering Group Gechuang</v>
      </c>
      <c r="D3301" s="4" t="s">
        <v>5713</v>
      </c>
      <c r="E3301" s="4">
        <v>6469409.0</v>
      </c>
      <c r="F3301" s="4">
        <v>50.0</v>
      </c>
      <c r="G3301" s="4" t="s">
        <v>5714</v>
      </c>
    </row>
    <row r="3302">
      <c r="A3302" s="1">
        <v>3300.0</v>
      </c>
      <c r="B3302" s="4" t="s">
        <v>5715</v>
      </c>
      <c r="C3302" s="4" t="str">
        <f>IFERROR(__xludf.DUMMYFUNCTION("GOOGLETRANSLATE(D:D,""auto"",""en"")"),"Procuratorial Daily Sun Yang Comment banned for eight years")</f>
        <v>Procuratorial Daily Sun Yang Comment banned for eight years</v>
      </c>
      <c r="D3302" s="4" t="s">
        <v>5716</v>
      </c>
      <c r="E3302" s="4">
        <v>1.1039944E7</v>
      </c>
      <c r="F3302" s="4">
        <v>1.0</v>
      </c>
      <c r="G3302" s="4" t="s">
        <v>5717</v>
      </c>
    </row>
    <row r="3303">
      <c r="A3303" s="1">
        <v>3301.0</v>
      </c>
      <c r="B3303" s="4" t="s">
        <v>5715</v>
      </c>
      <c r="C3303" s="4" t="str">
        <f>IFERROR(__xludf.DUMMYFUNCTION("GOOGLETRANSLATE(D:D,""auto"",""en"")"),"Huachen Yu cousin had turned down the job to the best man")</f>
        <v>Huachen Yu cousin had turned down the job to the best man</v>
      </c>
      <c r="D3303" s="4" t="s">
        <v>5718</v>
      </c>
      <c r="E3303" s="4">
        <v>1.0325205E7</v>
      </c>
      <c r="F3303" s="4">
        <v>2.0</v>
      </c>
      <c r="G3303" s="4" t="s">
        <v>5719</v>
      </c>
    </row>
    <row r="3304">
      <c r="A3304" s="1">
        <v>3302.0</v>
      </c>
      <c r="B3304" s="4" t="s">
        <v>5715</v>
      </c>
      <c r="C3304" s="4" t="str">
        <f>IFERROR(__xludf.DUMMYFUNCTION("GOOGLETRANSLATE(D:D,""auto"",""en"")"),"Shen Congqiang requirements and father came home strong")</f>
        <v>Shen Congqiang requirements and father came home strong</v>
      </c>
      <c r="D3304" s="4" t="s">
        <v>5720</v>
      </c>
      <c r="E3304" s="4">
        <v>9969598.0</v>
      </c>
      <c r="F3304" s="4">
        <v>3.0</v>
      </c>
      <c r="G3304" s="4" t="s">
        <v>5721</v>
      </c>
    </row>
    <row r="3305">
      <c r="A3305" s="1">
        <v>3303.0</v>
      </c>
      <c r="B3305" s="4" t="s">
        <v>5715</v>
      </c>
      <c r="C3305" s="4" t="str">
        <f>IFERROR(__xludf.DUMMYFUNCTION("GOOGLETRANSLATE(D:D,""auto"",""en"")"),"Super Moon")</f>
        <v>Super Moon</v>
      </c>
      <c r="D3305" s="4" t="s">
        <v>5722</v>
      </c>
      <c r="E3305" s="4">
        <v>9653397.0</v>
      </c>
      <c r="F3305" s="4">
        <v>4.0</v>
      </c>
      <c r="G3305" s="4" t="s">
        <v>5723</v>
      </c>
    </row>
    <row r="3306">
      <c r="A3306" s="1">
        <v>3304.0</v>
      </c>
      <c r="B3306" s="4" t="s">
        <v>5715</v>
      </c>
      <c r="C3306" s="4" t="str">
        <f>IFERROR(__xludf.DUMMYFUNCTION("GOOGLETRANSLATE(D:D,""auto"",""en"")"),"JiangMengJie father and daughter talk Yoon being shot")</f>
        <v>JiangMengJie father and daughter talk Yoon being shot</v>
      </c>
      <c r="D3306" s="4" t="s">
        <v>5724</v>
      </c>
      <c r="E3306" s="4">
        <v>9209495.0</v>
      </c>
      <c r="F3306" s="4">
        <v>5.0</v>
      </c>
      <c r="G3306" s="4" t="s">
        <v>5725</v>
      </c>
    </row>
    <row r="3307">
      <c r="A3307" s="1">
        <v>3305.0</v>
      </c>
      <c r="B3307" s="4" t="s">
        <v>5715</v>
      </c>
      <c r="C3307" s="4" t="str">
        <f>IFERROR(__xludf.DUMMYFUNCTION("GOOGLETRANSLATE(D:D,""auto"",""en"")"),"James said that if the empty field refusal to play")</f>
        <v>James said that if the empty field refusal to play</v>
      </c>
      <c r="D3307" s="4" t="s">
        <v>5726</v>
      </c>
      <c r="E3307" s="4">
        <v>9167658.0</v>
      </c>
      <c r="F3307" s="4">
        <v>6.0</v>
      </c>
      <c r="G3307" s="4" t="s">
        <v>5727</v>
      </c>
    </row>
    <row r="3308">
      <c r="A3308" s="1">
        <v>3306.0</v>
      </c>
      <c r="B3308" s="4" t="s">
        <v>5715</v>
      </c>
      <c r="C3308" s="4" t="str">
        <f>IFERROR(__xludf.DUMMYFUNCTION("GOOGLETRANSLATE(D:D,""auto"",""en"")"),"Shenjun Liang acknowledged family has arrived in Guangzhou")</f>
        <v>Shenjun Liang acknowledged family has arrived in Guangzhou</v>
      </c>
      <c r="D3308" s="4" t="s">
        <v>5728</v>
      </c>
      <c r="E3308" s="4">
        <v>9003044.0</v>
      </c>
      <c r="F3308" s="4">
        <v>7.0</v>
      </c>
      <c r="G3308" s="4" t="s">
        <v>5729</v>
      </c>
    </row>
    <row r="3309">
      <c r="A3309" s="1">
        <v>3307.0</v>
      </c>
      <c r="B3309" s="4" t="s">
        <v>5715</v>
      </c>
      <c r="C3309" s="4" t="str">
        <f>IFERROR(__xludf.DUMMYFUNCTION("GOOGLETRANSLATE(D:D,""auto"",""en"")"),"Zhang Weili's first UFC title defense")</f>
        <v>Zhang Weili's first UFC title defense</v>
      </c>
      <c r="D3309" s="4" t="s">
        <v>5635</v>
      </c>
      <c r="E3309" s="4">
        <v>8997903.0</v>
      </c>
      <c r="F3309" s="4">
        <v>8.0</v>
      </c>
      <c r="G3309" s="4" t="s">
        <v>5636</v>
      </c>
    </row>
    <row r="3310">
      <c r="A3310" s="1">
        <v>3308.0</v>
      </c>
      <c r="B3310" s="4" t="s">
        <v>5715</v>
      </c>
      <c r="C3310" s="4" t="str">
        <f>IFERROR(__xludf.DUMMYFUNCTION("GOOGLETRANSLATE(D:D,""auto"",""en"")"),"Dance version looking for Saipan")</f>
        <v>Dance version looking for Saipan</v>
      </c>
      <c r="D3310" s="4" t="s">
        <v>5730</v>
      </c>
      <c r="E3310" s="4">
        <v>8915962.0</v>
      </c>
      <c r="F3310" s="4">
        <v>9.0</v>
      </c>
      <c r="G3310" s="4" t="s">
        <v>5731</v>
      </c>
    </row>
    <row r="3311">
      <c r="A3311" s="1">
        <v>3309.0</v>
      </c>
      <c r="B3311" s="4" t="s">
        <v>5715</v>
      </c>
      <c r="C3311" s="4" t="str">
        <f>IFERROR(__xludf.DUMMYFUNCTION("GOOGLETRANSLATE(D:D,""auto"",""en"")"),"Dance students how the Internet is a lesson")</f>
        <v>Dance students how the Internet is a lesson</v>
      </c>
      <c r="D3311" s="4" t="s">
        <v>5732</v>
      </c>
      <c r="E3311" s="4">
        <v>8795617.0</v>
      </c>
      <c r="F3311" s="4">
        <v>10.0</v>
      </c>
      <c r="G3311" s="4" t="s">
        <v>5733</v>
      </c>
    </row>
    <row r="3312">
      <c r="A3312" s="1">
        <v>3310.0</v>
      </c>
      <c r="B3312" s="4" t="s">
        <v>5715</v>
      </c>
      <c r="C3312" s="4" t="str">
        <f>IFERROR(__xludf.DUMMYFUNCTION("GOOGLETRANSLATE(D:D,""auto"",""en"")"),"Quanzhou South Loop a hotel collapse")</f>
        <v>Quanzhou South Loop a hotel collapse</v>
      </c>
      <c r="D3312" s="4" t="s">
        <v>5734</v>
      </c>
      <c r="E3312" s="4">
        <v>8572678.0</v>
      </c>
      <c r="F3312" s="4">
        <v>11.0</v>
      </c>
      <c r="G3312" s="4" t="s">
        <v>5735</v>
      </c>
    </row>
    <row r="3313">
      <c r="A3313" s="1">
        <v>3311.0</v>
      </c>
      <c r="B3313" s="4" t="s">
        <v>5715</v>
      </c>
      <c r="C3313" s="4" t="str">
        <f>IFERROR(__xludf.DUMMYFUNCTION("GOOGLETRANSLATE(D:D,""auto"",""en"")"),"Aunt May is 15 years trafficked children found")</f>
        <v>Aunt May is 15 years trafficked children found</v>
      </c>
      <c r="D3313" s="4" t="s">
        <v>5673</v>
      </c>
      <c r="E3313" s="4">
        <v>8279096.0</v>
      </c>
      <c r="F3313" s="4">
        <v>12.0</v>
      </c>
      <c r="G3313" s="4" t="s">
        <v>5674</v>
      </c>
    </row>
    <row r="3314">
      <c r="A3314" s="1">
        <v>3312.0</v>
      </c>
      <c r="B3314" s="4" t="s">
        <v>5715</v>
      </c>
      <c r="C3314" s="4" t="str">
        <f>IFERROR(__xludf.DUMMYFUNCTION("GOOGLETRANSLATE(D:D,""auto"",""en"")"),"Southern Medical Jian Shaan suspects were arrested")</f>
        <v>Southern Medical Jian Shaan suspects were arrested</v>
      </c>
      <c r="D3314" s="4" t="s">
        <v>5645</v>
      </c>
      <c r="E3314" s="4">
        <v>7905602.0</v>
      </c>
      <c r="F3314" s="4">
        <v>13.0</v>
      </c>
      <c r="G3314" s="4" t="s">
        <v>5646</v>
      </c>
    </row>
    <row r="3315">
      <c r="A3315" s="1">
        <v>3313.0</v>
      </c>
      <c r="B3315" s="4" t="s">
        <v>5715</v>
      </c>
      <c r="C3315" s="4" t="str">
        <f>IFERROR(__xludf.DUMMYFUNCTION("GOOGLETRANSLATE(D:D,""auto"",""en"")"),"Shuang Cheng Guan Xiaotong Frozen")</f>
        <v>Shuang Cheng Guan Xiaotong Frozen</v>
      </c>
      <c r="D3315" s="4" t="s">
        <v>5736</v>
      </c>
      <c r="E3315" s="4">
        <v>7632970.0</v>
      </c>
      <c r="F3315" s="4">
        <v>14.0</v>
      </c>
      <c r="G3315" s="4" t="s">
        <v>5737</v>
      </c>
    </row>
    <row r="3316">
      <c r="A3316" s="1">
        <v>3314.0</v>
      </c>
      <c r="B3316" s="4" t="s">
        <v>5715</v>
      </c>
      <c r="C3316" s="4" t="str">
        <f>IFERROR(__xludf.DUMMYFUNCTION("GOOGLETRANSLATE(D:D,""auto"",""en"")"),"Zheng Shuang girls attitude Declaration")</f>
        <v>Zheng Shuang girls attitude Declaration</v>
      </c>
      <c r="D3316" s="4" t="s">
        <v>5738</v>
      </c>
      <c r="E3316" s="4">
        <v>7598294.0</v>
      </c>
      <c r="F3316" s="4">
        <v>15.0</v>
      </c>
      <c r="G3316" s="4" t="s">
        <v>5739</v>
      </c>
    </row>
    <row r="3317">
      <c r="A3317" s="1">
        <v>3315.0</v>
      </c>
      <c r="B3317" s="4" t="s">
        <v>5715</v>
      </c>
      <c r="C3317" s="4" t="str">
        <f>IFERROR(__xludf.DUMMYFUNCTION("GOOGLETRANSLATE(D:D,""auto"",""en"")"),"Hangzhou Auxiliary little sister network-wide levy boyfriend")</f>
        <v>Hangzhou Auxiliary little sister network-wide levy boyfriend</v>
      </c>
      <c r="D3317" s="4" t="s">
        <v>5740</v>
      </c>
      <c r="E3317" s="4">
        <v>7381347.0</v>
      </c>
      <c r="F3317" s="4">
        <v>16.0</v>
      </c>
      <c r="G3317" s="4" t="s">
        <v>5741</v>
      </c>
    </row>
    <row r="3318">
      <c r="A3318" s="1">
        <v>3316.0</v>
      </c>
      <c r="B3318" s="4" t="s">
        <v>5715</v>
      </c>
      <c r="C3318" s="4" t="str">
        <f>IFERROR(__xludf.DUMMYFUNCTION("GOOGLETRANSLATE(D:D,""auto"",""en"")"),"Quanzhou Xin Jia Hotel has salvaged 34 people")</f>
        <v>Quanzhou Xin Jia Hotel has salvaged 34 people</v>
      </c>
      <c r="D3318" s="4" t="s">
        <v>5742</v>
      </c>
      <c r="E3318" s="4">
        <v>7277894.0</v>
      </c>
      <c r="F3318" s="4">
        <v>17.0</v>
      </c>
      <c r="G3318" s="4" t="s">
        <v>5743</v>
      </c>
    </row>
    <row r="3319">
      <c r="A3319" s="1">
        <v>3317.0</v>
      </c>
      <c r="B3319" s="4" t="s">
        <v>5715</v>
      </c>
      <c r="C3319" s="4" t="str">
        <f>IFERROR(__xludf.DUMMYFUNCTION("GOOGLETRANSLATE(D:D,""auto"",""en"")"),"Luo Jin Sun Li cook online guide")</f>
        <v>Luo Jin Sun Li cook online guide</v>
      </c>
      <c r="D3319" s="4" t="s">
        <v>5744</v>
      </c>
      <c r="E3319" s="4">
        <v>7173104.0</v>
      </c>
      <c r="F3319" s="4">
        <v>18.0</v>
      </c>
      <c r="G3319" s="4" t="s">
        <v>5745</v>
      </c>
    </row>
    <row r="3320">
      <c r="A3320" s="1">
        <v>3318.0</v>
      </c>
      <c r="B3320" s="4" t="s">
        <v>5715</v>
      </c>
      <c r="C3320" s="4" t="str">
        <f>IFERROR(__xludf.DUMMYFUNCTION("GOOGLETRANSLATE(D:D,""auto"",""en"")"),"Strong because of love")</f>
        <v>Strong because of love</v>
      </c>
      <c r="D3320" s="4" t="s">
        <v>5661</v>
      </c>
      <c r="E3320" s="4">
        <v>7136561.0</v>
      </c>
      <c r="F3320" s="4">
        <v>19.0</v>
      </c>
      <c r="G3320" s="4" t="s">
        <v>5662</v>
      </c>
    </row>
    <row r="3321">
      <c r="A3321" s="1">
        <v>3319.0</v>
      </c>
      <c r="B3321" s="4" t="s">
        <v>5715</v>
      </c>
      <c r="C3321" s="4" t="str">
        <f>IFERROR(__xludf.DUMMYFUNCTION("GOOGLETRANSLATE(D:D,""auto"",""en"")"),"Dilly Reba crying play Soundtrack")</f>
        <v>Dilly Reba crying play Soundtrack</v>
      </c>
      <c r="D3321" s="4" t="s">
        <v>5643</v>
      </c>
      <c r="E3321" s="4">
        <v>7113330.0</v>
      </c>
      <c r="F3321" s="4">
        <v>20.0</v>
      </c>
      <c r="G3321" s="4" t="s">
        <v>5644</v>
      </c>
    </row>
    <row r="3322">
      <c r="A3322" s="1">
        <v>3320.0</v>
      </c>
      <c r="B3322" s="4" t="s">
        <v>5715</v>
      </c>
      <c r="C3322" s="4" t="str">
        <f>IFERROR(__xludf.DUMMYFUNCTION("GOOGLETRANSLATE(D:D,""auto"",""en"")"),"13-year-old ran away from home because of being scolded by his father")</f>
        <v>13-year-old ran away from home because of being scolded by his father</v>
      </c>
      <c r="D3322" s="4" t="s">
        <v>5639</v>
      </c>
      <c r="E3322" s="4">
        <v>7102152.0</v>
      </c>
      <c r="F3322" s="4">
        <v>21.0</v>
      </c>
      <c r="G3322" s="4" t="s">
        <v>5640</v>
      </c>
    </row>
    <row r="3323">
      <c r="A3323" s="1">
        <v>3321.0</v>
      </c>
      <c r="B3323" s="4" t="s">
        <v>5715</v>
      </c>
      <c r="C3323" s="4" t="str">
        <f>IFERROR(__xludf.DUMMYFUNCTION("GOOGLETRANSLATE(D:D,""auto"",""en"")"),"Meng happy baby leaked out to going round in circles")</f>
        <v>Meng happy baby leaked out to going round in circles</v>
      </c>
      <c r="D3323" s="4" t="s">
        <v>5746</v>
      </c>
      <c r="E3323" s="4">
        <v>7100786.0</v>
      </c>
      <c r="F3323" s="4">
        <v>22.0</v>
      </c>
      <c r="G3323" s="4" t="s">
        <v>5747</v>
      </c>
    </row>
    <row r="3324">
      <c r="A3324" s="1">
        <v>3322.0</v>
      </c>
      <c r="B3324" s="4" t="s">
        <v>5715</v>
      </c>
      <c r="C3324" s="4" t="str">
        <f>IFERROR(__xludf.DUMMYFUNCTION("GOOGLETRANSLATE(D:D,""auto"",""en"")"),"Shoelace transfiguration")</f>
        <v>Shoelace transfiguration</v>
      </c>
      <c r="D3324" s="4" t="s">
        <v>5637</v>
      </c>
      <c r="E3324" s="4">
        <v>7088364.0</v>
      </c>
      <c r="F3324" s="4">
        <v>23.0</v>
      </c>
      <c r="G3324" s="4" t="s">
        <v>5638</v>
      </c>
    </row>
    <row r="3325">
      <c r="A3325" s="1">
        <v>3323.0</v>
      </c>
      <c r="B3325" s="4" t="s">
        <v>5715</v>
      </c>
      <c r="C3325" s="4" t="str">
        <f>IFERROR(__xludf.DUMMYFUNCTION("GOOGLETRANSLATE(D:D,""auto"",""en"")"),"The Lakers return to the playoffs after a lapse of seven years")</f>
        <v>The Lakers return to the playoffs after a lapse of seven years</v>
      </c>
      <c r="D3325" s="4" t="s">
        <v>5748</v>
      </c>
      <c r="E3325" s="4">
        <v>7066483.0</v>
      </c>
      <c r="F3325" s="4">
        <v>24.0</v>
      </c>
      <c r="G3325" s="4" t="s">
        <v>5749</v>
      </c>
    </row>
    <row r="3326">
      <c r="A3326" s="1">
        <v>3324.0</v>
      </c>
      <c r="B3326" s="4" t="s">
        <v>5715</v>
      </c>
      <c r="C3326" s="4" t="str">
        <f>IFERROR(__xludf.DUMMYFUNCTION("GOOGLETRANSLATE(D:D,""auto"",""en"")"),"Add 17 cases of pneumonia foreign Gansu enter a new crown")</f>
        <v>Add 17 cases of pneumonia foreign Gansu enter a new crown</v>
      </c>
      <c r="D3326" s="4" t="s">
        <v>5671</v>
      </c>
      <c r="E3326" s="4">
        <v>7015444.0</v>
      </c>
      <c r="F3326" s="4">
        <v>25.0</v>
      </c>
      <c r="G3326" s="4" t="s">
        <v>5672</v>
      </c>
    </row>
    <row r="3327">
      <c r="A3327" s="1">
        <v>3325.0</v>
      </c>
      <c r="B3327" s="4" t="s">
        <v>5715</v>
      </c>
      <c r="C3327" s="4" t="str">
        <f>IFERROR(__xludf.DUMMYFUNCTION("GOOGLETRANSLATE(D:D,""auto"",""en"")"),"Jia welcomed the Quanzhou hotel has a 23-man rescue")</f>
        <v>Jia welcomed the Quanzhou hotel has a 23-man rescue</v>
      </c>
      <c r="D3327" s="4" t="s">
        <v>5750</v>
      </c>
      <c r="E3327" s="4">
        <v>7012085.0</v>
      </c>
      <c r="F3327" s="4">
        <v>26.0</v>
      </c>
      <c r="G3327" s="4" t="s">
        <v>5751</v>
      </c>
    </row>
    <row r="3328">
      <c r="A3328" s="1">
        <v>3326.0</v>
      </c>
      <c r="B3328" s="4" t="s">
        <v>5715</v>
      </c>
      <c r="C3328" s="4" t="str">
        <f>IFERROR(__xludf.DUMMYFUNCTION("GOOGLETRANSLATE(D:D,""auto"",""en"")"),"Quanzhou collapse of New Crown Hotel pneumonia isolation point")</f>
        <v>Quanzhou collapse of New Crown Hotel pneumonia isolation point</v>
      </c>
      <c r="D3328" s="4" t="s">
        <v>5752</v>
      </c>
      <c r="E3328" s="4">
        <v>6929115.0</v>
      </c>
      <c r="F3328" s="4">
        <v>27.0</v>
      </c>
      <c r="G3328" s="4" t="s">
        <v>5753</v>
      </c>
    </row>
    <row r="3329">
      <c r="A3329" s="1">
        <v>3327.0</v>
      </c>
      <c r="B3329" s="4" t="s">
        <v>5715</v>
      </c>
      <c r="C3329" s="4" t="str">
        <f>IFERROR(__xludf.DUMMYFUNCTION("GOOGLETRANSLATE(D:D,""auto"",""en"")"),"Xu Kai fans to name Alaso")</f>
        <v>Xu Kai fans to name Alaso</v>
      </c>
      <c r="D3329" s="4" t="s">
        <v>5663</v>
      </c>
      <c r="E3329" s="4">
        <v>6916733.0</v>
      </c>
      <c r="F3329" s="4">
        <v>28.0</v>
      </c>
      <c r="G3329" s="4" t="s">
        <v>5664</v>
      </c>
    </row>
    <row r="3330">
      <c r="A3330" s="1">
        <v>3328.0</v>
      </c>
      <c r="B3330" s="4" t="s">
        <v>5715</v>
      </c>
      <c r="C3330" s="4" t="str">
        <f>IFERROR(__xludf.DUMMYFUNCTION("GOOGLETRANSLATE(D:D,""auto"",""en"")"),"99 cases of new confirmed cases nationwide")</f>
        <v>99 cases of new confirmed cases nationwide</v>
      </c>
      <c r="D3330" s="4" t="s">
        <v>5754</v>
      </c>
      <c r="E3330" s="4">
        <v>6866394.0</v>
      </c>
      <c r="F3330" s="4">
        <v>29.0</v>
      </c>
      <c r="G3330" s="4" t="s">
        <v>5755</v>
      </c>
    </row>
    <row r="3331">
      <c r="A3331" s="1">
        <v>3329.0</v>
      </c>
      <c r="B3331" s="4" t="s">
        <v>5715</v>
      </c>
      <c r="C3331" s="4" t="str">
        <f>IFERROR(__xludf.DUMMYFUNCTION("GOOGLETRANSLATE(D:D,""auto"",""en"")"),"Italy confirmed cases rose to 4636 cases")</f>
        <v>Italy confirmed cases rose to 4636 cases</v>
      </c>
      <c r="D3331" s="4" t="s">
        <v>5756</v>
      </c>
      <c r="E3331" s="4">
        <v>6831029.0</v>
      </c>
      <c r="F3331" s="4">
        <v>30.0</v>
      </c>
      <c r="G3331" s="4" t="s">
        <v>5757</v>
      </c>
    </row>
    <row r="3332">
      <c r="A3332" s="1">
        <v>3330.0</v>
      </c>
      <c r="B3332" s="4" t="s">
        <v>5715</v>
      </c>
      <c r="C3332" s="4" t="str">
        <f>IFERROR(__xludf.DUMMYFUNCTION("GOOGLETRANSLATE(D:D,""auto"",""en"")"),"Octogenarian grandmother cured kneel thanks")</f>
        <v>Octogenarian grandmother cured kneel thanks</v>
      </c>
      <c r="D3332" s="4" t="s">
        <v>5758</v>
      </c>
      <c r="E3332" s="4">
        <v>6788364.0</v>
      </c>
      <c r="F3332" s="4">
        <v>31.0</v>
      </c>
      <c r="G3332" s="4" t="s">
        <v>5759</v>
      </c>
    </row>
    <row r="3333">
      <c r="A3333" s="1">
        <v>3331.0</v>
      </c>
      <c r="B3333" s="4" t="s">
        <v>5715</v>
      </c>
      <c r="C3333" s="4" t="str">
        <f>IFERROR(__xludf.DUMMYFUNCTION("GOOGLETRANSLATE(D:D,""auto"",""en"")"),"James 34,000 points")</f>
        <v>James 34,000 points</v>
      </c>
      <c r="D3333" s="4" t="s">
        <v>5760</v>
      </c>
      <c r="E3333" s="4">
        <v>6775294.0</v>
      </c>
      <c r="F3333" s="4">
        <v>32.0</v>
      </c>
      <c r="G3333" s="4" t="s">
        <v>5761</v>
      </c>
    </row>
    <row r="3334">
      <c r="A3334" s="1">
        <v>3332.0</v>
      </c>
      <c r="B3334" s="4" t="s">
        <v>5715</v>
      </c>
      <c r="C3334" s="4" t="str">
        <f>IFERROR(__xludf.DUMMYFUNCTION("GOOGLETRANSLATE(D:D,""auto"",""en"")"),"Huachen Yu cos Rebels")</f>
        <v>Huachen Yu cos Rebels</v>
      </c>
      <c r="D3334" s="4" t="s">
        <v>5762</v>
      </c>
      <c r="E3334" s="4">
        <v>6752164.0</v>
      </c>
      <c r="F3334" s="4">
        <v>33.0</v>
      </c>
      <c r="G3334" s="4" t="s">
        <v>5763</v>
      </c>
    </row>
    <row r="3335">
      <c r="A3335" s="1">
        <v>3333.0</v>
      </c>
      <c r="B3335" s="4" t="s">
        <v>5715</v>
      </c>
      <c r="C3335" s="4" t="str">
        <f>IFERROR(__xludf.DUMMYFUNCTION("GOOGLETRANSLATE(D:D,""auto"",""en"")"),"Wuhan new cases of 74 patients")</f>
        <v>Wuhan new cases of 74 patients</v>
      </c>
      <c r="D3335" s="4" t="s">
        <v>5764</v>
      </c>
      <c r="E3335" s="4">
        <v>6686454.0</v>
      </c>
      <c r="F3335" s="4">
        <v>34.0</v>
      </c>
      <c r="G3335" s="4" t="s">
        <v>5765</v>
      </c>
    </row>
    <row r="3336">
      <c r="A3336" s="1">
        <v>3334.0</v>
      </c>
      <c r="B3336" s="4" t="s">
        <v>5715</v>
      </c>
      <c r="C3336" s="4" t="str">
        <f>IFERROR(__xludf.DUMMYFUNCTION("GOOGLETRANSLATE(D:D,""auto"",""en"")"),"Justice Department to respond to permanent residence regulations for foreigners")</f>
        <v>Justice Department to respond to permanent residence regulations for foreigners</v>
      </c>
      <c r="D3336" s="4" t="s">
        <v>5766</v>
      </c>
      <c r="E3336" s="4">
        <v>6678886.0</v>
      </c>
      <c r="F3336" s="4">
        <v>35.0</v>
      </c>
      <c r="G3336" s="4" t="s">
        <v>5767</v>
      </c>
    </row>
    <row r="3337">
      <c r="A3337" s="1">
        <v>3335.0</v>
      </c>
      <c r="B3337" s="4" t="s">
        <v>5715</v>
      </c>
      <c r="C3337" s="4" t="str">
        <f>IFERROR(__xludf.DUMMYFUNCTION("GOOGLETRANSLATE(D:D,""auto"",""en"")"),"NBA teams do make empty game preparation")</f>
        <v>NBA teams do make empty game preparation</v>
      </c>
      <c r="D3337" s="4" t="s">
        <v>5768</v>
      </c>
      <c r="E3337" s="4">
        <v>6675226.0</v>
      </c>
      <c r="F3337" s="4">
        <v>36.0</v>
      </c>
      <c r="G3337" s="4" t="s">
        <v>5769</v>
      </c>
    </row>
    <row r="3338">
      <c r="A3338" s="1">
        <v>3336.0</v>
      </c>
      <c r="B3338" s="4" t="s">
        <v>5715</v>
      </c>
      <c r="C3338" s="4" t="str">
        <f>IFERROR(__xludf.DUMMYFUNCTION("GOOGLETRANSLATE(D:D,""auto"",""en"")"),"Wang Junkai our band poster")</f>
        <v>Wang Junkai our band poster</v>
      </c>
      <c r="D3338" s="4" t="s">
        <v>5566</v>
      </c>
      <c r="E3338" s="4">
        <v>6674239.0</v>
      </c>
      <c r="F3338" s="4">
        <v>37.0</v>
      </c>
      <c r="G3338" s="4" t="s">
        <v>5567</v>
      </c>
    </row>
    <row r="3339">
      <c r="A3339" s="1">
        <v>3337.0</v>
      </c>
      <c r="B3339" s="4" t="s">
        <v>5715</v>
      </c>
      <c r="C3339" s="4" t="str">
        <f>IFERROR(__xludf.DUMMYFUNCTION("GOOGLETRANSLATE(D:D,""auto"",""en"")"),"Miss a white ready to go abroad")</f>
        <v>Miss a white ready to go abroad</v>
      </c>
      <c r="D3339" s="4" t="s">
        <v>5651</v>
      </c>
      <c r="E3339" s="4">
        <v>6545597.0</v>
      </c>
      <c r="F3339" s="4">
        <v>38.0</v>
      </c>
      <c r="G3339" s="4" t="s">
        <v>5652</v>
      </c>
    </row>
    <row r="3340">
      <c r="A3340" s="1">
        <v>3338.0</v>
      </c>
      <c r="B3340" s="4" t="s">
        <v>5715</v>
      </c>
      <c r="C3340" s="4" t="str">
        <f>IFERROR(__xludf.DUMMYFUNCTION("GOOGLETRANSLATE(D:D,""auto"",""en"")"),"Zheng Shuang turn off the headphones get caught Shen Teng")</f>
        <v>Zheng Shuang turn off the headphones get caught Shen Teng</v>
      </c>
      <c r="D3340" s="4" t="s">
        <v>5770</v>
      </c>
      <c r="E3340" s="4">
        <v>6541553.0</v>
      </c>
      <c r="F3340" s="4">
        <v>39.0</v>
      </c>
      <c r="G3340" s="4" t="s">
        <v>5771</v>
      </c>
    </row>
    <row r="3341">
      <c r="A3341" s="1">
        <v>3339.0</v>
      </c>
      <c r="B3341" s="4" t="s">
        <v>5715</v>
      </c>
      <c r="C3341" s="4" t="str">
        <f>IFERROR(__xludf.DUMMYFUNCTION("GOOGLETRANSLATE(D:D,""auto"",""en"")"),"Ju Jing Yi winter")</f>
        <v>Ju Jing Yi winter</v>
      </c>
      <c r="D3341" s="4" t="s">
        <v>5665</v>
      </c>
      <c r="E3341" s="4">
        <v>6500208.0</v>
      </c>
      <c r="F3341" s="4">
        <v>40.0</v>
      </c>
      <c r="G3341" s="4" t="s">
        <v>5666</v>
      </c>
    </row>
    <row r="3342">
      <c r="A3342" s="1">
        <v>3340.0</v>
      </c>
      <c r="B3342" s="4" t="s">
        <v>5715</v>
      </c>
      <c r="C3342" s="4" t="str">
        <f>IFERROR(__xludf.DUMMYFUNCTION("GOOGLETRANSLATE(D:D,""auto"",""en"")"),"Shen Teng faceless men so funny")</f>
        <v>Shen Teng faceless men so funny</v>
      </c>
      <c r="D3342" s="4" t="s">
        <v>5772</v>
      </c>
      <c r="E3342" s="4">
        <v>6499812.0</v>
      </c>
      <c r="F3342" s="4">
        <v>41.0</v>
      </c>
      <c r="G3342" s="4" t="s">
        <v>5773</v>
      </c>
    </row>
    <row r="3343">
      <c r="A3343" s="1">
        <v>3341.0</v>
      </c>
      <c r="B3343" s="4" t="s">
        <v>5715</v>
      </c>
      <c r="C3343" s="4" t="str">
        <f>IFERROR(__xludf.DUMMYFUNCTION("GOOGLETRANSLATE(D:D,""auto"",""en"")"),"Wang asked continent whose real name is Lin Yun")</f>
        <v>Wang asked continent whose real name is Lin Yun</v>
      </c>
      <c r="D3343" s="4" t="s">
        <v>5774</v>
      </c>
      <c r="E3343" s="4">
        <v>6494925.0</v>
      </c>
      <c r="F3343" s="4">
        <v>42.0</v>
      </c>
      <c r="G3343" s="4" t="s">
        <v>5775</v>
      </c>
    </row>
    <row r="3344">
      <c r="A3344" s="1">
        <v>3342.0</v>
      </c>
      <c r="B3344" s="4" t="s">
        <v>5715</v>
      </c>
      <c r="C3344" s="4" t="str">
        <f>IFERROR(__xludf.DUMMYFUNCTION("GOOGLETRANSLATE(D:D,""auto"",""en"")"),"Zheng Shuang Yu Hao Ming hug")</f>
        <v>Zheng Shuang Yu Hao Ming hug</v>
      </c>
      <c r="D3344" s="4" t="s">
        <v>5776</v>
      </c>
      <c r="E3344" s="4">
        <v>6446261.0</v>
      </c>
      <c r="F3344" s="4">
        <v>43.0</v>
      </c>
      <c r="G3344" s="4" t="s">
        <v>5777</v>
      </c>
    </row>
    <row r="3345">
      <c r="A3345" s="1">
        <v>3343.0</v>
      </c>
      <c r="B3345" s="4" t="s">
        <v>5715</v>
      </c>
      <c r="C3345" s="4" t="str">
        <f>IFERROR(__xludf.DUMMYFUNCTION("GOOGLETRANSLATE(D:D,""auto"",""en"")"),"E nurse aid 5 year-old son did not want my mother's birthday")</f>
        <v>E nurse aid 5 year-old son did not want my mother's birthday</v>
      </c>
      <c r="D3345" s="4" t="s">
        <v>5778</v>
      </c>
      <c r="E3345" s="4">
        <v>6416065.0</v>
      </c>
      <c r="F3345" s="4">
        <v>44.0</v>
      </c>
      <c r="G3345" s="4" t="s">
        <v>5779</v>
      </c>
    </row>
    <row r="3346">
      <c r="A3346" s="1">
        <v>3344.0</v>
      </c>
      <c r="B3346" s="4" t="s">
        <v>5715</v>
      </c>
      <c r="C3346" s="4" t="str">
        <f>IFERROR(__xludf.DUMMYFUNCTION("GOOGLETRANSLATE(D:D,""auto"",""en"")"),"Stella Ye Donglie Kissing")</f>
        <v>Stella Ye Donglie Kissing</v>
      </c>
      <c r="D3346" s="4" t="s">
        <v>5780</v>
      </c>
      <c r="E3346" s="4">
        <v>6415542.0</v>
      </c>
      <c r="F3346" s="4">
        <v>45.0</v>
      </c>
      <c r="G3346" s="4" t="s">
        <v>5781</v>
      </c>
    </row>
    <row r="3347">
      <c r="A3347" s="1">
        <v>3345.0</v>
      </c>
      <c r="B3347" s="4" t="s">
        <v>5715</v>
      </c>
      <c r="C3347" s="4" t="str">
        <f>IFERROR(__xludf.DUMMYFUNCTION("GOOGLETRANSLATE(D:D,""auto"",""en"")"),"Guo Degang devil cover")</f>
        <v>Guo Degang devil cover</v>
      </c>
      <c r="D3347" s="4" t="s">
        <v>5782</v>
      </c>
      <c r="E3347" s="4">
        <v>6268383.0</v>
      </c>
      <c r="F3347" s="4">
        <v>46.0</v>
      </c>
      <c r="G3347" s="4" t="s">
        <v>5783</v>
      </c>
    </row>
    <row r="3348">
      <c r="A3348" s="1">
        <v>3346.0</v>
      </c>
      <c r="B3348" s="4" t="s">
        <v>5715</v>
      </c>
      <c r="C3348" s="4" t="str">
        <f>IFERROR(__xludf.DUMMYFUNCTION("GOOGLETRANSLATE(D:D,""auto"",""en"")"),"Confirmed cases worldwide has reached 100,000 cases")</f>
        <v>Confirmed cases worldwide has reached 100,000 cases</v>
      </c>
      <c r="D3348" s="4" t="s">
        <v>5667</v>
      </c>
      <c r="E3348" s="4">
        <v>6205789.0</v>
      </c>
      <c r="F3348" s="4">
        <v>47.0</v>
      </c>
      <c r="G3348" s="4" t="s">
        <v>5668</v>
      </c>
    </row>
    <row r="3349">
      <c r="A3349" s="1">
        <v>3347.0</v>
      </c>
      <c r="B3349" s="4" t="s">
        <v>5715</v>
      </c>
      <c r="C3349" s="4" t="str">
        <f>IFERROR(__xludf.DUMMYFUNCTION("GOOGLETRANSLATE(D:D,""auto"",""en"")"),"Daegu a apartment appeared 46 patients diagnosed")</f>
        <v>Daegu a apartment appeared 46 patients diagnosed</v>
      </c>
      <c r="D3349" s="4" t="s">
        <v>5784</v>
      </c>
      <c r="E3349" s="4">
        <v>6151813.0</v>
      </c>
      <c r="F3349" s="4">
        <v>48.0</v>
      </c>
      <c r="G3349" s="4" t="s">
        <v>5785</v>
      </c>
    </row>
    <row r="3350">
      <c r="A3350" s="1">
        <v>3348.0</v>
      </c>
      <c r="B3350" s="4" t="s">
        <v>5715</v>
      </c>
      <c r="C3350" s="4" t="str">
        <f>IFERROR(__xludf.DUMMYFUNCTION("GOOGLETRANSLATE(D:D,""auto"",""en"")"),"Joe Chen Allen's sweet")</f>
        <v>Joe Chen Allen's sweet</v>
      </c>
      <c r="D3350" s="4" t="s">
        <v>5602</v>
      </c>
      <c r="E3350" s="4">
        <v>6122487.0</v>
      </c>
      <c r="F3350" s="4">
        <v>49.0</v>
      </c>
      <c r="G3350" s="4" t="s">
        <v>5603</v>
      </c>
    </row>
    <row r="3351">
      <c r="A3351" s="1">
        <v>3349.0</v>
      </c>
      <c r="B3351" s="4" t="s">
        <v>5715</v>
      </c>
      <c r="C3351" s="4" t="str">
        <f>IFERROR(__xludf.DUMMYFUNCTION("GOOGLETRANSLATE(D:D,""auto"",""en"")"),"Zheng Shuang Yang Di with ultra understanding")</f>
        <v>Zheng Shuang Yang Di with ultra understanding</v>
      </c>
      <c r="D3351" s="4" t="s">
        <v>5786</v>
      </c>
      <c r="E3351" s="4">
        <v>6092042.0</v>
      </c>
      <c r="F3351" s="4">
        <v>50.0</v>
      </c>
      <c r="G3351" s="4" t="s">
        <v>5787</v>
      </c>
    </row>
    <row r="3352">
      <c r="A3352" s="1">
        <v>3350.0</v>
      </c>
      <c r="B3352" s="4" t="s">
        <v>5788</v>
      </c>
      <c r="C3352" s="4" t="str">
        <f>IFERROR(__xludf.DUMMYFUNCTION("GOOGLETRANSLATE(D:D,""auto"",""en"")"),"Joey Wu Lei Song broke the news that health boy")</f>
        <v>Joey Wu Lei Song broke the news that health boy</v>
      </c>
      <c r="D3352" s="4" t="s">
        <v>5789</v>
      </c>
      <c r="E3352" s="4">
        <v>1.3651727E7</v>
      </c>
      <c r="F3352" s="4">
        <v>1.0</v>
      </c>
      <c r="G3352" s="4" t="s">
        <v>5790</v>
      </c>
    </row>
    <row r="3353">
      <c r="A3353" s="1">
        <v>3351.0</v>
      </c>
      <c r="B3353" s="4" t="s">
        <v>5788</v>
      </c>
      <c r="C3353" s="4" t="str">
        <f>IFERROR(__xludf.DUMMYFUNCTION("GOOGLETRANSLATE(D:D,""auto"",""en"")"),"Zhang Weili reigning UFC world champion")</f>
        <v>Zhang Weili reigning UFC world champion</v>
      </c>
      <c r="D3353" s="4" t="s">
        <v>5791</v>
      </c>
      <c r="E3353" s="4">
        <v>1.2824945E7</v>
      </c>
      <c r="F3353" s="4">
        <v>2.0</v>
      </c>
      <c r="G3353" s="4" t="s">
        <v>5792</v>
      </c>
    </row>
    <row r="3354">
      <c r="A3354" s="1">
        <v>3352.0</v>
      </c>
      <c r="B3354" s="4" t="s">
        <v>5788</v>
      </c>
      <c r="C3354" s="4" t="str">
        <f>IFERROR(__xludf.DUMMYFUNCTION("GOOGLETRANSLATE(D:D,""auto"",""en"")"),"Zhang Weili appeal against the epidemic around the world together")</f>
        <v>Zhang Weili appeal against the epidemic around the world together</v>
      </c>
      <c r="D3354" s="4" t="s">
        <v>5793</v>
      </c>
      <c r="E3354" s="4">
        <v>1.1708122E7</v>
      </c>
      <c r="F3354" s="4">
        <v>3.0</v>
      </c>
      <c r="G3354" s="4" t="s">
        <v>5794</v>
      </c>
    </row>
    <row r="3355">
      <c r="A3355" s="1">
        <v>3353.0</v>
      </c>
      <c r="B3355" s="4" t="s">
        <v>5788</v>
      </c>
      <c r="C3355" s="4" t="str">
        <f>IFERROR(__xludf.DUMMYFUNCTION("GOOGLETRANSLATE(D:D,""auto"",""en"")"),"National Health health committee to respond to the fight against SARS subsidy payment standards")</f>
        <v>National Health health committee to respond to the fight against SARS subsidy payment standards</v>
      </c>
      <c r="D3355" s="4" t="s">
        <v>5795</v>
      </c>
      <c r="E3355" s="4">
        <v>9753205.0</v>
      </c>
      <c r="F3355" s="4">
        <v>4.0</v>
      </c>
      <c r="G3355" s="4" t="s">
        <v>5796</v>
      </c>
    </row>
    <row r="3356">
      <c r="A3356" s="1">
        <v>3354.0</v>
      </c>
      <c r="B3356" s="4" t="s">
        <v>5788</v>
      </c>
      <c r="C3356" s="4" t="str">
        <f>IFERROR(__xludf.DUMMYFUNCTION("GOOGLETRANSLATE(D:D,""auto"",""en"")"),"Lee now notice the background of N kinds of Open")</f>
        <v>Lee now notice the background of N kinds of Open</v>
      </c>
      <c r="D3356" s="4" t="s">
        <v>5797</v>
      </c>
      <c r="E3356" s="4">
        <v>9024202.0</v>
      </c>
      <c r="F3356" s="4">
        <v>5.0</v>
      </c>
      <c r="G3356" s="4" t="s">
        <v>5798</v>
      </c>
    </row>
    <row r="3357">
      <c r="A3357" s="1">
        <v>3355.0</v>
      </c>
      <c r="B3357" s="4" t="s">
        <v>5788</v>
      </c>
      <c r="C3357" s="4" t="str">
        <f>IFERROR(__xludf.DUMMYFUNCTION("GOOGLETRANSLATE(D:D,""auto"",""en"")"),"Quanzhou South Loop a hotel collapse")</f>
        <v>Quanzhou South Loop a hotel collapse</v>
      </c>
      <c r="D3357" s="4" t="s">
        <v>5734</v>
      </c>
      <c r="E3357" s="4">
        <v>8043940.0</v>
      </c>
      <c r="F3357" s="4">
        <v>6.0</v>
      </c>
      <c r="G3357" s="4" t="s">
        <v>5735</v>
      </c>
    </row>
    <row r="3358">
      <c r="A3358" s="1">
        <v>3356.0</v>
      </c>
      <c r="B3358" s="4" t="s">
        <v>5788</v>
      </c>
      <c r="C3358" s="4" t="str">
        <f>IFERROR(__xludf.DUMMYFUNCTION("GOOGLETRANSLATE(D:D,""auto"",""en"")"),"Wang Junkai performance department most afraid of performances")</f>
        <v>Wang Junkai performance department most afraid of performances</v>
      </c>
      <c r="D3358" s="4" t="s">
        <v>5799</v>
      </c>
      <c r="E3358" s="4">
        <v>8024306.0</v>
      </c>
      <c r="F3358" s="4">
        <v>7.0</v>
      </c>
      <c r="G3358" s="4" t="s">
        <v>5800</v>
      </c>
    </row>
    <row r="3359">
      <c r="A3359" s="1">
        <v>3357.0</v>
      </c>
      <c r="B3359" s="4" t="s">
        <v>5788</v>
      </c>
      <c r="C3359" s="4" t="str">
        <f>IFERROR(__xludf.DUMMYFUNCTION("GOOGLETRANSLATE(D:D,""auto"",""en"")"),"Huachen Yu cousin had turned down the job to the best man")</f>
        <v>Huachen Yu cousin had turned down the job to the best man</v>
      </c>
      <c r="D3359" s="4" t="s">
        <v>5718</v>
      </c>
      <c r="E3359" s="4">
        <v>7961470.0</v>
      </c>
      <c r="F3359" s="4">
        <v>8.0</v>
      </c>
      <c r="G3359" s="4" t="s">
        <v>5719</v>
      </c>
    </row>
    <row r="3360">
      <c r="A3360" s="1">
        <v>3358.0</v>
      </c>
      <c r="B3360" s="4" t="s">
        <v>5788</v>
      </c>
      <c r="C3360" s="4" t="str">
        <f>IFERROR(__xludf.DUMMYFUNCTION("GOOGLETRANSLATE(D:D,""auto"",""en"")"),"Curry infected with influenza A")</f>
        <v>Curry infected with influenza A</v>
      </c>
      <c r="D3360" s="4" t="s">
        <v>5801</v>
      </c>
      <c r="E3360" s="4">
        <v>7784851.0</v>
      </c>
      <c r="F3360" s="4">
        <v>9.0</v>
      </c>
      <c r="G3360" s="4" t="s">
        <v>5802</v>
      </c>
    </row>
    <row r="3361">
      <c r="A3361" s="1">
        <v>3359.0</v>
      </c>
      <c r="B3361" s="4" t="s">
        <v>5788</v>
      </c>
      <c r="C3361" s="4" t="str">
        <f>IFERROR(__xludf.DUMMYFUNCTION("GOOGLETRANSLATE(D:D,""auto"",""en"")"),"The national total of 80,695 cases of pneumonia diagnosed with the new crown")</f>
        <v>The national total of 80,695 cases of pneumonia diagnosed with the new crown</v>
      </c>
      <c r="D3361" s="4" t="s">
        <v>5803</v>
      </c>
      <c r="E3361" s="4">
        <v>7728508.0</v>
      </c>
      <c r="F3361" s="4">
        <v>10.0</v>
      </c>
      <c r="G3361" s="4" t="s">
        <v>5804</v>
      </c>
    </row>
    <row r="3362">
      <c r="A3362" s="1">
        <v>3360.0</v>
      </c>
      <c r="B3362" s="4" t="s">
        <v>5788</v>
      </c>
      <c r="C3362" s="4" t="str">
        <f>IFERROR(__xludf.DUMMYFUNCTION("GOOGLETRANSLATE(D:D,""auto"",""en"")"),"Zheng Shuang girls attitude Declaration")</f>
        <v>Zheng Shuang girls attitude Declaration</v>
      </c>
      <c r="D3362" s="4" t="s">
        <v>5738</v>
      </c>
      <c r="E3362" s="4">
        <v>7681637.0</v>
      </c>
      <c r="F3362" s="4">
        <v>11.0</v>
      </c>
      <c r="G3362" s="4" t="s">
        <v>5739</v>
      </c>
    </row>
    <row r="3363">
      <c r="A3363" s="1">
        <v>3361.0</v>
      </c>
      <c r="B3363" s="4" t="s">
        <v>5788</v>
      </c>
      <c r="C3363" s="4" t="str">
        <f>IFERROR(__xludf.DUMMYFUNCTION("GOOGLETRANSLATE(D:D,""auto"",""en"")"),"Witnesses told Jia welcomed the collapse instantly hotel")</f>
        <v>Witnesses told Jia welcomed the collapse instantly hotel</v>
      </c>
      <c r="D3363" s="4" t="s">
        <v>5805</v>
      </c>
      <c r="E3363" s="4">
        <v>7606952.0</v>
      </c>
      <c r="F3363" s="4">
        <v>12.0</v>
      </c>
      <c r="G3363" s="4" t="s">
        <v>5806</v>
      </c>
    </row>
    <row r="3364">
      <c r="A3364" s="1">
        <v>3362.0</v>
      </c>
      <c r="B3364" s="4" t="s">
        <v>5788</v>
      </c>
      <c r="C3364" s="4" t="str">
        <f>IFERROR(__xludf.DUMMYFUNCTION("GOOGLETRANSLATE(D:D,""auto"",""en"")"),"Quanzhou hotel collapse homeowners have been controlled")</f>
        <v>Quanzhou hotel collapse homeowners have been controlled</v>
      </c>
      <c r="D3364" s="4" t="s">
        <v>5807</v>
      </c>
      <c r="E3364" s="4">
        <v>7595265.0</v>
      </c>
      <c r="F3364" s="4">
        <v>13.0</v>
      </c>
      <c r="G3364" s="4" t="s">
        <v>5808</v>
      </c>
    </row>
    <row r="3365">
      <c r="A3365" s="1">
        <v>3363.0</v>
      </c>
      <c r="B3365" s="4" t="s">
        <v>5788</v>
      </c>
      <c r="C3365" s="4" t="str">
        <f>IFERROR(__xludf.DUMMYFUNCTION("GOOGLETRANSLATE(D:D,""auto"",""en"")"),"The new crown new 1247 cases of pneumonia Italy")</f>
        <v>The new crown new 1247 cases of pneumonia Italy</v>
      </c>
      <c r="D3365" s="4" t="s">
        <v>5809</v>
      </c>
      <c r="E3365" s="4">
        <v>7518265.0</v>
      </c>
      <c r="F3365" s="4">
        <v>14.0</v>
      </c>
      <c r="G3365" s="4" t="s">
        <v>5810</v>
      </c>
    </row>
    <row r="3366">
      <c r="A3366" s="1">
        <v>3364.0</v>
      </c>
      <c r="B3366" s="4" t="s">
        <v>5788</v>
      </c>
      <c r="C3366" s="4" t="str">
        <f>IFERROR(__xludf.DUMMYFUNCTION("GOOGLETRANSLATE(D:D,""auto"",""en"")"),"China issued 11.2 billion yuan of subsidies steady return of post")</f>
        <v>China issued 11.2 billion yuan of subsidies steady return of post</v>
      </c>
      <c r="D3366" s="4" t="s">
        <v>5811</v>
      </c>
      <c r="E3366" s="4">
        <v>7453889.0</v>
      </c>
      <c r="F3366" s="4">
        <v>15.0</v>
      </c>
      <c r="G3366" s="4" t="s">
        <v>5812</v>
      </c>
    </row>
    <row r="3367">
      <c r="A3367" s="1">
        <v>3365.0</v>
      </c>
      <c r="B3367" s="4" t="s">
        <v>5788</v>
      </c>
      <c r="C3367" s="4" t="str">
        <f>IFERROR(__xludf.DUMMYFUNCTION("GOOGLETRANSLATE(D:D,""auto"",""en"")"),"Dinning was swept Mima Ito")</f>
        <v>Dinning was swept Mima Ito</v>
      </c>
      <c r="D3367" s="4" t="s">
        <v>5813</v>
      </c>
      <c r="E3367" s="4">
        <v>7431915.0</v>
      </c>
      <c r="F3367" s="4">
        <v>16.0</v>
      </c>
      <c r="G3367" s="4" t="s">
        <v>5814</v>
      </c>
    </row>
    <row r="3368">
      <c r="A3368" s="1">
        <v>3366.0</v>
      </c>
      <c r="B3368" s="4" t="s">
        <v>5788</v>
      </c>
      <c r="C3368" s="4" t="str">
        <f>IFERROR(__xludf.DUMMYFUNCTION("GOOGLETRANSLATE(D:D,""auto"",""en"")"),"Quanzhou building collapse rescued guy tell bizarre encounter")</f>
        <v>Quanzhou building collapse rescued guy tell bizarre encounter</v>
      </c>
      <c r="D3368" s="4" t="s">
        <v>5815</v>
      </c>
      <c r="E3368" s="4">
        <v>7334157.0</v>
      </c>
      <c r="F3368" s="4">
        <v>17.0</v>
      </c>
      <c r="G3368" s="4" t="s">
        <v>5816</v>
      </c>
    </row>
    <row r="3369">
      <c r="A3369" s="1">
        <v>3367.0</v>
      </c>
      <c r="B3369" s="4" t="s">
        <v>5788</v>
      </c>
      <c r="C3369" s="4" t="str">
        <f>IFERROR(__xludf.DUMMYFUNCTION("GOOGLETRANSLATE(D:D,""auto"",""en"")"),"Liu Yifei Chinese Mulan to sing the theme song")</f>
        <v>Liu Yifei Chinese Mulan to sing the theme song</v>
      </c>
      <c r="D3369" s="4" t="s">
        <v>5817</v>
      </c>
      <c r="E3369" s="4">
        <v>7314792.0</v>
      </c>
      <c r="F3369" s="4">
        <v>18.0</v>
      </c>
      <c r="G3369" s="4" t="s">
        <v>5818</v>
      </c>
    </row>
    <row r="3370">
      <c r="A3370" s="1">
        <v>3368.0</v>
      </c>
      <c r="B3370" s="4" t="s">
        <v>5788</v>
      </c>
      <c r="C3370" s="4" t="str">
        <f>IFERROR(__xludf.DUMMYFUNCTION("GOOGLETRANSLATE(D:D,""auto"",""en"")"),"Quanzhou Xin Jia Hotel has salvaged 34 people")</f>
        <v>Quanzhou Xin Jia Hotel has salvaged 34 people</v>
      </c>
      <c r="D3370" s="4" t="s">
        <v>5742</v>
      </c>
      <c r="E3370" s="4">
        <v>7301409.0</v>
      </c>
      <c r="F3370" s="4">
        <v>19.0</v>
      </c>
      <c r="G3370" s="4" t="s">
        <v>5743</v>
      </c>
    </row>
    <row r="3371">
      <c r="A3371" s="1">
        <v>3369.0</v>
      </c>
      <c r="B3371" s="4" t="s">
        <v>5788</v>
      </c>
      <c r="C3371" s="4" t="str">
        <f>IFERROR(__xludf.DUMMYFUNCTION("GOOGLETRANSLATE(D:D,""auto"",""en"")"),"Strong because of love")</f>
        <v>Strong because of love</v>
      </c>
      <c r="D3371" s="4" t="s">
        <v>5661</v>
      </c>
      <c r="E3371" s="4">
        <v>7278091.0</v>
      </c>
      <c r="F3371" s="4">
        <v>20.0</v>
      </c>
      <c r="G3371" s="4" t="s">
        <v>5662</v>
      </c>
    </row>
    <row r="3372">
      <c r="A3372" s="1">
        <v>3370.0</v>
      </c>
      <c r="B3372" s="4" t="s">
        <v>5788</v>
      </c>
      <c r="C3372" s="4" t="str">
        <f>IFERROR(__xludf.DUMMYFUNCTION("GOOGLETRANSLATE(D:D,""auto"",""en"")"),"Women's Day")</f>
        <v>Women's Day</v>
      </c>
      <c r="D3372" s="4" t="s">
        <v>5819</v>
      </c>
      <c r="E3372" s="4">
        <v>7264219.0</v>
      </c>
      <c r="F3372" s="4">
        <v>21.0</v>
      </c>
      <c r="G3372" s="4" t="s">
        <v>5820</v>
      </c>
    </row>
    <row r="3373">
      <c r="A3373" s="1">
        <v>3371.0</v>
      </c>
      <c r="B3373" s="4" t="s">
        <v>5788</v>
      </c>
      <c r="C3373" s="4" t="str">
        <f>IFERROR(__xludf.DUMMYFUNCTION("GOOGLETRANSLATE(D:D,""auto"",""en"")"),"Shenjun Liang and his son have been reunited")</f>
        <v>Shenjun Liang and his son have been reunited</v>
      </c>
      <c r="D3373" s="4" t="s">
        <v>5821</v>
      </c>
      <c r="E3373" s="4">
        <v>7210807.0</v>
      </c>
      <c r="F3373" s="4">
        <v>22.0</v>
      </c>
      <c r="G3373" s="4" t="s">
        <v>5822</v>
      </c>
    </row>
    <row r="3374">
      <c r="A3374" s="1">
        <v>3372.0</v>
      </c>
      <c r="B3374" s="4" t="s">
        <v>5788</v>
      </c>
      <c r="C3374" s="4" t="str">
        <f>IFERROR(__xludf.DUMMYFUNCTION("GOOGLETRANSLATE(D:D,""auto"",""en"")"),"One child was rescued collapsed hotel")</f>
        <v>One child was rescued collapsed hotel</v>
      </c>
      <c r="D3374" s="4" t="s">
        <v>5823</v>
      </c>
      <c r="E3374" s="4">
        <v>7194201.0</v>
      </c>
      <c r="F3374" s="4">
        <v>23.0</v>
      </c>
      <c r="G3374" s="4" t="s">
        <v>5824</v>
      </c>
    </row>
    <row r="3375">
      <c r="A3375" s="1">
        <v>3373.0</v>
      </c>
      <c r="B3375" s="4" t="s">
        <v>5788</v>
      </c>
      <c r="C3375" s="4" t="str">
        <f>IFERROR(__xludf.DUMMYFUNCTION("GOOGLETRANSLATE(D:D,""auto"",""en"")"),"Korea added 367 cases of pneumonia new crown")</f>
        <v>Korea added 367 cases of pneumonia new crown</v>
      </c>
      <c r="D3375" s="4" t="s">
        <v>5825</v>
      </c>
      <c r="E3375" s="4">
        <v>7182655.0</v>
      </c>
      <c r="F3375" s="4">
        <v>24.0</v>
      </c>
      <c r="G3375" s="4" t="s">
        <v>5826</v>
      </c>
    </row>
    <row r="3376">
      <c r="A3376" s="1">
        <v>3374.0</v>
      </c>
      <c r="B3376" s="4" t="s">
        <v>5788</v>
      </c>
      <c r="C3376" s="4" t="str">
        <f>IFERROR(__xludf.DUMMYFUNCTION("GOOGLETRANSLATE(D:D,""auto"",""en"")"),"The Chinese government donated US $ 20 million to WHO")</f>
        <v>The Chinese government donated US $ 20 million to WHO</v>
      </c>
      <c r="D3376" s="4" t="s">
        <v>5827</v>
      </c>
      <c r="E3376" s="4">
        <v>7176628.0</v>
      </c>
      <c r="F3376" s="4">
        <v>25.0</v>
      </c>
      <c r="G3376" s="4" t="s">
        <v>5828</v>
      </c>
    </row>
    <row r="3377">
      <c r="A3377" s="1">
        <v>3375.0</v>
      </c>
      <c r="B3377" s="4" t="s">
        <v>5788</v>
      </c>
      <c r="C3377" s="4" t="str">
        <f>IFERROR(__xludf.DUMMYFUNCTION("GOOGLETRANSLATE(D:D,""auto"",""en"")"),"3 new cases are outside inputs except Hubei")</f>
        <v>3 new cases are outside inputs except Hubei</v>
      </c>
      <c r="D3377" s="4" t="s">
        <v>5829</v>
      </c>
      <c r="E3377" s="4">
        <v>7175935.0</v>
      </c>
      <c r="F3377" s="4">
        <v>26.0</v>
      </c>
      <c r="G3377" s="4" t="s">
        <v>5830</v>
      </c>
    </row>
    <row r="3378">
      <c r="A3378" s="1">
        <v>3376.0</v>
      </c>
      <c r="B3378" s="4" t="s">
        <v>5788</v>
      </c>
      <c r="C3378" s="4" t="str">
        <f>IFERROR(__xludf.DUMMYFUNCTION("GOOGLETRANSLATE(D:D,""auto"",""en"")"),"Women's Day line of the fight against SARS")</f>
        <v>Women's Day line of the fight against SARS</v>
      </c>
      <c r="D3378" s="4" t="s">
        <v>5831</v>
      </c>
      <c r="E3378" s="4">
        <v>7175724.0</v>
      </c>
      <c r="F3378" s="4">
        <v>27.0</v>
      </c>
      <c r="G3378" s="4" t="s">
        <v>5832</v>
      </c>
    </row>
    <row r="3379">
      <c r="A3379" s="1">
        <v>3377.0</v>
      </c>
      <c r="B3379" s="4" t="s">
        <v>5788</v>
      </c>
      <c r="C3379" s="4" t="str">
        <f>IFERROR(__xludf.DUMMYFUNCTION("GOOGLETRANSLATE(D:D,""auto"",""en"")"),"Jia welcomed the Quanzhou hotel surveillance video instant collapse")</f>
        <v>Jia welcomed the Quanzhou hotel surveillance video instant collapse</v>
      </c>
      <c r="D3379" s="4" t="s">
        <v>5833</v>
      </c>
      <c r="E3379" s="4">
        <v>7175693.0</v>
      </c>
      <c r="F3379" s="4">
        <v>28.0</v>
      </c>
      <c r="G3379" s="4" t="s">
        <v>5834</v>
      </c>
    </row>
    <row r="3380">
      <c r="A3380" s="1">
        <v>3378.0</v>
      </c>
      <c r="B3380" s="4" t="s">
        <v>5788</v>
      </c>
      <c r="C3380" s="4" t="str">
        <f>IFERROR(__xludf.DUMMYFUNCTION("GOOGLETRANSLATE(D:D,""auto"",""en"")"),"Brush my ID card")</f>
        <v>Brush my ID card</v>
      </c>
      <c r="D3380" s="4" t="s">
        <v>5835</v>
      </c>
      <c r="E3380" s="4">
        <v>7135740.0</v>
      </c>
      <c r="F3380" s="4">
        <v>29.0</v>
      </c>
      <c r="G3380" s="4" t="s">
        <v>5836</v>
      </c>
    </row>
    <row r="3381">
      <c r="A3381" s="1">
        <v>3379.0</v>
      </c>
      <c r="B3381" s="4" t="s">
        <v>5788</v>
      </c>
      <c r="C3381" s="4" t="str">
        <f>IFERROR(__xludf.DUMMYFUNCTION("GOOGLETRANSLATE(D:D,""auto"",""en"")"),"Dance version looking for Saipan")</f>
        <v>Dance version looking for Saipan</v>
      </c>
      <c r="D3381" s="4" t="s">
        <v>5730</v>
      </c>
      <c r="E3381" s="4">
        <v>7101429.0</v>
      </c>
      <c r="F3381" s="4">
        <v>30.0</v>
      </c>
      <c r="G3381" s="4" t="s">
        <v>5731</v>
      </c>
    </row>
    <row r="3382">
      <c r="A3382" s="1">
        <v>3380.0</v>
      </c>
      <c r="B3382" s="4" t="s">
        <v>5788</v>
      </c>
      <c r="C3382" s="4" t="str">
        <f>IFERROR(__xludf.DUMMYFUNCTION("GOOGLETRANSLATE(D:D,""auto"",""en"")"),"College entrance examination will be postponed to June 26 the Department of rumors")</f>
        <v>College entrance examination will be postponed to June 26 the Department of rumors</v>
      </c>
      <c r="D3382" s="4" t="s">
        <v>5837</v>
      </c>
      <c r="E3382" s="4">
        <v>6995955.0</v>
      </c>
      <c r="F3382" s="4">
        <v>31.0</v>
      </c>
      <c r="G3382" s="4" t="s">
        <v>5838</v>
      </c>
    </row>
    <row r="3383">
      <c r="A3383" s="1">
        <v>3381.0</v>
      </c>
      <c r="B3383" s="4" t="s">
        <v>5788</v>
      </c>
      <c r="C3383" s="4" t="str">
        <f>IFERROR(__xludf.DUMMYFUNCTION("GOOGLETRANSLATE(D:D,""auto"",""en"")"),"JiangMengJie father and daughter talk Yoon being shot")</f>
        <v>JiangMengJie father and daughter talk Yoon being shot</v>
      </c>
      <c r="D3383" s="4" t="s">
        <v>5724</v>
      </c>
      <c r="E3383" s="4">
        <v>6987777.0</v>
      </c>
      <c r="F3383" s="4">
        <v>32.0</v>
      </c>
      <c r="G3383" s="4" t="s">
        <v>5725</v>
      </c>
    </row>
    <row r="3384">
      <c r="A3384" s="1">
        <v>3382.0</v>
      </c>
      <c r="B3384" s="4" t="s">
        <v>5788</v>
      </c>
      <c r="C3384" s="4" t="str">
        <f>IFERROR(__xludf.DUMMYFUNCTION("GOOGLETRANSLATE(D:D,""auto"",""en"")"),"Ghost Story Liu Yifei style")</f>
        <v>Ghost Story Liu Yifei style</v>
      </c>
      <c r="D3384" s="4" t="s">
        <v>5839</v>
      </c>
      <c r="E3384" s="4">
        <v>6959972.0</v>
      </c>
      <c r="F3384" s="4">
        <v>33.0</v>
      </c>
      <c r="G3384" s="4" t="s">
        <v>5840</v>
      </c>
    </row>
    <row r="3385">
      <c r="A3385" s="1">
        <v>3383.0</v>
      </c>
      <c r="B3385" s="4" t="s">
        <v>5788</v>
      </c>
      <c r="C3385" s="4" t="str">
        <f>IFERROR(__xludf.DUMMYFUNCTION("GOOGLETRANSLATE(D:D,""auto"",""en"")"),"The official response was received Vulcan mountain aided by the isolation fees")</f>
        <v>The official response was received Vulcan mountain aided by the isolation fees</v>
      </c>
      <c r="D3385" s="4" t="s">
        <v>5841</v>
      </c>
      <c r="E3385" s="4">
        <v>6854780.0</v>
      </c>
      <c r="F3385" s="4">
        <v>34.0</v>
      </c>
      <c r="G3385" s="4" t="s">
        <v>5842</v>
      </c>
    </row>
    <row r="3386">
      <c r="A3386" s="1">
        <v>3384.0</v>
      </c>
      <c r="B3386" s="4" t="s">
        <v>5788</v>
      </c>
      <c r="C3386" s="4" t="str">
        <f>IFERROR(__xludf.DUMMYFUNCTION("GOOGLETRANSLATE(D:D,""auto"",""en"")"),"Sun Yang teacher to leave the Chinese swimming team")</f>
        <v>Sun Yang teacher to leave the Chinese swimming team</v>
      </c>
      <c r="D3386" s="4" t="s">
        <v>5843</v>
      </c>
      <c r="E3386" s="4">
        <v>6845020.0</v>
      </c>
      <c r="F3386" s="4">
        <v>35.0</v>
      </c>
      <c r="G3386" s="4" t="s">
        <v>5844</v>
      </c>
    </row>
    <row r="3387">
      <c r="A3387" s="1">
        <v>3385.0</v>
      </c>
      <c r="B3387" s="4" t="s">
        <v>5788</v>
      </c>
      <c r="C3387" s="4" t="str">
        <f>IFERROR(__xludf.DUMMYFUNCTION("GOOGLETRANSLATE(D:D,""auto"",""en"")"),"James said that if the empty field refusal to play")</f>
        <v>James said that if the empty field refusal to play</v>
      </c>
      <c r="D3387" s="4" t="s">
        <v>5726</v>
      </c>
      <c r="E3387" s="4">
        <v>6843063.0</v>
      </c>
      <c r="F3387" s="4">
        <v>36.0</v>
      </c>
      <c r="G3387" s="4" t="s">
        <v>5727</v>
      </c>
    </row>
    <row r="3388">
      <c r="A3388" s="1">
        <v>3386.0</v>
      </c>
      <c r="B3388" s="4" t="s">
        <v>5788</v>
      </c>
      <c r="C3388" s="4" t="str">
        <f>IFERROR(__xludf.DUMMYFUNCTION("GOOGLETRANSLATE(D:D,""auto"",""en"")"),"Shenjun Liang couple's son and abducted 15-year reunion")</f>
        <v>Shenjun Liang couple's son and abducted 15-year reunion</v>
      </c>
      <c r="D3388" s="4" t="s">
        <v>5845</v>
      </c>
      <c r="E3388" s="4">
        <v>6833781.0</v>
      </c>
      <c r="F3388" s="4">
        <v>37.0</v>
      </c>
      <c r="G3388" s="4" t="s">
        <v>5846</v>
      </c>
    </row>
    <row r="3389">
      <c r="A3389" s="1">
        <v>3387.0</v>
      </c>
      <c r="B3389" s="4" t="s">
        <v>5788</v>
      </c>
      <c r="C3389" s="4" t="str">
        <f>IFERROR(__xludf.DUMMYFUNCTION("GOOGLETRANSLATE(D:D,""auto"",""en"")"),"Dance students how the Internet is a lesson")</f>
        <v>Dance students how the Internet is a lesson</v>
      </c>
      <c r="D3389" s="4" t="s">
        <v>5732</v>
      </c>
      <c r="E3389" s="4">
        <v>6829532.0</v>
      </c>
      <c r="F3389" s="4">
        <v>38.0</v>
      </c>
      <c r="G3389" s="4" t="s">
        <v>5733</v>
      </c>
    </row>
    <row r="3390">
      <c r="A3390" s="1">
        <v>3388.0</v>
      </c>
      <c r="B3390" s="4" t="s">
        <v>5788</v>
      </c>
      <c r="C3390" s="4" t="str">
        <f>IFERROR(__xludf.DUMMYFUNCTION("GOOGLETRANSLATE(D:D,""auto"",""en"")"),"Hangzhou Auxiliary little sister network-wide levy boyfriend")</f>
        <v>Hangzhou Auxiliary little sister network-wide levy boyfriend</v>
      </c>
      <c r="D3390" s="4" t="s">
        <v>5740</v>
      </c>
      <c r="E3390" s="4">
        <v>6815774.0</v>
      </c>
      <c r="F3390" s="4">
        <v>39.0</v>
      </c>
      <c r="G3390" s="4" t="s">
        <v>5741</v>
      </c>
    </row>
    <row r="3391">
      <c r="A3391" s="1">
        <v>3389.0</v>
      </c>
      <c r="B3391" s="4" t="s">
        <v>5788</v>
      </c>
      <c r="C3391" s="4" t="str">
        <f>IFERROR(__xludf.DUMMYFUNCTION("GOOGLETRANSLATE(D:D,""auto"",""en"")"),"Park Seo-joon and fans to shout")</f>
        <v>Park Seo-joon and fans to shout</v>
      </c>
      <c r="D3391" s="4" t="s">
        <v>5847</v>
      </c>
      <c r="E3391" s="4">
        <v>6747684.0</v>
      </c>
      <c r="F3391" s="4">
        <v>40.0</v>
      </c>
      <c r="G3391" s="4" t="s">
        <v>5848</v>
      </c>
    </row>
    <row r="3392">
      <c r="A3392" s="1">
        <v>3390.0</v>
      </c>
      <c r="B3392" s="4" t="s">
        <v>5788</v>
      </c>
      <c r="C3392" s="4" t="str">
        <f>IFERROR(__xludf.DUMMYFUNCTION("GOOGLETRANSLATE(D:D,""auto"",""en"")"),"Yuhong men's team Fahrenheit")</f>
        <v>Yuhong men's team Fahrenheit</v>
      </c>
      <c r="D3392" s="4" t="s">
        <v>5849</v>
      </c>
      <c r="E3392" s="4">
        <v>6569824.0</v>
      </c>
      <c r="F3392" s="4">
        <v>41.0</v>
      </c>
      <c r="G3392" s="4" t="s">
        <v>5850</v>
      </c>
    </row>
    <row r="3393">
      <c r="A3393" s="1">
        <v>3391.0</v>
      </c>
      <c r="B3393" s="4" t="s">
        <v>5788</v>
      </c>
      <c r="C3393" s="4" t="str">
        <f>IFERROR(__xludf.DUMMYFUNCTION("GOOGLETRANSLATE(D:D,""auto"",""en"")"),"Zhang Yixing handsome boxing")</f>
        <v>Zhang Yixing handsome boxing</v>
      </c>
      <c r="D3393" s="4" t="s">
        <v>5851</v>
      </c>
      <c r="E3393" s="4">
        <v>6542917.0</v>
      </c>
      <c r="F3393" s="4">
        <v>42.0</v>
      </c>
      <c r="G3393" s="4" t="s">
        <v>5852</v>
      </c>
    </row>
    <row r="3394">
      <c r="A3394" s="1">
        <v>3392.0</v>
      </c>
      <c r="B3394" s="4" t="s">
        <v>5788</v>
      </c>
      <c r="C3394" s="4" t="str">
        <f>IFERROR(__xludf.DUMMYFUNCTION("GOOGLETRANSLATE(D:D,""auto"",""en"")"),"Quanzhou hotel collapse has caused 10 deaths")</f>
        <v>Quanzhou hotel collapse has caused 10 deaths</v>
      </c>
      <c r="D3394" s="4" t="s">
        <v>5853</v>
      </c>
      <c r="E3394" s="4">
        <v>6432979.0</v>
      </c>
      <c r="F3394" s="4">
        <v>43.0</v>
      </c>
      <c r="G3394" s="4" t="s">
        <v>5854</v>
      </c>
    </row>
    <row r="3395">
      <c r="A3395" s="1">
        <v>3393.0</v>
      </c>
      <c r="B3395" s="4" t="s">
        <v>5788</v>
      </c>
      <c r="C3395" s="4" t="str">
        <f>IFERROR(__xludf.DUMMYFUNCTION("GOOGLETRANSLATE(D:D,""auto"",""en"")"),"Nanjing diagnosed patients were cured")</f>
        <v>Nanjing diagnosed patients were cured</v>
      </c>
      <c r="D3395" s="4" t="s">
        <v>5855</v>
      </c>
      <c r="E3395" s="4">
        <v>6338899.0</v>
      </c>
      <c r="F3395" s="4">
        <v>44.0</v>
      </c>
      <c r="G3395" s="4" t="s">
        <v>5856</v>
      </c>
    </row>
    <row r="3396">
      <c r="A3396" s="1">
        <v>3394.0</v>
      </c>
      <c r="B3396" s="4" t="s">
        <v>5788</v>
      </c>
      <c r="C3396" s="4" t="str">
        <f>IFERROR(__xludf.DUMMYFUNCTION("GOOGLETRANSLATE(D:D,""auto"",""en"")"),"Super Moon")</f>
        <v>Super Moon</v>
      </c>
      <c r="D3396" s="4" t="s">
        <v>5722</v>
      </c>
      <c r="E3396" s="4">
        <v>6314660.0</v>
      </c>
      <c r="F3396" s="4">
        <v>45.0</v>
      </c>
      <c r="G3396" s="4" t="s">
        <v>5723</v>
      </c>
    </row>
    <row r="3397">
      <c r="A3397" s="1">
        <v>3395.0</v>
      </c>
      <c r="B3397" s="4" t="s">
        <v>5788</v>
      </c>
      <c r="C3397" s="4" t="str">
        <f>IFERROR(__xludf.DUMMYFUNCTION("GOOGLETRANSLATE(D:D,""auto"",""en"")"),"Li Jia Hang wear a flower")</f>
        <v>Li Jia Hang wear a flower</v>
      </c>
      <c r="D3397" s="4" t="s">
        <v>5857</v>
      </c>
      <c r="E3397" s="4">
        <v>6284787.0</v>
      </c>
      <c r="F3397" s="4">
        <v>46.0</v>
      </c>
      <c r="G3397" s="4" t="s">
        <v>5858</v>
      </c>
    </row>
    <row r="3398">
      <c r="A3398" s="1">
        <v>3396.0</v>
      </c>
      <c r="B3398" s="4" t="s">
        <v>5788</v>
      </c>
      <c r="C3398" s="4" t="str">
        <f>IFERROR(__xludf.DUMMYFUNCTION("GOOGLETRANSLATE(D:D,""auto"",""en"")"),"Shenjun Liang acknowledged family has arrived in Guangzhou")</f>
        <v>Shenjun Liang acknowledged family has arrived in Guangzhou</v>
      </c>
      <c r="D3398" s="4" t="s">
        <v>5728</v>
      </c>
      <c r="E3398" s="4">
        <v>6201445.0</v>
      </c>
      <c r="F3398" s="4">
        <v>47.0</v>
      </c>
      <c r="G3398" s="4" t="s">
        <v>5729</v>
      </c>
    </row>
    <row r="3399">
      <c r="A3399" s="1">
        <v>3397.0</v>
      </c>
      <c r="B3399" s="4" t="s">
        <v>5788</v>
      </c>
      <c r="C3399" s="4" t="str">
        <f>IFERROR(__xludf.DUMMYFUNCTION("GOOGLETRANSLATE(D:D,""auto"",""en"")"),"Procuratorial Daily Sun Yang Comment banned for eight years")</f>
        <v>Procuratorial Daily Sun Yang Comment banned for eight years</v>
      </c>
      <c r="D3399" s="4" t="s">
        <v>5716</v>
      </c>
      <c r="E3399" s="4">
        <v>6113993.0</v>
      </c>
      <c r="F3399" s="4">
        <v>48.0</v>
      </c>
      <c r="G3399" s="4" t="s">
        <v>5717</v>
      </c>
    </row>
    <row r="3400">
      <c r="A3400" s="1">
        <v>3398.0</v>
      </c>
      <c r="B3400" s="4" t="s">
        <v>5788</v>
      </c>
      <c r="C3400" s="4" t="str">
        <f>IFERROR(__xludf.DUMMYFUNCTION("GOOGLETRANSLATE(D:D,""auto"",""en"")"),"Ju Jing Yi winter")</f>
        <v>Ju Jing Yi winter</v>
      </c>
      <c r="D3400" s="4" t="s">
        <v>5665</v>
      </c>
      <c r="E3400" s="4">
        <v>6079276.0</v>
      </c>
      <c r="F3400" s="4">
        <v>49.0</v>
      </c>
      <c r="G3400" s="4" t="s">
        <v>5666</v>
      </c>
    </row>
    <row r="3401">
      <c r="A3401" s="1">
        <v>3399.0</v>
      </c>
      <c r="B3401" s="4" t="s">
        <v>5788</v>
      </c>
      <c r="C3401" s="4" t="str">
        <f>IFERROR(__xludf.DUMMYFUNCTION("GOOGLETRANSLATE(D:D,""auto"",""en"")"),"Xu Kai fans to name Alaso")</f>
        <v>Xu Kai fans to name Alaso</v>
      </c>
      <c r="D3401" s="4" t="s">
        <v>5663</v>
      </c>
      <c r="E3401" s="4">
        <v>6053591.0</v>
      </c>
      <c r="F3401" s="4">
        <v>50.0</v>
      </c>
      <c r="G3401" s="4" t="s">
        <v>5664</v>
      </c>
    </row>
    <row r="3402">
      <c r="A3402" s="1">
        <v>3400.0</v>
      </c>
      <c r="B3402" s="4" t="s">
        <v>5859</v>
      </c>
      <c r="C3402" s="4" t="str">
        <f>IFERROR(__xludf.DUMMYFUNCTION("GOOGLETRANSLATE(D:D,""auto"",""en"")"),"2020 The first Super Moon")</f>
        <v>2020 The first Super Moon</v>
      </c>
      <c r="D3402" s="4" t="s">
        <v>5860</v>
      </c>
      <c r="E3402" s="4">
        <v>1.0704368E7</v>
      </c>
      <c r="F3402" s="4">
        <v>1.0</v>
      </c>
      <c r="G3402" s="4" t="s">
        <v>5861</v>
      </c>
    </row>
    <row r="3403">
      <c r="A3403" s="1">
        <v>3401.0</v>
      </c>
      <c r="B3403" s="4" t="s">
        <v>5859</v>
      </c>
      <c r="C3403" s="4" t="str">
        <f>IFERROR(__xludf.DUMMYFUNCTION("GOOGLETRANSLATE(D:D,""auto"",""en"")"),"Ling Ye challenge")</f>
        <v>Ling Ye challenge</v>
      </c>
      <c r="D3403" s="4" t="s">
        <v>5862</v>
      </c>
      <c r="E3403" s="4">
        <v>1.0599113E7</v>
      </c>
      <c r="F3403" s="4">
        <v>2.0</v>
      </c>
      <c r="G3403" s="4" t="s">
        <v>5863</v>
      </c>
    </row>
    <row r="3404">
      <c r="A3404" s="1">
        <v>3402.0</v>
      </c>
      <c r="B3404" s="4" t="s">
        <v>5859</v>
      </c>
      <c r="C3404" s="4" t="str">
        <f>IFERROR(__xludf.DUMMYFUNCTION("GOOGLETRANSLATE(D:D,""auto"",""en"")"),"Vanessa and Kobe Bryant sun eldest daughter GiGi photo murals")</f>
        <v>Vanessa and Kobe Bryant sun eldest daughter GiGi photo murals</v>
      </c>
      <c r="D3404" s="4" t="s">
        <v>5864</v>
      </c>
      <c r="E3404" s="4">
        <v>1.0438798E7</v>
      </c>
      <c r="F3404" s="4">
        <v>3.0</v>
      </c>
      <c r="G3404" s="4" t="s">
        <v>5865</v>
      </c>
    </row>
    <row r="3405">
      <c r="A3405" s="1">
        <v>3403.0</v>
      </c>
      <c r="B3405" s="4" t="s">
        <v>5859</v>
      </c>
      <c r="C3405" s="4" t="str">
        <f>IFERROR(__xludf.DUMMYFUNCTION("GOOGLETRANSLATE(D:D,""auto"",""en"")"),"Yi Xi smelt one thousand terrible thing")</f>
        <v>Yi Xi smelt one thousand terrible thing</v>
      </c>
      <c r="D3405" s="4" t="s">
        <v>5866</v>
      </c>
      <c r="E3405" s="4">
        <v>1.0410383E7</v>
      </c>
      <c r="F3405" s="4">
        <v>4.0</v>
      </c>
      <c r="G3405" s="4" t="s">
        <v>5867</v>
      </c>
    </row>
    <row r="3406">
      <c r="A3406" s="1">
        <v>3404.0</v>
      </c>
      <c r="B3406" s="4" t="s">
        <v>5859</v>
      </c>
      <c r="C3406" s="4" t="str">
        <f>IFERROR(__xludf.DUMMYFUNCTION("GOOGLETRANSLATE(D:D,""auto"",""en"")"),"Sean Sun jump Square Dance")</f>
        <v>Sean Sun jump Square Dance</v>
      </c>
      <c r="D3406" s="4" t="s">
        <v>5868</v>
      </c>
      <c r="E3406" s="4">
        <v>9827365.0</v>
      </c>
      <c r="F3406" s="4">
        <v>5.0</v>
      </c>
      <c r="G3406" s="4" t="s">
        <v>5869</v>
      </c>
    </row>
    <row r="3407">
      <c r="A3407" s="1">
        <v>3405.0</v>
      </c>
      <c r="B3407" s="4" t="s">
        <v>5859</v>
      </c>
      <c r="C3407" s="4" t="str">
        <f>IFERROR(__xludf.DUMMYFUNCTION("GOOGLETRANSLATE(D:D,""auto"",""en"")"),"Angelababy Variety hair color")</f>
        <v>Angelababy Variety hair color</v>
      </c>
      <c r="D3407" s="4" t="s">
        <v>5870</v>
      </c>
      <c r="E3407" s="4">
        <v>9751636.0</v>
      </c>
      <c r="F3407" s="4">
        <v>6.0</v>
      </c>
      <c r="G3407" s="4" t="s">
        <v>5871</v>
      </c>
    </row>
    <row r="3408">
      <c r="A3408" s="1">
        <v>3406.0</v>
      </c>
      <c r="B3408" s="4" t="s">
        <v>5859</v>
      </c>
      <c r="C3408" s="4" t="str">
        <f>IFERROR(__xludf.DUMMYFUNCTION("GOOGLETRANSLATE(D:D,""auto"",""en"")"),"Shenjun Liang couple's son and abducted 15-year reunion")</f>
        <v>Shenjun Liang couple's son and abducted 15-year reunion</v>
      </c>
      <c r="D3408" s="4" t="s">
        <v>5845</v>
      </c>
      <c r="E3408" s="4">
        <v>9411499.0</v>
      </c>
      <c r="F3408" s="4">
        <v>7.0</v>
      </c>
      <c r="G3408" s="4" t="s">
        <v>5846</v>
      </c>
    </row>
    <row r="3409">
      <c r="A3409" s="1">
        <v>3407.0</v>
      </c>
      <c r="B3409" s="4" t="s">
        <v>5859</v>
      </c>
      <c r="C3409" s="4" t="str">
        <f>IFERROR(__xludf.DUMMYFUNCTION("GOOGLETRANSLATE(D:D,""auto"",""en"")"),"3.15 show will be broadcast delayed")</f>
        <v>3.15 show will be broadcast delayed</v>
      </c>
      <c r="D3409" s="4" t="s">
        <v>5872</v>
      </c>
      <c r="E3409" s="4">
        <v>9385899.0</v>
      </c>
      <c r="F3409" s="4">
        <v>8.0</v>
      </c>
      <c r="G3409" s="4" t="s">
        <v>5873</v>
      </c>
    </row>
    <row r="3410">
      <c r="A3410" s="1">
        <v>3408.0</v>
      </c>
      <c r="B3410" s="4" t="s">
        <v>5859</v>
      </c>
      <c r="C3410" s="4" t="str">
        <f>IFERROR(__xludf.DUMMYFUNCTION("GOOGLETRANSLATE(D:D,""auto"",""en"")"),"40 cases of new confirmed cases nationwide")</f>
        <v>40 cases of new confirmed cases nationwide</v>
      </c>
      <c r="D3410" s="4" t="s">
        <v>5874</v>
      </c>
      <c r="E3410" s="4">
        <v>9005825.0</v>
      </c>
      <c r="F3410" s="4">
        <v>9.0</v>
      </c>
      <c r="G3410" s="4" t="s">
        <v>5875</v>
      </c>
    </row>
    <row r="3411">
      <c r="A3411" s="1">
        <v>3409.0</v>
      </c>
      <c r="B3411" s="4" t="s">
        <v>5859</v>
      </c>
      <c r="C3411" s="4" t="str">
        <f>IFERROR(__xludf.DUMMYFUNCTION("GOOGLETRANSLATE(D:D,""auto"",""en"")"),"Yang Zi airport protective styling")</f>
        <v>Yang Zi airport protective styling</v>
      </c>
      <c r="D3411" s="4" t="s">
        <v>5876</v>
      </c>
      <c r="E3411" s="4">
        <v>8551939.0</v>
      </c>
      <c r="F3411" s="4">
        <v>10.0</v>
      </c>
      <c r="G3411" s="4" t="s">
        <v>5877</v>
      </c>
    </row>
    <row r="3412">
      <c r="A3412" s="1">
        <v>3410.0</v>
      </c>
      <c r="B3412" s="4" t="s">
        <v>5859</v>
      </c>
      <c r="C3412" s="4" t="str">
        <f>IFERROR(__xludf.DUMMYFUNCTION("GOOGLETRANSLATE(D:D,""auto"",""en"")"),"4 new cases are outside inputs except Hubei")</f>
        <v>4 new cases are outside inputs except Hubei</v>
      </c>
      <c r="D3412" s="4" t="s">
        <v>5878</v>
      </c>
      <c r="E3412" s="4">
        <v>8479903.0</v>
      </c>
      <c r="F3412" s="4">
        <v>11.0</v>
      </c>
      <c r="G3412" s="4" t="s">
        <v>5879</v>
      </c>
    </row>
    <row r="3413">
      <c r="A3413" s="1">
        <v>3411.0</v>
      </c>
      <c r="B3413" s="4" t="s">
        <v>5859</v>
      </c>
      <c r="C3413" s="4" t="str">
        <f>IFERROR(__xludf.DUMMYFUNCTION("GOOGLETRANSLATE(D:D,""auto"",""en"")"),"Zhang Weili reigning UFC world champion")</f>
        <v>Zhang Weili reigning UFC world champion</v>
      </c>
      <c r="D3413" s="4" t="s">
        <v>5791</v>
      </c>
      <c r="E3413" s="4">
        <v>8347262.0</v>
      </c>
      <c r="F3413" s="4">
        <v>12.0</v>
      </c>
      <c r="G3413" s="4" t="s">
        <v>5792</v>
      </c>
    </row>
    <row r="3414">
      <c r="A3414" s="1">
        <v>3412.0</v>
      </c>
      <c r="B3414" s="4" t="s">
        <v>5859</v>
      </c>
      <c r="C3414" s="4" t="str">
        <f>IFERROR(__xludf.DUMMYFUNCTION("GOOGLETRANSLATE(D:D,""auto"",""en"")"),"Thailand Ouyang Nana godfather is actor TAE")</f>
        <v>Thailand Ouyang Nana godfather is actor TAE</v>
      </c>
      <c r="D3414" s="4" t="s">
        <v>5880</v>
      </c>
      <c r="E3414" s="4">
        <v>8302647.0</v>
      </c>
      <c r="F3414" s="4">
        <v>13.0</v>
      </c>
      <c r="G3414" s="4" t="s">
        <v>5881</v>
      </c>
    </row>
    <row r="3415">
      <c r="A3415" s="1">
        <v>3413.0</v>
      </c>
      <c r="B3415" s="4" t="s">
        <v>5859</v>
      </c>
      <c r="C3415" s="4" t="str">
        <f>IFERROR(__xludf.DUMMYFUNCTION("GOOGLETRANSLATE(D:D,""auto"",""en"")"),"Joey Wu Lei Song broke the news that health boy")</f>
        <v>Joey Wu Lei Song broke the news that health boy</v>
      </c>
      <c r="D3415" s="4" t="s">
        <v>5789</v>
      </c>
      <c r="E3415" s="4">
        <v>8245348.0</v>
      </c>
      <c r="F3415" s="4">
        <v>14.0</v>
      </c>
      <c r="G3415" s="4" t="s">
        <v>5790</v>
      </c>
    </row>
    <row r="3416">
      <c r="A3416" s="1">
        <v>3414.0</v>
      </c>
      <c r="B3416" s="4" t="s">
        <v>5859</v>
      </c>
      <c r="C3416" s="4" t="str">
        <f>IFERROR(__xludf.DUMMYFUNCTION("GOOGLETRANSLATE(D:D,""auto"",""en"")"),"Taeyeon father died")</f>
        <v>Taeyeon father died</v>
      </c>
      <c r="D3416" s="4" t="s">
        <v>5882</v>
      </c>
      <c r="E3416" s="4">
        <v>8087374.0</v>
      </c>
      <c r="F3416" s="4">
        <v>15.0</v>
      </c>
      <c r="G3416" s="4" t="s">
        <v>5883</v>
      </c>
    </row>
    <row r="3417">
      <c r="A3417" s="1">
        <v>3415.0</v>
      </c>
      <c r="B3417" s="4" t="s">
        <v>5859</v>
      </c>
      <c r="C3417" s="4" t="str">
        <f>IFERROR(__xludf.DUMMYFUNCTION("GOOGLETRANSLATE(D:D,""auto"",""en"")"),"Lee now notice the background of N kinds of Open")</f>
        <v>Lee now notice the background of N kinds of Open</v>
      </c>
      <c r="D3417" s="4" t="s">
        <v>5797</v>
      </c>
      <c r="E3417" s="4">
        <v>8048459.0</v>
      </c>
      <c r="F3417" s="4">
        <v>16.0</v>
      </c>
      <c r="G3417" s="4" t="s">
        <v>5798</v>
      </c>
    </row>
    <row r="3418">
      <c r="A3418" s="1">
        <v>3416.0</v>
      </c>
      <c r="B3418" s="4" t="s">
        <v>5859</v>
      </c>
      <c r="C3418" s="4" t="str">
        <f>IFERROR(__xludf.DUMMYFUNCTION("GOOGLETRANSLATE(D:D,""auto"",""en"")"),"With a Hara brother sued his mother")</f>
        <v>With a Hara brother sued his mother</v>
      </c>
      <c r="D3418" s="4" t="s">
        <v>5884</v>
      </c>
      <c r="E3418" s="4">
        <v>7993961.0</v>
      </c>
      <c r="F3418" s="4">
        <v>17.0</v>
      </c>
      <c r="G3418" s="4" t="s">
        <v>5885</v>
      </c>
    </row>
    <row r="3419">
      <c r="A3419" s="1">
        <v>3417.0</v>
      </c>
      <c r="B3419" s="4" t="s">
        <v>5859</v>
      </c>
      <c r="C3419" s="4" t="str">
        <f>IFERROR(__xludf.DUMMYFUNCTION("GOOGLETRANSLATE(D:D,""auto"",""en"")"),"When Yu Shuxin see idol Lisa")</f>
        <v>When Yu Shuxin see idol Lisa</v>
      </c>
      <c r="D3419" s="4" t="s">
        <v>5886</v>
      </c>
      <c r="E3419" s="4">
        <v>7850839.0</v>
      </c>
      <c r="F3419" s="4">
        <v>18.0</v>
      </c>
      <c r="G3419" s="4" t="s">
        <v>5887</v>
      </c>
    </row>
    <row r="3420">
      <c r="A3420" s="1">
        <v>3418.0</v>
      </c>
      <c r="B3420" s="4" t="s">
        <v>5859</v>
      </c>
      <c r="C3420" s="4" t="str">
        <f>IFERROR(__xludf.DUMMYFUNCTION("GOOGLETRANSLATE(D:D,""auto"",""en"")"),"Even the fight against SARS nurse Mai Ho Kyung JJ tears collapse")</f>
        <v>Even the fight against SARS nurse Mai Ho Kyung JJ tears collapse</v>
      </c>
      <c r="D3420" s="4" t="s">
        <v>5888</v>
      </c>
      <c r="E3420" s="4">
        <v>7849241.0</v>
      </c>
      <c r="F3420" s="4">
        <v>19.0</v>
      </c>
      <c r="G3420" s="4" t="s">
        <v>5889</v>
      </c>
    </row>
    <row r="3421">
      <c r="A3421" s="1">
        <v>3419.0</v>
      </c>
      <c r="B3421" s="4" t="s">
        <v>5859</v>
      </c>
      <c r="C3421" s="4" t="str">
        <f>IFERROR(__xludf.DUMMYFUNCTION("GOOGLETRANSLATE(D:D,""auto"",""en"")"),"South Korea confirmed a total of 7478 cases of pneumonia new crown")</f>
        <v>South Korea confirmed a total of 7478 cases of pneumonia new crown</v>
      </c>
      <c r="D3421" s="4" t="s">
        <v>5890</v>
      </c>
      <c r="E3421" s="4">
        <v>7753321.0</v>
      </c>
      <c r="F3421" s="4">
        <v>20.0</v>
      </c>
      <c r="G3421" s="4" t="s">
        <v>5891</v>
      </c>
    </row>
    <row r="3422">
      <c r="A3422" s="1">
        <v>3420.0</v>
      </c>
      <c r="B3422" s="4" t="s">
        <v>5859</v>
      </c>
      <c r="C3422" s="4" t="str">
        <f>IFERROR(__xludf.DUMMYFUNCTION("GOOGLETRANSLATE(D:D,""auto"",""en"")"),"Worth every step")</f>
        <v>Worth every step</v>
      </c>
      <c r="D3422" s="4" t="s">
        <v>5892</v>
      </c>
      <c r="E3422" s="4">
        <v>7662212.0</v>
      </c>
      <c r="F3422" s="4">
        <v>21.0</v>
      </c>
      <c r="G3422" s="4" t="s">
        <v>5893</v>
      </c>
    </row>
    <row r="3423">
      <c r="A3423" s="1">
        <v>3421.0</v>
      </c>
      <c r="B3423" s="4" t="s">
        <v>5859</v>
      </c>
      <c r="C3423" s="4" t="str">
        <f>IFERROR(__xludf.DUMMYFUNCTION("GOOGLETRANSLATE(D:D,""auto"",""en"")"),"Jay Park was beaten to respond")</f>
        <v>Jay Park was beaten to respond</v>
      </c>
      <c r="D3423" s="4" t="s">
        <v>5894</v>
      </c>
      <c r="E3423" s="4">
        <v>7348027.0</v>
      </c>
      <c r="F3423" s="4">
        <v>22.0</v>
      </c>
      <c r="G3423" s="4" t="s">
        <v>5895</v>
      </c>
    </row>
    <row r="3424">
      <c r="A3424" s="1">
        <v>3422.0</v>
      </c>
      <c r="B3424" s="4" t="s">
        <v>5859</v>
      </c>
      <c r="C3424" s="4" t="str">
        <f>IFERROR(__xludf.DUMMYFUNCTION("GOOGLETRANSLATE(D:D,""auto"",""en"")"),"Towards the whole network in")</f>
        <v>Towards the whole network in</v>
      </c>
      <c r="D3424" s="4" t="s">
        <v>5896</v>
      </c>
      <c r="E3424" s="4">
        <v>7293300.0</v>
      </c>
      <c r="F3424" s="4">
        <v>23.0</v>
      </c>
      <c r="G3424" s="4" t="s">
        <v>5897</v>
      </c>
    </row>
    <row r="3425">
      <c r="A3425" s="1">
        <v>3423.0</v>
      </c>
      <c r="B3425" s="4" t="s">
        <v>5859</v>
      </c>
      <c r="C3425" s="4" t="str">
        <f>IFERROR(__xludf.DUMMYFUNCTION("GOOGLETRANSLATE(D:D,""auto"",""en"")"),"Iran confirmed a total of 7161 cases of pneumonia new crown")</f>
        <v>Iran confirmed a total of 7161 cases of pneumonia new crown</v>
      </c>
      <c r="D3425" s="4" t="s">
        <v>5898</v>
      </c>
      <c r="E3425" s="4">
        <v>7268730.0</v>
      </c>
      <c r="F3425" s="4">
        <v>24.0</v>
      </c>
      <c r="G3425" s="4" t="s">
        <v>5899</v>
      </c>
    </row>
    <row r="3426">
      <c r="A3426" s="1">
        <v>3424.0</v>
      </c>
      <c r="B3426" s="4" t="s">
        <v>5859</v>
      </c>
      <c r="C3426" s="4" t="str">
        <f>IFERROR(__xludf.DUMMYFUNCTION("GOOGLETRANSLATE(D:D,""auto"",""en"")"),"College entrance examination will be postponed to June 26 the Department of rumors")</f>
        <v>College entrance examination will be postponed to June 26 the Department of rumors</v>
      </c>
      <c r="D3426" s="4" t="s">
        <v>5837</v>
      </c>
      <c r="E3426" s="4">
        <v>7104915.0</v>
      </c>
      <c r="F3426" s="4">
        <v>25.0</v>
      </c>
      <c r="G3426" s="4" t="s">
        <v>5838</v>
      </c>
    </row>
    <row r="3427">
      <c r="A3427" s="1">
        <v>3425.0</v>
      </c>
      <c r="B3427" s="4" t="s">
        <v>5859</v>
      </c>
      <c r="C3427" s="4" t="str">
        <f>IFERROR(__xludf.DUMMYFUNCTION("GOOGLETRANSLATE(D:D,""auto"",""en"")"),"Song Yaxuan Liuyao Wen female group dance")</f>
        <v>Song Yaxuan Liuyao Wen female group dance</v>
      </c>
      <c r="D3427" s="4" t="s">
        <v>5900</v>
      </c>
      <c r="E3427" s="4">
        <v>7094588.0</v>
      </c>
      <c r="F3427" s="4">
        <v>26.0</v>
      </c>
      <c r="G3427" s="4" t="s">
        <v>5901</v>
      </c>
    </row>
    <row r="3428">
      <c r="A3428" s="1">
        <v>3426.0</v>
      </c>
      <c r="B3428" s="4" t="s">
        <v>5859</v>
      </c>
      <c r="C3428" s="4" t="str">
        <f>IFERROR(__xludf.DUMMYFUNCTION("GOOGLETRANSLATE(D:D,""auto"",""en"")"),"Sun Yang teacher to leave the Chinese swimming team")</f>
        <v>Sun Yang teacher to leave the Chinese swimming team</v>
      </c>
      <c r="D3428" s="4" t="s">
        <v>5843</v>
      </c>
      <c r="E3428" s="4">
        <v>7088095.0</v>
      </c>
      <c r="F3428" s="4">
        <v>27.0</v>
      </c>
      <c r="G3428" s="4" t="s">
        <v>5844</v>
      </c>
    </row>
    <row r="3429">
      <c r="A3429" s="1">
        <v>3427.0</v>
      </c>
      <c r="B3429" s="4" t="s">
        <v>5859</v>
      </c>
      <c r="C3429" s="4" t="str">
        <f>IFERROR(__xludf.DUMMYFUNCTION("GOOGLETRANSLATE(D:D,""auto"",""en"")"),"Quanzhou hotel collapse has caused 11 deaths")</f>
        <v>Quanzhou hotel collapse has caused 11 deaths</v>
      </c>
      <c r="D3429" s="4" t="s">
        <v>5902</v>
      </c>
      <c r="E3429" s="4">
        <v>7034053.0</v>
      </c>
      <c r="F3429" s="4">
        <v>28.0</v>
      </c>
      <c r="G3429" s="4" t="s">
        <v>5903</v>
      </c>
    </row>
    <row r="3430">
      <c r="A3430" s="1">
        <v>3428.0</v>
      </c>
      <c r="B3430" s="4" t="s">
        <v>5859</v>
      </c>
      <c r="C3430" s="4" t="str">
        <f>IFERROR(__xludf.DUMMYFUNCTION("GOOGLETRANSLATE(D:D,""auto"",""en"")"),"James Beverly provocation")</f>
        <v>James Beverly provocation</v>
      </c>
      <c r="D3430" s="4" t="s">
        <v>5904</v>
      </c>
      <c r="E3430" s="4">
        <v>6924979.0</v>
      </c>
      <c r="F3430" s="4">
        <v>29.0</v>
      </c>
      <c r="G3430" s="4" t="s">
        <v>5905</v>
      </c>
    </row>
    <row r="3431">
      <c r="A3431" s="1">
        <v>3429.0</v>
      </c>
      <c r="B3431" s="4" t="s">
        <v>5859</v>
      </c>
      <c r="C3431" s="4" t="str">
        <f>IFERROR(__xludf.DUMMYFUNCTION("GOOGLETRANSLATE(D:D,""auto"",""en"")"),"No known who set up in response to Miss")</f>
        <v>No known who set up in response to Miss</v>
      </c>
      <c r="D3431" s="4" t="s">
        <v>5906</v>
      </c>
      <c r="E3431" s="4">
        <v>6898805.0</v>
      </c>
      <c r="F3431" s="4">
        <v>30.0</v>
      </c>
      <c r="G3431" s="4" t="s">
        <v>5907</v>
      </c>
    </row>
    <row r="3432">
      <c r="A3432" s="1">
        <v>3430.0</v>
      </c>
      <c r="B3432" s="4" t="s">
        <v>5859</v>
      </c>
      <c r="C3432" s="4" t="str">
        <f>IFERROR(__xludf.DUMMYFUNCTION("GOOGLETRANSLATE(D:D,""auto"",""en"")"),"Italy confirmed a total of 7375 cases of pneumonia new crown")</f>
        <v>Italy confirmed a total of 7375 cases of pneumonia new crown</v>
      </c>
      <c r="D3432" s="4" t="s">
        <v>5908</v>
      </c>
      <c r="E3432" s="4">
        <v>6753831.0</v>
      </c>
      <c r="F3432" s="4">
        <v>31.0</v>
      </c>
      <c r="G3432" s="4" t="s">
        <v>5909</v>
      </c>
    </row>
    <row r="3433">
      <c r="A3433" s="1">
        <v>3431.0</v>
      </c>
      <c r="B3433" s="4" t="s">
        <v>5859</v>
      </c>
      <c r="C3433" s="4" t="str">
        <f>IFERROR(__xludf.DUMMYFUNCTION("GOOGLETRANSLATE(D:D,""auto"",""en"")"),"Zhu Yilong hand-painted zebra")</f>
        <v>Zhu Yilong hand-painted zebra</v>
      </c>
      <c r="D3433" s="4" t="s">
        <v>5910</v>
      </c>
      <c r="E3433" s="4">
        <v>6683110.0</v>
      </c>
      <c r="F3433" s="4">
        <v>32.0</v>
      </c>
      <c r="G3433" s="4" t="s">
        <v>5911</v>
      </c>
    </row>
    <row r="3434">
      <c r="A3434" s="1">
        <v>3432.0</v>
      </c>
      <c r="B3434" s="4" t="s">
        <v>5859</v>
      </c>
      <c r="C3434" s="4" t="str">
        <f>IFERROR(__xludf.DUMMYFUNCTION("GOOGLETRANSLATE(D:D,""auto"",""en"")"),"Wu Chun issued")</f>
        <v>Wu Chun issued</v>
      </c>
      <c r="D3434" s="4" t="s">
        <v>5912</v>
      </c>
      <c r="E3434" s="4">
        <v>6571207.0</v>
      </c>
      <c r="F3434" s="4">
        <v>33.0</v>
      </c>
      <c r="G3434" s="4" t="s">
        <v>5913</v>
      </c>
    </row>
    <row r="3435">
      <c r="A3435" s="1">
        <v>3433.0</v>
      </c>
      <c r="B3435" s="4" t="s">
        <v>5859</v>
      </c>
      <c r="C3435" s="4" t="str">
        <f>IFERROR(__xludf.DUMMYFUNCTION("GOOGLETRANSLATE(D:D,""auto"",""en"")"),"Zhang Yixing handsome boxing")</f>
        <v>Zhang Yixing handsome boxing</v>
      </c>
      <c r="D3435" s="4" t="s">
        <v>5851</v>
      </c>
      <c r="E3435" s="4">
        <v>6506216.0</v>
      </c>
      <c r="F3435" s="4">
        <v>34.0</v>
      </c>
      <c r="G3435" s="4" t="s">
        <v>5852</v>
      </c>
    </row>
    <row r="3436">
      <c r="A3436" s="1">
        <v>3434.0</v>
      </c>
      <c r="B3436" s="4" t="s">
        <v>5859</v>
      </c>
      <c r="C3436" s="4" t="str">
        <f>IFERROR(__xludf.DUMMYFUNCTION("GOOGLETRANSLATE(D:D,""auto"",""en"")"),"Park Seo-joon and fans to shout")</f>
        <v>Park Seo-joon and fans to shout</v>
      </c>
      <c r="D3436" s="4" t="s">
        <v>5847</v>
      </c>
      <c r="E3436" s="4">
        <v>6384252.0</v>
      </c>
      <c r="F3436" s="4">
        <v>35.0</v>
      </c>
      <c r="G3436" s="4" t="s">
        <v>5848</v>
      </c>
    </row>
    <row r="3437">
      <c r="A3437" s="1">
        <v>3435.0</v>
      </c>
      <c r="B3437" s="4" t="s">
        <v>5859</v>
      </c>
      <c r="C3437" s="4" t="str">
        <f>IFERROR(__xludf.DUMMYFUNCTION("GOOGLETRANSLATE(D:D,""auto"",""en"")"),"After his son for the first time to recognize Shenjun Liang sound")</f>
        <v>After his son for the first time to recognize Shenjun Liang sound</v>
      </c>
      <c r="D3437" s="4" t="s">
        <v>5914</v>
      </c>
      <c r="E3437" s="4">
        <v>6324593.0</v>
      </c>
      <c r="F3437" s="4">
        <v>36.0</v>
      </c>
      <c r="G3437" s="4" t="s">
        <v>5915</v>
      </c>
    </row>
    <row r="3438">
      <c r="A3438" s="1">
        <v>3436.0</v>
      </c>
      <c r="B3438" s="4" t="s">
        <v>5859</v>
      </c>
      <c r="C3438" s="4" t="str">
        <f>IFERROR(__xludf.DUMMYFUNCTION("GOOGLETRANSLATE(D:D,""auto"",""en"")"),"Switzerland is no longer for patients with mild new virus detection crown")</f>
        <v>Switzerland is no longer for patients with mild new virus detection crown</v>
      </c>
      <c r="D3438" s="4" t="s">
        <v>5916</v>
      </c>
      <c r="E3438" s="4">
        <v>6268317.0</v>
      </c>
      <c r="F3438" s="4">
        <v>37.0</v>
      </c>
      <c r="G3438" s="4" t="s">
        <v>5917</v>
      </c>
    </row>
    <row r="3439">
      <c r="A3439" s="1">
        <v>3437.0</v>
      </c>
      <c r="B3439" s="4" t="s">
        <v>5859</v>
      </c>
      <c r="C3439" s="4" t="str">
        <f>IFERROR(__xludf.DUMMYFUNCTION("GOOGLETRANSLATE(D:D,""auto"",""en"")"),"Wang Yibo please fans see every day care")</f>
        <v>Wang Yibo please fans see every day care</v>
      </c>
      <c r="D3439" s="4" t="s">
        <v>5918</v>
      </c>
      <c r="E3439" s="4">
        <v>6262550.0</v>
      </c>
      <c r="F3439" s="4">
        <v>38.0</v>
      </c>
      <c r="G3439" s="4" t="s">
        <v>5919</v>
      </c>
    </row>
    <row r="3440">
      <c r="A3440" s="1">
        <v>3438.0</v>
      </c>
      <c r="B3440" s="4" t="s">
        <v>5859</v>
      </c>
      <c r="C3440" s="4" t="str">
        <f>IFERROR(__xludf.DUMMYFUNCTION("GOOGLETRANSLATE(D:D,""auto"",""en"")"),"Wuhan Central Hospital, Dr. Zhu Heping infection died")</f>
        <v>Wuhan Central Hospital, Dr. Zhu Heping infection died</v>
      </c>
      <c r="D3440" s="4" t="s">
        <v>5920</v>
      </c>
      <c r="E3440" s="4">
        <v>6216368.0</v>
      </c>
      <c r="F3440" s="4">
        <v>39.0</v>
      </c>
      <c r="G3440" s="4" t="s">
        <v>5921</v>
      </c>
    </row>
    <row r="3441">
      <c r="A3441" s="1">
        <v>3439.0</v>
      </c>
      <c r="B3441" s="4" t="s">
        <v>5859</v>
      </c>
      <c r="C3441" s="4" t="str">
        <f>IFERROR(__xludf.DUMMYFUNCTION("GOOGLETRANSLATE(D:D,""auto"",""en"")"),"Express little brother to attend the conference of the State Council")</f>
        <v>Express little brother to attend the conference of the State Council</v>
      </c>
      <c r="D3441" s="4" t="s">
        <v>5922</v>
      </c>
      <c r="E3441" s="4">
        <v>6212529.0</v>
      </c>
      <c r="F3441" s="4">
        <v>40.0</v>
      </c>
      <c r="G3441" s="4" t="s">
        <v>5923</v>
      </c>
    </row>
    <row r="3442">
      <c r="A3442" s="1">
        <v>3440.0</v>
      </c>
      <c r="B3442" s="4" t="s">
        <v>5859</v>
      </c>
      <c r="C3442" s="4" t="str">
        <f>IFERROR(__xludf.DUMMYFUNCTION("GOOGLETRANSLATE(D:D,""auto"",""en"")"),"Zhang Meng reproduction ride ride called my brother")</f>
        <v>Zhang Meng reproduction ride ride called my brother</v>
      </c>
      <c r="D3442" s="4" t="s">
        <v>5924</v>
      </c>
      <c r="E3442" s="4">
        <v>6162886.0</v>
      </c>
      <c r="F3442" s="4">
        <v>41.0</v>
      </c>
      <c r="G3442" s="4" t="s">
        <v>5925</v>
      </c>
    </row>
    <row r="3443">
      <c r="A3443" s="1">
        <v>3441.0</v>
      </c>
      <c r="B3443" s="4" t="s">
        <v>5859</v>
      </c>
      <c r="C3443" s="4" t="str">
        <f>IFERROR(__xludf.DUMMYFUNCTION("GOOGLETRANSLATE(D:D,""auto"",""en"")"),"Wang Junkai performance department most afraid of performances")</f>
        <v>Wang Junkai performance department most afraid of performances</v>
      </c>
      <c r="D3443" s="4" t="s">
        <v>5799</v>
      </c>
      <c r="E3443" s="4">
        <v>6123549.0</v>
      </c>
      <c r="F3443" s="4">
        <v>42.0</v>
      </c>
      <c r="G3443" s="4" t="s">
        <v>5800</v>
      </c>
    </row>
    <row r="3444">
      <c r="A3444" s="1">
        <v>3442.0</v>
      </c>
      <c r="B3444" s="4" t="s">
        <v>5859</v>
      </c>
      <c r="C3444" s="4" t="str">
        <f>IFERROR(__xludf.DUMMYFUNCTION("GOOGLETRANSLATE(D:D,""auto"",""en"")"),"Guoping 4 crown wrap up a total of $ 2.4 million prize to donate")</f>
        <v>Guoping 4 crown wrap up a total of $ 2.4 million prize to donate</v>
      </c>
      <c r="D3444" s="4" t="s">
        <v>5926</v>
      </c>
      <c r="E3444" s="4">
        <v>5940961.0</v>
      </c>
      <c r="F3444" s="4">
        <v>43.0</v>
      </c>
      <c r="G3444" s="4" t="s">
        <v>5927</v>
      </c>
    </row>
    <row r="3445">
      <c r="A3445" s="1">
        <v>3443.0</v>
      </c>
      <c r="B3445" s="4" t="s">
        <v>5859</v>
      </c>
      <c r="C3445" s="4" t="str">
        <f>IFERROR(__xludf.DUMMYFUNCTION("GOOGLETRANSLATE(D:D,""auto"",""en"")"),"Guoping 4 crown ending donate 1.42 million bonus")</f>
        <v>Guoping 4 crown ending donate 1.42 million bonus</v>
      </c>
      <c r="D3445" s="4" t="s">
        <v>5928</v>
      </c>
      <c r="E3445" s="4">
        <v>5917164.0</v>
      </c>
      <c r="F3445" s="4">
        <v>44.0</v>
      </c>
      <c r="G3445" s="4" t="s">
        <v>5929</v>
      </c>
    </row>
    <row r="3446">
      <c r="A3446" s="1">
        <v>3444.0</v>
      </c>
      <c r="B3446" s="4" t="s">
        <v>5859</v>
      </c>
      <c r="C3446" s="4" t="str">
        <f>IFERROR(__xludf.DUMMYFUNCTION("GOOGLETRANSLATE(D:D,""auto"",""en"")"),"Wuhan Hubei 4 consecutive days except for the added 0")</f>
        <v>Wuhan Hubei 4 consecutive days except for the added 0</v>
      </c>
      <c r="D3446" s="4" t="s">
        <v>5930</v>
      </c>
      <c r="E3446" s="4">
        <v>5885369.0</v>
      </c>
      <c r="F3446" s="4">
        <v>45.0</v>
      </c>
      <c r="G3446" s="4" t="s">
        <v>5931</v>
      </c>
    </row>
    <row r="3447">
      <c r="A3447" s="1">
        <v>3445.0</v>
      </c>
      <c r="B3447" s="4" t="s">
        <v>5859</v>
      </c>
      <c r="C3447" s="4" t="str">
        <f>IFERROR(__xludf.DUMMYFUNCTION("GOOGLETRANSLATE(D:D,""auto"",""en"")"),"President of the Portuguese crown by the new epidemic will take the initiative to accept isolation")</f>
        <v>President of the Portuguese crown by the new epidemic will take the initiative to accept isolation</v>
      </c>
      <c r="D3447" s="4" t="s">
        <v>5932</v>
      </c>
      <c r="E3447" s="4">
        <v>5879324.0</v>
      </c>
      <c r="F3447" s="4">
        <v>46.0</v>
      </c>
      <c r="G3447" s="4" t="s">
        <v>5933</v>
      </c>
    </row>
    <row r="3448">
      <c r="A3448" s="1">
        <v>3446.0</v>
      </c>
      <c r="B3448" s="4" t="s">
        <v>5859</v>
      </c>
      <c r="C3448" s="4" t="str">
        <f>IFERROR(__xludf.DUMMYFUNCTION("GOOGLETRANSLATE(D:D,""auto"",""en"")"),"James Leonard singled each other")</f>
        <v>James Leonard singled each other</v>
      </c>
      <c r="D3448" s="4" t="s">
        <v>5934</v>
      </c>
      <c r="E3448" s="4">
        <v>5874036.0</v>
      </c>
      <c r="F3448" s="4">
        <v>47.0</v>
      </c>
      <c r="G3448" s="4" t="s">
        <v>5935</v>
      </c>
    </row>
    <row r="3449">
      <c r="A3449" s="1">
        <v>3447.0</v>
      </c>
      <c r="B3449" s="4" t="s">
        <v>5859</v>
      </c>
      <c r="C3449" s="4" t="str">
        <f>IFERROR(__xludf.DUMMYFUNCTION("GOOGLETRANSLATE(D:D,""auto"",""en"")"),"Liu Yifei Chinese Mulan to sing the theme song")</f>
        <v>Liu Yifei Chinese Mulan to sing the theme song</v>
      </c>
      <c r="D3449" s="4" t="s">
        <v>5817</v>
      </c>
      <c r="E3449" s="4">
        <v>5803795.0</v>
      </c>
      <c r="F3449" s="4">
        <v>48.0</v>
      </c>
      <c r="G3449" s="4" t="s">
        <v>5818</v>
      </c>
    </row>
    <row r="3450">
      <c r="A3450" s="1">
        <v>3448.0</v>
      </c>
      <c r="B3450" s="4" t="s">
        <v>5859</v>
      </c>
      <c r="C3450" s="4" t="str">
        <f>IFERROR(__xludf.DUMMYFUNCTION("GOOGLETRANSLATE(D:D,""auto"",""en"")"),"Wuhan Central Hospital ophthalmologist died of pneumonia infecting new crown")</f>
        <v>Wuhan Central Hospital ophthalmologist died of pneumonia infecting new crown</v>
      </c>
      <c r="D3450" s="4" t="s">
        <v>5936</v>
      </c>
      <c r="E3450" s="4">
        <v>5743776.0</v>
      </c>
      <c r="F3450" s="4">
        <v>49.0</v>
      </c>
      <c r="G3450" s="4" t="s">
        <v>5937</v>
      </c>
    </row>
    <row r="3451">
      <c r="A3451" s="1">
        <v>3449.0</v>
      </c>
      <c r="B3451" s="4" t="s">
        <v>5859</v>
      </c>
      <c r="C3451" s="4" t="str">
        <f>IFERROR(__xludf.DUMMYFUNCTION("GOOGLETRANSLATE(D:D,""auto"",""en"")"),"Li Jia Hang wear a flower")</f>
        <v>Li Jia Hang wear a flower</v>
      </c>
      <c r="D3451" s="4" t="s">
        <v>5857</v>
      </c>
      <c r="E3451" s="4">
        <v>5491886.0</v>
      </c>
      <c r="F3451" s="4">
        <v>50.0</v>
      </c>
      <c r="G3451" s="4" t="s">
        <v>5858</v>
      </c>
    </row>
    <row r="3452">
      <c r="A3452" s="1">
        <v>3450.0</v>
      </c>
      <c r="B3452" s="4" t="s">
        <v>5938</v>
      </c>
      <c r="C3452" s="4" t="str">
        <f>IFERROR(__xludf.DUMMYFUNCTION("GOOGLETRANSLATE(D:D,""auto"",""en"")"),"Pee correct pronunciation")</f>
        <v>Pee correct pronunciation</v>
      </c>
      <c r="D3452" s="4" t="s">
        <v>5939</v>
      </c>
      <c r="E3452" s="4">
        <v>1.0714077E7</v>
      </c>
      <c r="F3452" s="4">
        <v>1.0</v>
      </c>
      <c r="G3452" s="4" t="s">
        <v>5940</v>
      </c>
    </row>
    <row r="3453">
      <c r="A3453" s="1">
        <v>3451.0</v>
      </c>
      <c r="B3453" s="4" t="s">
        <v>5938</v>
      </c>
      <c r="C3453" s="4" t="str">
        <f>IFERROR(__xludf.DUMMYFUNCTION("GOOGLETRANSLATE(D:D,""auto"",""en"")"),"Luo agent responded breakup rumors")</f>
        <v>Luo agent responded breakup rumors</v>
      </c>
      <c r="D3453" s="4" t="s">
        <v>5941</v>
      </c>
      <c r="E3453" s="4">
        <v>1.0405254E7</v>
      </c>
      <c r="F3453" s="4">
        <v>2.0</v>
      </c>
      <c r="G3453" s="4" t="s">
        <v>5942</v>
      </c>
    </row>
    <row r="3454">
      <c r="A3454" s="1">
        <v>3452.0</v>
      </c>
      <c r="B3454" s="4" t="s">
        <v>5938</v>
      </c>
      <c r="C3454" s="4" t="str">
        <f>IFERROR(__xludf.DUMMYFUNCTION("GOOGLETRANSLATE(D:D,""auto"",""en"")"),"Miao Miao Zheng Kai")</f>
        <v>Miao Miao Zheng Kai</v>
      </c>
      <c r="D3454" s="4" t="s">
        <v>5943</v>
      </c>
      <c r="E3454" s="4">
        <v>1.0205162E7</v>
      </c>
      <c r="F3454" s="4">
        <v>3.0</v>
      </c>
      <c r="G3454" s="4" t="s">
        <v>5944</v>
      </c>
    </row>
    <row r="3455">
      <c r="A3455" s="1">
        <v>3453.0</v>
      </c>
      <c r="B3455" s="4" t="s">
        <v>5938</v>
      </c>
      <c r="C3455" s="4" t="str">
        <f>IFERROR(__xludf.DUMMYFUNCTION("GOOGLETRANSLATE(D:D,""auto"",""en"")"),"2020 The first Super Moon")</f>
        <v>2020 The first Super Moon</v>
      </c>
      <c r="D3455" s="4" t="s">
        <v>5860</v>
      </c>
      <c r="E3455" s="4">
        <v>9452949.0</v>
      </c>
      <c r="F3455" s="4">
        <v>4.0</v>
      </c>
      <c r="G3455" s="4" t="s">
        <v>5861</v>
      </c>
    </row>
    <row r="3456">
      <c r="A3456" s="1">
        <v>3454.0</v>
      </c>
      <c r="B3456" s="4" t="s">
        <v>5938</v>
      </c>
      <c r="C3456" s="4" t="str">
        <f>IFERROR(__xludf.DUMMYFUNCTION("GOOGLETRANSLATE(D:D,""auto"",""en"")"),"Xue Qian hot weather rice")</f>
        <v>Xue Qian hot weather rice</v>
      </c>
      <c r="D3456" s="4" t="s">
        <v>5945</v>
      </c>
      <c r="E3456" s="4">
        <v>9399144.0</v>
      </c>
      <c r="F3456" s="4">
        <v>5.0</v>
      </c>
      <c r="G3456" s="4" t="s">
        <v>5946</v>
      </c>
    </row>
    <row r="3457">
      <c r="A3457" s="1">
        <v>3455.0</v>
      </c>
      <c r="B3457" s="4" t="s">
        <v>5938</v>
      </c>
      <c r="C3457" s="4" t="str">
        <f>IFERROR(__xludf.DUMMYFUNCTION("GOOGLETRANSLATE(D:D,""auto"",""en"")"),"Yi Xi smelt one thousand terrible thing")</f>
        <v>Yi Xi smelt one thousand terrible thing</v>
      </c>
      <c r="D3457" s="4" t="s">
        <v>5866</v>
      </c>
      <c r="E3457" s="4">
        <v>9326139.0</v>
      </c>
      <c r="F3457" s="4">
        <v>6.0</v>
      </c>
      <c r="G3457" s="4" t="s">
        <v>5867</v>
      </c>
    </row>
    <row r="3458">
      <c r="A3458" s="1">
        <v>3456.0</v>
      </c>
      <c r="B3458" s="4" t="s">
        <v>5938</v>
      </c>
      <c r="C3458" s="4" t="str">
        <f>IFERROR(__xludf.DUMMYFUNCTION("GOOGLETRANSLATE(D:D,""auto"",""en"")"),"Sean Sun jump Square Dance")</f>
        <v>Sean Sun jump Square Dance</v>
      </c>
      <c r="D3458" s="4" t="s">
        <v>5868</v>
      </c>
      <c r="E3458" s="4">
        <v>9178725.0</v>
      </c>
      <c r="F3458" s="4">
        <v>7.0</v>
      </c>
      <c r="G3458" s="4" t="s">
        <v>5869</v>
      </c>
    </row>
    <row r="3459">
      <c r="A3459" s="1">
        <v>3457.0</v>
      </c>
      <c r="B3459" s="4" t="s">
        <v>5938</v>
      </c>
      <c r="C3459" s="4" t="str">
        <f>IFERROR(__xludf.DUMMYFUNCTION("GOOGLETRANSLATE(D:D,""auto"",""en"")"),"Ling Ye challenge")</f>
        <v>Ling Ye challenge</v>
      </c>
      <c r="D3459" s="4" t="s">
        <v>5862</v>
      </c>
      <c r="E3459" s="4">
        <v>8888169.0</v>
      </c>
      <c r="F3459" s="4">
        <v>8.0</v>
      </c>
      <c r="G3459" s="4" t="s">
        <v>5863</v>
      </c>
    </row>
    <row r="3460">
      <c r="A3460" s="1">
        <v>3458.0</v>
      </c>
      <c r="B3460" s="4" t="s">
        <v>5938</v>
      </c>
      <c r="C3460" s="4" t="str">
        <f>IFERROR(__xludf.DUMMYFUNCTION("GOOGLETRANSLATE(D:D,""auto"",""en"")"),"Pakistan's Foreign Ministry responded large number detained Cuiyun")</f>
        <v>Pakistan's Foreign Ministry responded large number detained Cuiyun</v>
      </c>
      <c r="D3460" s="4" t="s">
        <v>5947</v>
      </c>
      <c r="E3460" s="4">
        <v>8775371.0</v>
      </c>
      <c r="F3460" s="4">
        <v>9.0</v>
      </c>
      <c r="G3460" s="4" t="s">
        <v>5948</v>
      </c>
    </row>
    <row r="3461">
      <c r="A3461" s="1">
        <v>3459.0</v>
      </c>
      <c r="B3461" s="4" t="s">
        <v>5938</v>
      </c>
      <c r="C3461" s="4" t="str">
        <f>IFERROR(__xludf.DUMMYFUNCTION("GOOGLETRANSLATE(D:D,""auto"",""en"")"),"An ordinary boy of ten years")</f>
        <v>An ordinary boy of ten years</v>
      </c>
      <c r="D3461" s="4" t="s">
        <v>5949</v>
      </c>
      <c r="E3461" s="4">
        <v>8695191.0</v>
      </c>
      <c r="F3461" s="4">
        <v>10.0</v>
      </c>
      <c r="G3461" s="4" t="s">
        <v>5950</v>
      </c>
    </row>
    <row r="3462">
      <c r="A3462" s="1">
        <v>3460.0</v>
      </c>
      <c r="B3462" s="4" t="s">
        <v>5938</v>
      </c>
      <c r="C3462" s="4" t="str">
        <f>IFERROR(__xludf.DUMMYFUNCTION("GOOGLETRANSLATE(D:D,""auto"",""en"")"),"An ordinary girl of ten years")</f>
        <v>An ordinary girl of ten years</v>
      </c>
      <c r="D3462" s="4" t="s">
        <v>5951</v>
      </c>
      <c r="E3462" s="4">
        <v>8661956.0</v>
      </c>
      <c r="F3462" s="4">
        <v>11.0</v>
      </c>
      <c r="G3462" s="4" t="s">
        <v>5952</v>
      </c>
    </row>
    <row r="3463">
      <c r="A3463" s="1">
        <v>3461.0</v>
      </c>
      <c r="B3463" s="4" t="s">
        <v>5938</v>
      </c>
      <c r="C3463" s="4" t="str">
        <f>IFERROR(__xludf.DUMMYFUNCTION("GOOGLETRANSLATE(D:D,""auto"",""en"")"),"Ouyang Nana three sisters dance practice tidbits")</f>
        <v>Ouyang Nana three sisters dance practice tidbits</v>
      </c>
      <c r="D3463" s="4" t="s">
        <v>5953</v>
      </c>
      <c r="E3463" s="4">
        <v>8583788.0</v>
      </c>
      <c r="F3463" s="4">
        <v>12.0</v>
      </c>
      <c r="G3463" s="4" t="s">
        <v>5954</v>
      </c>
    </row>
    <row r="3464">
      <c r="A3464" s="1">
        <v>3462.0</v>
      </c>
      <c r="B3464" s="4" t="s">
        <v>5938</v>
      </c>
      <c r="C3464" s="4" t="str">
        <f>IFERROR(__xludf.DUMMYFUNCTION("GOOGLETRANSLATE(D:D,""auto"",""en"")"),"Wang Yibo please fans see every day care")</f>
        <v>Wang Yibo please fans see every day care</v>
      </c>
      <c r="D3464" s="4" t="s">
        <v>5918</v>
      </c>
      <c r="E3464" s="4">
        <v>8545148.0</v>
      </c>
      <c r="F3464" s="4">
        <v>13.0</v>
      </c>
      <c r="G3464" s="4" t="s">
        <v>5919</v>
      </c>
    </row>
    <row r="3465">
      <c r="A3465" s="1">
        <v>3463.0</v>
      </c>
      <c r="B3465" s="4" t="s">
        <v>5938</v>
      </c>
      <c r="C3465" s="4" t="str">
        <f>IFERROR(__xludf.DUMMYFUNCTION("GOOGLETRANSLATE(D:D,""auto"",""en"")"),"With a Hara brother sued his mother")</f>
        <v>With a Hara brother sued his mother</v>
      </c>
      <c r="D3465" s="4" t="s">
        <v>5884</v>
      </c>
      <c r="E3465" s="4">
        <v>7667447.0</v>
      </c>
      <c r="F3465" s="4">
        <v>14.0</v>
      </c>
      <c r="G3465" s="4" t="s">
        <v>5885</v>
      </c>
    </row>
    <row r="3466">
      <c r="A3466" s="1">
        <v>3464.0</v>
      </c>
      <c r="B3466" s="4" t="s">
        <v>5938</v>
      </c>
      <c r="C3466" s="4" t="str">
        <f>IFERROR(__xludf.DUMMYFUNCTION("GOOGLETRANSLATE(D:D,""auto"",""en"")"),"Quanzhou Hotel trapped and the list of victims released")</f>
        <v>Quanzhou Hotel trapped and the list of victims released</v>
      </c>
      <c r="D3466" s="4" t="s">
        <v>5955</v>
      </c>
      <c r="E3466" s="4">
        <v>7516426.0</v>
      </c>
      <c r="F3466" s="4">
        <v>15.0</v>
      </c>
      <c r="G3466" s="4" t="s">
        <v>5956</v>
      </c>
    </row>
    <row r="3467">
      <c r="A3467" s="1">
        <v>3465.0</v>
      </c>
      <c r="B3467" s="4" t="s">
        <v>5938</v>
      </c>
      <c r="C3467" s="4" t="str">
        <f>IFERROR(__xludf.DUMMYFUNCTION("GOOGLETRANSLATE(D:D,""auto"",""en"")"),"After his son for the first time to recognize Shenjun Liang sound")</f>
        <v>After his son for the first time to recognize Shenjun Liang sound</v>
      </c>
      <c r="D3467" s="4" t="s">
        <v>5914</v>
      </c>
      <c r="E3467" s="4">
        <v>7412666.0</v>
      </c>
      <c r="F3467" s="4">
        <v>16.0</v>
      </c>
      <c r="G3467" s="4" t="s">
        <v>5915</v>
      </c>
    </row>
    <row r="3468">
      <c r="A3468" s="1">
        <v>3466.0</v>
      </c>
      <c r="B3468" s="4" t="s">
        <v>5938</v>
      </c>
      <c r="C3468" s="4" t="str">
        <f>IFERROR(__xludf.DUMMYFUNCTION("GOOGLETRANSLATE(D:D,""auto"",""en"")"),"US stocks in the history of the second fuse")</f>
        <v>US stocks in the history of the second fuse</v>
      </c>
      <c r="D3468" s="4" t="s">
        <v>5957</v>
      </c>
      <c r="E3468" s="4">
        <v>7368294.0</v>
      </c>
      <c r="F3468" s="4">
        <v>17.0</v>
      </c>
      <c r="G3468" s="4" t="s">
        <v>5958</v>
      </c>
    </row>
    <row r="3469">
      <c r="A3469" s="1">
        <v>3467.0</v>
      </c>
      <c r="B3469" s="4" t="s">
        <v>5938</v>
      </c>
      <c r="C3469" s="4" t="str">
        <f>IFERROR(__xludf.DUMMYFUNCTION("GOOGLETRANSLATE(D:D,""auto"",""en"")"),"Xiao Zhan Wang Yibo split step tidbits")</f>
        <v>Xiao Zhan Wang Yibo split step tidbits</v>
      </c>
      <c r="D3469" s="4" t="s">
        <v>5959</v>
      </c>
      <c r="E3469" s="4">
        <v>7262128.0</v>
      </c>
      <c r="F3469" s="4">
        <v>18.0</v>
      </c>
      <c r="G3469" s="4" t="s">
        <v>5960</v>
      </c>
    </row>
    <row r="3470">
      <c r="A3470" s="1">
        <v>3468.0</v>
      </c>
      <c r="B3470" s="4" t="s">
        <v>5938</v>
      </c>
      <c r="C3470" s="4" t="str">
        <f>IFERROR(__xludf.DUMMYFUNCTION("GOOGLETRANSLATE(D:D,""auto"",""en"")"),"Challenges hands in pants")</f>
        <v>Challenges hands in pants</v>
      </c>
      <c r="D3470" s="4" t="s">
        <v>5961</v>
      </c>
      <c r="E3470" s="4">
        <v>7255255.0</v>
      </c>
      <c r="F3470" s="4">
        <v>19.0</v>
      </c>
      <c r="G3470" s="4" t="s">
        <v>5962</v>
      </c>
    </row>
    <row r="3471">
      <c r="A3471" s="1">
        <v>3469.0</v>
      </c>
      <c r="B3471" s="4" t="s">
        <v>5938</v>
      </c>
      <c r="C3471" s="4" t="str">
        <f>IFERROR(__xludf.DUMMYFUNCTION("GOOGLETRANSLATE(D:D,""auto"",""en"")"),"Even the fight against SARS nurse Mai Ho Kyung JJ tears collapse")</f>
        <v>Even the fight against SARS nurse Mai Ho Kyung JJ tears collapse</v>
      </c>
      <c r="D3471" s="4" t="s">
        <v>5888</v>
      </c>
      <c r="E3471" s="4">
        <v>7246955.0</v>
      </c>
      <c r="F3471" s="4">
        <v>20.0</v>
      </c>
      <c r="G3471" s="4" t="s">
        <v>5889</v>
      </c>
    </row>
    <row r="3472">
      <c r="A3472" s="1">
        <v>3470.0</v>
      </c>
      <c r="B3472" s="4" t="s">
        <v>5938</v>
      </c>
      <c r="C3472" s="4" t="str">
        <f>IFERROR(__xludf.DUMMYFUNCTION("GOOGLETRANSLATE(D:D,""auto"",""en"")"),"The final takeaway playing and singing challenge")</f>
        <v>The final takeaway playing and singing challenge</v>
      </c>
      <c r="D3472" s="4" t="s">
        <v>5963</v>
      </c>
      <c r="E3472" s="4">
        <v>7245165.0</v>
      </c>
      <c r="F3472" s="4">
        <v>21.0</v>
      </c>
      <c r="G3472" s="4" t="s">
        <v>5964</v>
      </c>
    </row>
    <row r="3473">
      <c r="A3473" s="1">
        <v>3471.0</v>
      </c>
      <c r="B3473" s="4" t="s">
        <v>5938</v>
      </c>
      <c r="C3473" s="4" t="str">
        <f>IFERROR(__xludf.DUMMYFUNCTION("GOOGLETRANSLATE(D:D,""auto"",""en"")"),"Beijing heating extended to March 22")</f>
        <v>Beijing heating extended to March 22</v>
      </c>
      <c r="D3473" s="4" t="s">
        <v>5965</v>
      </c>
      <c r="E3473" s="4">
        <v>7210712.0</v>
      </c>
      <c r="F3473" s="4">
        <v>22.0</v>
      </c>
      <c r="G3473" s="4" t="s">
        <v>5966</v>
      </c>
    </row>
    <row r="3474">
      <c r="A3474" s="1">
        <v>3472.0</v>
      </c>
      <c r="B3474" s="4" t="s">
        <v>5938</v>
      </c>
      <c r="C3474" s="4" t="str">
        <f>IFERROR(__xludf.DUMMYFUNCTION("GOOGLETRANSLATE(D:D,""auto"",""en"")"),"Hotel Quanzhou a man rescued after 68 hours")</f>
        <v>Hotel Quanzhou a man rescued after 68 hours</v>
      </c>
      <c r="D3474" s="4" t="s">
        <v>5967</v>
      </c>
      <c r="E3474" s="4">
        <v>7054803.0</v>
      </c>
      <c r="F3474" s="4">
        <v>23.0</v>
      </c>
      <c r="G3474" s="4" t="s">
        <v>5968</v>
      </c>
    </row>
    <row r="3475">
      <c r="A3475" s="1">
        <v>3473.0</v>
      </c>
      <c r="B3475" s="4" t="s">
        <v>5938</v>
      </c>
      <c r="C3475" s="4" t="str">
        <f>IFERROR(__xludf.DUMMYFUNCTION("GOOGLETRANSLATE(D:D,""auto"",""en"")"),"Taeyeon father died")</f>
        <v>Taeyeon father died</v>
      </c>
      <c r="D3475" s="4" t="s">
        <v>5882</v>
      </c>
      <c r="E3475" s="4">
        <v>7053032.0</v>
      </c>
      <c r="F3475" s="4">
        <v>24.0</v>
      </c>
      <c r="G3475" s="4" t="s">
        <v>5883</v>
      </c>
    </row>
    <row r="3476">
      <c r="A3476" s="1">
        <v>3474.0</v>
      </c>
      <c r="B3476" s="4" t="s">
        <v>5938</v>
      </c>
      <c r="C3476" s="4" t="str">
        <f>IFERROR(__xludf.DUMMYFUNCTION("GOOGLETRANSLATE(D:D,""auto"",""en"")"),"Mulan world premiere")</f>
        <v>Mulan world premiere</v>
      </c>
      <c r="D3476" s="4" t="s">
        <v>5969</v>
      </c>
      <c r="E3476" s="4">
        <v>6956275.0</v>
      </c>
      <c r="F3476" s="4">
        <v>25.0</v>
      </c>
      <c r="G3476" s="4" t="s">
        <v>5970</v>
      </c>
    </row>
    <row r="3477">
      <c r="A3477" s="1">
        <v>3475.0</v>
      </c>
      <c r="B3477" s="4" t="s">
        <v>5938</v>
      </c>
      <c r="C3477" s="4" t="str">
        <f>IFERROR(__xludf.DUMMYFUNCTION("GOOGLETRANSLATE(D:D,""auto"",""en"")"),"Italy closed the country")</f>
        <v>Italy closed the country</v>
      </c>
      <c r="D3477" s="4" t="s">
        <v>5971</v>
      </c>
      <c r="E3477" s="4">
        <v>6952871.0</v>
      </c>
      <c r="F3477" s="4">
        <v>26.0</v>
      </c>
      <c r="G3477" s="4" t="s">
        <v>5972</v>
      </c>
    </row>
    <row r="3478">
      <c r="A3478" s="1">
        <v>3476.0</v>
      </c>
      <c r="B3478" s="4" t="s">
        <v>5938</v>
      </c>
      <c r="C3478" s="4" t="str">
        <f>IFERROR(__xludf.DUMMYFUNCTION("GOOGLETRANSLATE(D:D,""auto"",""en"")"),"Jay Park was beaten to respond")</f>
        <v>Jay Park was beaten to respond</v>
      </c>
      <c r="D3478" s="4" t="s">
        <v>5894</v>
      </c>
      <c r="E3478" s="4">
        <v>6777498.0</v>
      </c>
      <c r="F3478" s="4">
        <v>27.0</v>
      </c>
      <c r="G3478" s="4" t="s">
        <v>5895</v>
      </c>
    </row>
    <row r="3479">
      <c r="A3479" s="1">
        <v>3477.0</v>
      </c>
      <c r="B3479" s="4" t="s">
        <v>5938</v>
      </c>
      <c r="C3479" s="4" t="str">
        <f>IFERROR(__xludf.DUMMYFUNCTION("GOOGLETRANSLATE(D:D,""auto"",""en"")"),"Lee now notice the background of N kinds of Open")</f>
        <v>Lee now notice the background of N kinds of Open</v>
      </c>
      <c r="D3479" s="4" t="s">
        <v>5797</v>
      </c>
      <c r="E3479" s="4">
        <v>6769212.0</v>
      </c>
      <c r="F3479" s="4">
        <v>28.0</v>
      </c>
      <c r="G3479" s="4" t="s">
        <v>5798</v>
      </c>
    </row>
    <row r="3480">
      <c r="A3480" s="1">
        <v>3478.0</v>
      </c>
      <c r="B3480" s="4" t="s">
        <v>5938</v>
      </c>
      <c r="C3480" s="4" t="str">
        <f>IFERROR(__xludf.DUMMYFUNCTION("GOOGLETRANSLATE(D:D,""auto"",""en"")"),"19 cases of new confirmed cases nationwide")</f>
        <v>19 cases of new confirmed cases nationwide</v>
      </c>
      <c r="D3480" s="4" t="s">
        <v>5973</v>
      </c>
      <c r="E3480" s="4">
        <v>6767825.0</v>
      </c>
      <c r="F3480" s="4">
        <v>29.0</v>
      </c>
      <c r="G3480" s="4" t="s">
        <v>5974</v>
      </c>
    </row>
    <row r="3481">
      <c r="A3481" s="1">
        <v>3479.0</v>
      </c>
      <c r="B3481" s="4" t="s">
        <v>5938</v>
      </c>
      <c r="C3481" s="4" t="str">
        <f>IFERROR(__xludf.DUMMYFUNCTION("GOOGLETRANSLATE(D:D,""auto"",""en"")"),"Thailand Ouyang Nana godfather is actor TAE")</f>
        <v>Thailand Ouyang Nana godfather is actor TAE</v>
      </c>
      <c r="D3481" s="4" t="s">
        <v>5880</v>
      </c>
      <c r="E3481" s="4">
        <v>6722925.0</v>
      </c>
      <c r="F3481" s="4">
        <v>30.0</v>
      </c>
      <c r="G3481" s="4" t="s">
        <v>5881</v>
      </c>
    </row>
    <row r="3482">
      <c r="A3482" s="1">
        <v>3480.0</v>
      </c>
      <c r="B3482" s="4" t="s">
        <v>5938</v>
      </c>
      <c r="C3482" s="4" t="str">
        <f>IFERROR(__xludf.DUMMYFUNCTION("GOOGLETRANSLATE(D:D,""auto"",""en"")"),"Dilly Reba archery")</f>
        <v>Dilly Reba archery</v>
      </c>
      <c r="D3482" s="4" t="s">
        <v>5975</v>
      </c>
      <c r="E3482" s="4">
        <v>6700528.0</v>
      </c>
      <c r="F3482" s="4">
        <v>31.0</v>
      </c>
      <c r="G3482" s="4" t="s">
        <v>5976</v>
      </c>
    </row>
    <row r="3483">
      <c r="A3483" s="1">
        <v>3481.0</v>
      </c>
      <c r="B3483" s="4" t="s">
        <v>5938</v>
      </c>
      <c r="C3483" s="4" t="str">
        <f>IFERROR(__xludf.DUMMYFUNCTION("GOOGLETRANSLATE(D:D,""auto"",""en"")"),"Zhang Bo Yang Bai Kainan respond to plagiarism")</f>
        <v>Zhang Bo Yang Bai Kainan respond to plagiarism</v>
      </c>
      <c r="D3483" s="4" t="s">
        <v>5977</v>
      </c>
      <c r="E3483" s="4">
        <v>6633189.0</v>
      </c>
      <c r="F3483" s="4">
        <v>32.0</v>
      </c>
      <c r="G3483" s="4" t="s">
        <v>5978</v>
      </c>
    </row>
    <row r="3484">
      <c r="A3484" s="1">
        <v>3482.0</v>
      </c>
      <c r="B3484" s="4" t="s">
        <v>5938</v>
      </c>
      <c r="C3484" s="4" t="str">
        <f>IFERROR(__xludf.DUMMYFUNCTION("GOOGLETRANSLATE(D:D,""auto"",""en"")"),"Wuhan hospital shelter all holiday cabin")</f>
        <v>Wuhan hospital shelter all holiday cabin</v>
      </c>
      <c r="D3484" s="4" t="s">
        <v>5979</v>
      </c>
      <c r="E3484" s="4">
        <v>6548450.0</v>
      </c>
      <c r="F3484" s="4">
        <v>33.0</v>
      </c>
      <c r="G3484" s="4" t="s">
        <v>5980</v>
      </c>
    </row>
    <row r="3485">
      <c r="A3485" s="1">
        <v>3483.0</v>
      </c>
      <c r="B3485" s="4" t="s">
        <v>5938</v>
      </c>
      <c r="C3485" s="4" t="str">
        <f>IFERROR(__xludf.DUMMYFUNCTION("GOOGLETRANSLATE(D:D,""auto"",""en"")"),"2 new cases of imported type new confirmed cases of pneumonia Shanghai crown")</f>
        <v>2 new cases of imported type new confirmed cases of pneumonia Shanghai crown</v>
      </c>
      <c r="D3485" s="4" t="s">
        <v>5981</v>
      </c>
      <c r="E3485" s="4">
        <v>6536470.0</v>
      </c>
      <c r="F3485" s="4">
        <v>34.0</v>
      </c>
      <c r="G3485" s="4" t="s">
        <v>5982</v>
      </c>
    </row>
    <row r="3486">
      <c r="A3486" s="1">
        <v>3484.0</v>
      </c>
      <c r="B3486" s="4" t="s">
        <v>5938</v>
      </c>
      <c r="C3486" s="4" t="str">
        <f>IFERROR(__xludf.DUMMYFUNCTION("GOOGLETRANSLATE(D:D,""auto"",""en"")"),"EXO members epidemic donations")</f>
        <v>EXO members epidemic donations</v>
      </c>
      <c r="D3486" s="4" t="s">
        <v>5983</v>
      </c>
      <c r="E3486" s="4">
        <v>6498369.0</v>
      </c>
      <c r="F3486" s="4">
        <v>35.0</v>
      </c>
      <c r="G3486" s="4" t="s">
        <v>5984</v>
      </c>
    </row>
    <row r="3487">
      <c r="A3487" s="1">
        <v>3485.0</v>
      </c>
      <c r="B3487" s="4" t="s">
        <v>5938</v>
      </c>
      <c r="C3487" s="4" t="str">
        <f>IFERROR(__xludf.DUMMYFUNCTION("GOOGLETRANSLATE(D:D,""auto"",""en"")"),"Quanzhou hotel collapse has caused 20 deaths")</f>
        <v>Quanzhou hotel collapse has caused 20 deaths</v>
      </c>
      <c r="D3487" s="4" t="s">
        <v>5985</v>
      </c>
      <c r="E3487" s="4">
        <v>6374313.0</v>
      </c>
      <c r="F3487" s="4">
        <v>36.0</v>
      </c>
      <c r="G3487" s="4" t="s">
        <v>5986</v>
      </c>
    </row>
    <row r="3488">
      <c r="A3488" s="1">
        <v>3486.0</v>
      </c>
      <c r="B3488" s="4" t="s">
        <v>5938</v>
      </c>
      <c r="C3488" s="4" t="str">
        <f>IFERROR(__xludf.DUMMYFUNCTION("GOOGLETRANSLATE(D:D,""auto"",""en"")"),"Xinxiang a car crash enforcement officers suspected malicious")</f>
        <v>Xinxiang a car crash enforcement officers suspected malicious</v>
      </c>
      <c r="D3488" s="4" t="s">
        <v>5987</v>
      </c>
      <c r="E3488" s="4">
        <v>6348746.0</v>
      </c>
      <c r="F3488" s="4">
        <v>37.0</v>
      </c>
      <c r="G3488" s="4" t="s">
        <v>5988</v>
      </c>
    </row>
    <row r="3489">
      <c r="A3489" s="1">
        <v>3487.0</v>
      </c>
      <c r="B3489" s="4" t="s">
        <v>5938</v>
      </c>
      <c r="C3489" s="4" t="str">
        <f>IFERROR(__xludf.DUMMYFUNCTION("GOOGLETRANSLATE(D:D,""auto"",""en"")"),"Mother and son rescued trapped 52 hours")</f>
        <v>Mother and son rescued trapped 52 hours</v>
      </c>
      <c r="D3489" s="4" t="s">
        <v>5989</v>
      </c>
      <c r="E3489" s="4">
        <v>6342204.0</v>
      </c>
      <c r="F3489" s="4">
        <v>38.0</v>
      </c>
      <c r="G3489" s="4" t="s">
        <v>5990</v>
      </c>
    </row>
    <row r="3490">
      <c r="A3490" s="1">
        <v>3488.0</v>
      </c>
      <c r="B3490" s="4" t="s">
        <v>5938</v>
      </c>
      <c r="C3490" s="4" t="str">
        <f>IFERROR(__xludf.DUMMYFUNCTION("GOOGLETRANSLATE(D:D,""auto"",""en"")"),"Qianjiang will be fully resume production order")</f>
        <v>Qianjiang will be fully resume production order</v>
      </c>
      <c r="D3490" s="4" t="s">
        <v>5991</v>
      </c>
      <c r="E3490" s="4">
        <v>6324470.0</v>
      </c>
      <c r="F3490" s="4">
        <v>39.0</v>
      </c>
      <c r="G3490" s="4" t="s">
        <v>5992</v>
      </c>
    </row>
    <row r="3491">
      <c r="A3491" s="1">
        <v>3489.0</v>
      </c>
      <c r="B3491" s="4" t="s">
        <v>5938</v>
      </c>
      <c r="C3491" s="4" t="str">
        <f>IFERROR(__xludf.DUMMYFUNCTION("GOOGLETRANSLATE(D:D,""auto"",""en"")"),"Kim Sung-joo army")</f>
        <v>Kim Sung-joo army</v>
      </c>
      <c r="D3491" s="4" t="s">
        <v>5993</v>
      </c>
      <c r="E3491" s="4">
        <v>6143443.0</v>
      </c>
      <c r="F3491" s="4">
        <v>40.0</v>
      </c>
      <c r="G3491" s="4" t="s">
        <v>5994</v>
      </c>
    </row>
    <row r="3492">
      <c r="A3492" s="1">
        <v>3490.0</v>
      </c>
      <c r="B3492" s="4" t="s">
        <v>5938</v>
      </c>
      <c r="C3492" s="4" t="str">
        <f>IFERROR(__xludf.DUMMYFUNCTION("GOOGLETRANSLATE(D:D,""auto"",""en"")"),"Yang Zi airport protective styling")</f>
        <v>Yang Zi airport protective styling</v>
      </c>
      <c r="D3492" s="4" t="s">
        <v>5876</v>
      </c>
      <c r="E3492" s="4">
        <v>6125525.0</v>
      </c>
      <c r="F3492" s="4">
        <v>41.0</v>
      </c>
      <c r="G3492" s="4" t="s">
        <v>5877</v>
      </c>
    </row>
    <row r="3493">
      <c r="A3493" s="1">
        <v>3491.0</v>
      </c>
      <c r="B3493" s="4" t="s">
        <v>5938</v>
      </c>
      <c r="C3493" s="4" t="str">
        <f>IFERROR(__xludf.DUMMYFUNCTION("GOOGLETRANSLATE(D:D,""auto"",""en"")"),"Sun Yang teacher to leave the Chinese swimming team")</f>
        <v>Sun Yang teacher to leave the Chinese swimming team</v>
      </c>
      <c r="D3493" s="4" t="s">
        <v>5843</v>
      </c>
      <c r="E3493" s="4">
        <v>6069077.0</v>
      </c>
      <c r="F3493" s="4">
        <v>42.0</v>
      </c>
      <c r="G3493" s="4" t="s">
        <v>5844</v>
      </c>
    </row>
    <row r="3494">
      <c r="A3494" s="1">
        <v>3492.0</v>
      </c>
      <c r="B3494" s="4" t="s">
        <v>5938</v>
      </c>
      <c r="C3494" s="4" t="str">
        <f>IFERROR(__xludf.DUMMYFUNCTION("GOOGLETRANSLATE(D:D,""auto"",""en"")"),"Zhu Yilong hand-painted zebra")</f>
        <v>Zhu Yilong hand-painted zebra</v>
      </c>
      <c r="D3494" s="4" t="s">
        <v>5910</v>
      </c>
      <c r="E3494" s="4">
        <v>6042107.0</v>
      </c>
      <c r="F3494" s="4">
        <v>43.0</v>
      </c>
      <c r="G3494" s="4" t="s">
        <v>5911</v>
      </c>
    </row>
    <row r="3495">
      <c r="A3495" s="1">
        <v>3493.0</v>
      </c>
      <c r="B3495" s="4" t="s">
        <v>5938</v>
      </c>
      <c r="C3495" s="4" t="str">
        <f>IFERROR(__xludf.DUMMYFUNCTION("GOOGLETRANSLATE(D:D,""auto"",""en"")"),"US stocks fuse")</f>
        <v>US stocks fuse</v>
      </c>
      <c r="D3495" s="4" t="s">
        <v>5995</v>
      </c>
      <c r="E3495" s="4">
        <v>6038161.0</v>
      </c>
      <c r="F3495" s="4">
        <v>44.0</v>
      </c>
      <c r="G3495" s="4" t="s">
        <v>5996</v>
      </c>
    </row>
    <row r="3496">
      <c r="A3496" s="1">
        <v>3494.0</v>
      </c>
      <c r="B3496" s="4" t="s">
        <v>5938</v>
      </c>
      <c r="C3496" s="4" t="str">
        <f>IFERROR(__xludf.DUMMYFUNCTION("GOOGLETRANSLATE(D:D,""auto"",""en"")"),"Isolation how to speak English")</f>
        <v>Isolation how to speak English</v>
      </c>
      <c r="D3496" s="4" t="s">
        <v>5997</v>
      </c>
      <c r="E3496" s="4">
        <v>5869218.0</v>
      </c>
      <c r="F3496" s="4">
        <v>45.0</v>
      </c>
      <c r="G3496" s="4" t="s">
        <v>5998</v>
      </c>
    </row>
    <row r="3497">
      <c r="A3497" s="1">
        <v>3495.0</v>
      </c>
      <c r="B3497" s="4" t="s">
        <v>5938</v>
      </c>
      <c r="C3497" s="4" t="str">
        <f>IFERROR(__xludf.DUMMYFUNCTION("GOOGLETRANSLATE(D:D,""auto"",""en"")"),"Hat making a large")</f>
        <v>Hat making a large</v>
      </c>
      <c r="D3497" s="4" t="s">
        <v>5999</v>
      </c>
      <c r="E3497" s="4">
        <v>5728600.0</v>
      </c>
      <c r="F3497" s="4">
        <v>46.0</v>
      </c>
      <c r="G3497" s="4" t="s">
        <v>6000</v>
      </c>
    </row>
    <row r="3498">
      <c r="A3498" s="1">
        <v>3496.0</v>
      </c>
      <c r="B3498" s="4" t="s">
        <v>5938</v>
      </c>
      <c r="C3498" s="4" t="str">
        <f>IFERROR(__xludf.DUMMYFUNCTION("GOOGLETRANSLATE(D:D,""auto"",""en"")"),"Times Youth Jopping")</f>
        <v>Times Youth Jopping</v>
      </c>
      <c r="D3498" s="4" t="s">
        <v>6001</v>
      </c>
      <c r="E3498" s="4">
        <v>5635319.0</v>
      </c>
      <c r="F3498" s="4">
        <v>47.0</v>
      </c>
      <c r="G3498" s="4" t="s">
        <v>6002</v>
      </c>
    </row>
    <row r="3499">
      <c r="A3499" s="1">
        <v>3497.0</v>
      </c>
      <c r="B3499" s="4" t="s">
        <v>5938</v>
      </c>
      <c r="C3499" s="4" t="str">
        <f>IFERROR(__xludf.DUMMYFUNCTION("GOOGLETRANSLATE(D:D,""auto"",""en"")"),"Global epidemic threat has become reality")</f>
        <v>Global epidemic threat has become reality</v>
      </c>
      <c r="D3499" s="4" t="s">
        <v>6003</v>
      </c>
      <c r="E3499" s="4">
        <v>5509214.0</v>
      </c>
      <c r="F3499" s="4">
        <v>48.0</v>
      </c>
      <c r="G3499" s="4" t="s">
        <v>6004</v>
      </c>
    </row>
    <row r="3500">
      <c r="A3500" s="1">
        <v>3498.0</v>
      </c>
      <c r="B3500" s="4" t="s">
        <v>5938</v>
      </c>
      <c r="C3500" s="4" t="str">
        <f>IFERROR(__xludf.DUMMYFUNCTION("GOOGLETRANSLATE(D:D,""auto"",""en"")"),"Liuyao Wen illegitimate Tracker")</f>
        <v>Liuyao Wen illegitimate Tracker</v>
      </c>
      <c r="D3500" s="4" t="s">
        <v>6005</v>
      </c>
      <c r="E3500" s="4">
        <v>5408496.0</v>
      </c>
      <c r="F3500" s="4">
        <v>49.0</v>
      </c>
      <c r="G3500" s="4" t="s">
        <v>6006</v>
      </c>
    </row>
    <row r="3501">
      <c r="A3501" s="1">
        <v>3499.0</v>
      </c>
      <c r="B3501" s="4" t="s">
        <v>5938</v>
      </c>
      <c r="C3501" s="4" t="str">
        <f>IFERROR(__xludf.DUMMYFUNCTION("GOOGLETRANSLATE(D:D,""auto"",""en"")"),"Jiang Chao to make love to his wife for lunch")</f>
        <v>Jiang Chao to make love to his wife for lunch</v>
      </c>
      <c r="D3501" s="4" t="s">
        <v>6007</v>
      </c>
      <c r="E3501" s="4">
        <v>5289919.0</v>
      </c>
      <c r="F3501" s="4">
        <v>50.0</v>
      </c>
      <c r="G3501" s="4" t="s">
        <v>6008</v>
      </c>
    </row>
    <row r="3502">
      <c r="A3502" s="1">
        <v>3500.0</v>
      </c>
      <c r="B3502" s="4" t="s">
        <v>6009</v>
      </c>
      <c r="C3502" s="4" t="str">
        <f>IFERROR(__xludf.DUMMYFUNCTION("GOOGLETRANSLATE(D:D,""auto"",""en"")"),"When the teacher voice sent the wrong group")</f>
        <v>When the teacher voice sent the wrong group</v>
      </c>
      <c r="D3502" s="4" t="s">
        <v>6010</v>
      </c>
      <c r="E3502" s="4">
        <v>1.0370298E7</v>
      </c>
      <c r="F3502" s="4">
        <v>1.0</v>
      </c>
      <c r="G3502" s="4" t="s">
        <v>6011</v>
      </c>
    </row>
    <row r="3503">
      <c r="A3503" s="1">
        <v>3501.0</v>
      </c>
      <c r="B3503" s="4" t="s">
        <v>6009</v>
      </c>
      <c r="C3503" s="4" t="str">
        <f>IFERROR(__xludf.DUMMYFUNCTION("GOOGLETRANSLATE(D:D,""auto"",""en"")"),"Luo agent responded breakup rumors")</f>
        <v>Luo agent responded breakup rumors</v>
      </c>
      <c r="D3503" s="4" t="s">
        <v>5941</v>
      </c>
      <c r="E3503" s="4">
        <v>1.0218236E7</v>
      </c>
      <c r="F3503" s="4">
        <v>2.0</v>
      </c>
      <c r="G3503" s="4" t="s">
        <v>5942</v>
      </c>
    </row>
    <row r="3504">
      <c r="A3504" s="1">
        <v>3502.0</v>
      </c>
      <c r="B3504" s="4" t="s">
        <v>6009</v>
      </c>
      <c r="C3504" s="4" t="str">
        <f>IFERROR(__xludf.DUMMYFUNCTION("GOOGLETRANSLATE(D:D,""auto"",""en"")"),"Wang Yuan in this life can not cut the head-inch")</f>
        <v>Wang Yuan in this life can not cut the head-inch</v>
      </c>
      <c r="D3504" s="4" t="s">
        <v>6012</v>
      </c>
      <c r="E3504" s="4">
        <v>1.0095808E7</v>
      </c>
      <c r="F3504" s="4">
        <v>3.0</v>
      </c>
      <c r="G3504" s="4" t="s">
        <v>6013</v>
      </c>
    </row>
    <row r="3505">
      <c r="A3505" s="1">
        <v>3503.0</v>
      </c>
      <c r="B3505" s="4" t="s">
        <v>6009</v>
      </c>
      <c r="C3505" s="4" t="str">
        <f>IFERROR(__xludf.DUMMYFUNCTION("GOOGLETRANSLATE(D:D,""auto"",""en"")"),"Show affection to face roommate Yi Xi smelt one thousand responses")</f>
        <v>Show affection to face roommate Yi Xi smelt one thousand responses</v>
      </c>
      <c r="D3505" s="4" t="s">
        <v>6014</v>
      </c>
      <c r="E3505" s="4">
        <v>9700350.0</v>
      </c>
      <c r="F3505" s="4">
        <v>4.0</v>
      </c>
      <c r="G3505" s="4" t="s">
        <v>6015</v>
      </c>
    </row>
    <row r="3506">
      <c r="A3506" s="1">
        <v>3504.0</v>
      </c>
      <c r="B3506" s="4" t="s">
        <v>6009</v>
      </c>
      <c r="C3506" s="4" t="str">
        <f>IFERROR(__xludf.DUMMYFUNCTION("GOOGLETRANSLATE(D:D,""auto"",""en"")"),"Muya said Lan recommended products won the Nobel Prize makeup")</f>
        <v>Muya said Lan recommended products won the Nobel Prize makeup</v>
      </c>
      <c r="D3506" s="4" t="s">
        <v>6016</v>
      </c>
      <c r="E3506" s="4">
        <v>9674699.0</v>
      </c>
      <c r="F3506" s="4">
        <v>5.0</v>
      </c>
      <c r="G3506" s="4" t="s">
        <v>6017</v>
      </c>
    </row>
    <row r="3507">
      <c r="A3507" s="1">
        <v>3505.0</v>
      </c>
      <c r="B3507" s="4" t="s">
        <v>6009</v>
      </c>
      <c r="C3507" s="4" t="str">
        <f>IFERROR(__xludf.DUMMYFUNCTION("GOOGLETRANSLATE(D:D,""auto"",""en"")"),"Dilly Reba archery")</f>
        <v>Dilly Reba archery</v>
      </c>
      <c r="D3507" s="4" t="s">
        <v>5975</v>
      </c>
      <c r="E3507" s="4">
        <v>9215907.0</v>
      </c>
      <c r="F3507" s="4">
        <v>6.0</v>
      </c>
      <c r="G3507" s="4" t="s">
        <v>5976</v>
      </c>
    </row>
    <row r="3508">
      <c r="A3508" s="1">
        <v>3506.0</v>
      </c>
      <c r="B3508" s="4" t="s">
        <v>6009</v>
      </c>
      <c r="C3508" s="4" t="str">
        <f>IFERROR(__xludf.DUMMYFUNCTION("GOOGLETRANSLATE(D:D,""auto"",""en"")"),"Mulan world premiere")</f>
        <v>Mulan world premiere</v>
      </c>
      <c r="D3508" s="4" t="s">
        <v>5969</v>
      </c>
      <c r="E3508" s="4">
        <v>8972323.0</v>
      </c>
      <c r="F3508" s="4">
        <v>7.0</v>
      </c>
      <c r="G3508" s="4" t="s">
        <v>5970</v>
      </c>
    </row>
    <row r="3509">
      <c r="A3509" s="1">
        <v>3507.0</v>
      </c>
      <c r="B3509" s="4" t="s">
        <v>6009</v>
      </c>
      <c r="C3509" s="4" t="str">
        <f>IFERROR(__xludf.DUMMYFUNCTION("GOOGLETRANSLATE(D:D,""auto"",""en"")"),"Yi Xi smelt one thousand or not to participate in the wedding of former")</f>
        <v>Yi Xi smelt one thousand or not to participate in the wedding of former</v>
      </c>
      <c r="D3509" s="4" t="s">
        <v>6018</v>
      </c>
      <c r="E3509" s="4">
        <v>8777857.0</v>
      </c>
      <c r="F3509" s="4">
        <v>8.0</v>
      </c>
      <c r="G3509" s="4" t="s">
        <v>6019</v>
      </c>
    </row>
    <row r="3510">
      <c r="A3510" s="1">
        <v>3508.0</v>
      </c>
      <c r="B3510" s="4" t="s">
        <v>6009</v>
      </c>
      <c r="C3510" s="4" t="str">
        <f>IFERROR(__xludf.DUMMYFUNCTION("GOOGLETRANSLATE(D:D,""auto"",""en"")"),"Pee correct pronunciation")</f>
        <v>Pee correct pronunciation</v>
      </c>
      <c r="D3510" s="4" t="s">
        <v>5939</v>
      </c>
      <c r="E3510" s="4">
        <v>8732729.0</v>
      </c>
      <c r="F3510" s="4">
        <v>9.0</v>
      </c>
      <c r="G3510" s="4" t="s">
        <v>5940</v>
      </c>
    </row>
    <row r="3511">
      <c r="A3511" s="1">
        <v>3509.0</v>
      </c>
      <c r="B3511" s="4" t="s">
        <v>6009</v>
      </c>
      <c r="C3511" s="4" t="str">
        <f>IFERROR(__xludf.DUMMYFUNCTION("GOOGLETRANSLATE(D:D,""auto"",""en"")"),"I heard about the photo looked like a mirror flip")</f>
        <v>I heard about the photo looked like a mirror flip</v>
      </c>
      <c r="D3511" s="4" t="s">
        <v>6020</v>
      </c>
      <c r="E3511" s="4">
        <v>8603396.0</v>
      </c>
      <c r="F3511" s="4">
        <v>10.0</v>
      </c>
      <c r="G3511" s="4" t="s">
        <v>6021</v>
      </c>
    </row>
    <row r="3512">
      <c r="A3512" s="1">
        <v>3510.0</v>
      </c>
      <c r="B3512" s="4" t="s">
        <v>6009</v>
      </c>
      <c r="C3512" s="4" t="str">
        <f>IFERROR(__xludf.DUMMYFUNCTION("GOOGLETRANSLATE(D:D,""auto"",""en"")"),"Miao Miao Zheng Kai")</f>
        <v>Miao Miao Zheng Kai</v>
      </c>
      <c r="D3512" s="4" t="s">
        <v>5943</v>
      </c>
      <c r="E3512" s="4">
        <v>8587713.0</v>
      </c>
      <c r="F3512" s="4">
        <v>11.0</v>
      </c>
      <c r="G3512" s="4" t="s">
        <v>5944</v>
      </c>
    </row>
    <row r="3513">
      <c r="A3513" s="1">
        <v>3511.0</v>
      </c>
      <c r="B3513" s="4" t="s">
        <v>6009</v>
      </c>
      <c r="C3513" s="4" t="str">
        <f>IFERROR(__xludf.DUMMYFUNCTION("GOOGLETRANSLATE(D:D,""auto"",""en"")"),"Patent guardian maternal inheritance")</f>
        <v>Patent guardian maternal inheritance</v>
      </c>
      <c r="D3513" s="4" t="s">
        <v>6022</v>
      </c>
      <c r="E3513" s="4">
        <v>8242491.0</v>
      </c>
      <c r="F3513" s="4">
        <v>12.0</v>
      </c>
      <c r="G3513" s="4" t="s">
        <v>6023</v>
      </c>
    </row>
    <row r="3514">
      <c r="A3514" s="1">
        <v>3512.0</v>
      </c>
      <c r="B3514" s="4" t="s">
        <v>6009</v>
      </c>
      <c r="C3514" s="4" t="str">
        <f>IFERROR(__xludf.DUMMYFUNCTION("GOOGLETRANSLATE(D:D,""auto"",""en"")"),"Preliminary findings Quanzhou hotel collapse")</f>
        <v>Preliminary findings Quanzhou hotel collapse</v>
      </c>
      <c r="D3514" s="4" t="s">
        <v>6024</v>
      </c>
      <c r="E3514" s="4">
        <v>8079570.0</v>
      </c>
      <c r="F3514" s="4">
        <v>13.0</v>
      </c>
      <c r="G3514" s="4" t="s">
        <v>6025</v>
      </c>
    </row>
    <row r="3515">
      <c r="A3515" s="1">
        <v>3513.0</v>
      </c>
      <c r="B3515" s="4" t="s">
        <v>6009</v>
      </c>
      <c r="C3515" s="4" t="str">
        <f>IFERROR(__xludf.DUMMYFUNCTION("GOOGLETRANSLATE(D:D,""auto"",""en"")"),"Yi Xi smelt one thousand terrible thing")</f>
        <v>Yi Xi smelt one thousand terrible thing</v>
      </c>
      <c r="D3515" s="4" t="s">
        <v>5866</v>
      </c>
      <c r="E3515" s="4">
        <v>8004526.0</v>
      </c>
      <c r="F3515" s="4">
        <v>14.0</v>
      </c>
      <c r="G3515" s="4" t="s">
        <v>5867</v>
      </c>
    </row>
    <row r="3516">
      <c r="A3516" s="1">
        <v>3514.0</v>
      </c>
      <c r="B3516" s="4" t="s">
        <v>6009</v>
      </c>
      <c r="C3516" s="4" t="str">
        <f>IFERROR(__xludf.DUMMYFUNCTION("GOOGLETRANSLATE(D:D,""auto"",""en"")"),"Xue Qian hot weather rice")</f>
        <v>Xue Qian hot weather rice</v>
      </c>
      <c r="D3516" s="4" t="s">
        <v>5945</v>
      </c>
      <c r="E3516" s="4">
        <v>8003482.0</v>
      </c>
      <c r="F3516" s="4">
        <v>15.0</v>
      </c>
      <c r="G3516" s="4" t="s">
        <v>5946</v>
      </c>
    </row>
    <row r="3517">
      <c r="A3517" s="1">
        <v>3515.0</v>
      </c>
      <c r="B3517" s="4" t="s">
        <v>6009</v>
      </c>
      <c r="C3517" s="4" t="str">
        <f>IFERROR(__xludf.DUMMYFUNCTION("GOOGLETRANSLATE(D:D,""auto"",""en"")"),"Cecilia")</f>
        <v>Cecilia</v>
      </c>
      <c r="D3517" s="4" t="s">
        <v>6026</v>
      </c>
      <c r="E3517" s="4">
        <v>7990334.0</v>
      </c>
      <c r="F3517" s="4">
        <v>16.0</v>
      </c>
      <c r="G3517" s="4" t="s">
        <v>6027</v>
      </c>
    </row>
    <row r="3518">
      <c r="A3518" s="1">
        <v>3516.0</v>
      </c>
      <c r="B3518" s="4" t="s">
        <v>6009</v>
      </c>
      <c r="C3518" s="4" t="str">
        <f>IFERROR(__xludf.DUMMYFUNCTION("GOOGLETRANSLATE(D:D,""auto"",""en"")"),"See the car is not closing")</f>
        <v>See the car is not closing</v>
      </c>
      <c r="D3518" s="4" t="s">
        <v>4957</v>
      </c>
      <c r="E3518" s="4">
        <v>7960106.0</v>
      </c>
      <c r="F3518" s="4">
        <v>17.0</v>
      </c>
      <c r="G3518" s="4" t="s">
        <v>4958</v>
      </c>
    </row>
    <row r="3519">
      <c r="A3519" s="1">
        <v>3517.0</v>
      </c>
      <c r="B3519" s="4" t="s">
        <v>6009</v>
      </c>
      <c r="C3519" s="4" t="str">
        <f>IFERROR(__xludf.DUMMYFUNCTION("GOOGLETRANSLATE(D:D,""auto"",""en"")"),"Durant missed lore eyebrows look bright")</f>
        <v>Durant missed lore eyebrows look bright</v>
      </c>
      <c r="D3519" s="4" t="s">
        <v>6028</v>
      </c>
      <c r="E3519" s="4">
        <v>7941316.0</v>
      </c>
      <c r="F3519" s="4">
        <v>18.0</v>
      </c>
      <c r="G3519" s="4" t="s">
        <v>6029</v>
      </c>
    </row>
    <row r="3520">
      <c r="A3520" s="1">
        <v>3518.0</v>
      </c>
      <c r="B3520" s="4" t="s">
        <v>6009</v>
      </c>
      <c r="C3520" s="4" t="str">
        <f>IFERROR(__xludf.DUMMYFUNCTION("GOOGLETRANSLATE(D:D,""auto"",""en"")"),"In the dim mask gestures challenge")</f>
        <v>In the dim mask gestures challenge</v>
      </c>
      <c r="D3520" s="4" t="s">
        <v>6030</v>
      </c>
      <c r="E3520" s="4">
        <v>7805058.0</v>
      </c>
      <c r="F3520" s="4">
        <v>19.0</v>
      </c>
      <c r="G3520" s="4" t="s">
        <v>6031</v>
      </c>
    </row>
    <row r="3521">
      <c r="A3521" s="1">
        <v>3519.0</v>
      </c>
      <c r="B3521" s="4" t="s">
        <v>6009</v>
      </c>
      <c r="C3521" s="4" t="str">
        <f>IFERROR(__xludf.DUMMYFUNCTION("GOOGLETRANSLATE(D:D,""auto"",""en"")"),"Wang Yibo secretly checking beauty")</f>
        <v>Wang Yibo secretly checking beauty</v>
      </c>
      <c r="D3521" s="4" t="s">
        <v>6032</v>
      </c>
      <c r="E3521" s="4">
        <v>7761426.0</v>
      </c>
      <c r="F3521" s="4">
        <v>20.0</v>
      </c>
      <c r="G3521" s="4" t="s">
        <v>6033</v>
      </c>
    </row>
    <row r="3522">
      <c r="A3522" s="1">
        <v>3520.0</v>
      </c>
      <c r="B3522" s="4" t="s">
        <v>6009</v>
      </c>
      <c r="C3522" s="4" t="str">
        <f>IFERROR(__xludf.DUMMYFUNCTION("GOOGLETRANSLATE(D:D,""auto"",""en"")"),"Aaron Fahrenheit in private will not be contacted")</f>
        <v>Aaron Fahrenheit in private will not be contacted</v>
      </c>
      <c r="D3522" s="4" t="s">
        <v>6034</v>
      </c>
      <c r="E3522" s="4">
        <v>7743292.0</v>
      </c>
      <c r="F3522" s="4">
        <v>21.0</v>
      </c>
      <c r="G3522" s="4" t="s">
        <v>6035</v>
      </c>
    </row>
    <row r="3523">
      <c r="A3523" s="1">
        <v>3521.0</v>
      </c>
      <c r="B3523" s="4" t="s">
        <v>6009</v>
      </c>
      <c r="C3523" s="4" t="str">
        <f>IFERROR(__xludf.DUMMYFUNCTION("GOOGLETRANSLATE(D:D,""auto"",""en"")"),"CCTV interview Dalian volunteer network red")</f>
        <v>CCTV interview Dalian volunteer network red</v>
      </c>
      <c r="D3523" s="4" t="s">
        <v>6036</v>
      </c>
      <c r="E3523" s="4">
        <v>7716400.0</v>
      </c>
      <c r="F3523" s="4">
        <v>22.0</v>
      </c>
      <c r="G3523" s="4" t="s">
        <v>6037</v>
      </c>
    </row>
    <row r="3524">
      <c r="A3524" s="1">
        <v>3522.0</v>
      </c>
      <c r="B3524" s="4" t="s">
        <v>6009</v>
      </c>
      <c r="C3524" s="4" t="str">
        <f>IFERROR(__xludf.DUMMYFUNCTION("GOOGLETRANSLATE(D:D,""auto"",""en"")"),"90 chicken commander pattern tribute angels")</f>
        <v>90 chicken commander pattern tribute angels</v>
      </c>
      <c r="D3524" s="4" t="s">
        <v>6038</v>
      </c>
      <c r="E3524" s="4">
        <v>7684166.0</v>
      </c>
      <c r="F3524" s="4">
        <v>23.0</v>
      </c>
      <c r="G3524" s="4" t="s">
        <v>6039</v>
      </c>
    </row>
    <row r="3525">
      <c r="A3525" s="1">
        <v>3523.0</v>
      </c>
      <c r="B3525" s="4" t="s">
        <v>6009</v>
      </c>
      <c r="C3525" s="4" t="str">
        <f>IFERROR(__xludf.DUMMYFUNCTION("GOOGLETRANSLATE(D:D,""auto"",""en"")"),"24 cases of new confirmed cases nationwide")</f>
        <v>24 cases of new confirmed cases nationwide</v>
      </c>
      <c r="D3525" s="4" t="s">
        <v>6040</v>
      </c>
      <c r="E3525" s="4">
        <v>7529056.0</v>
      </c>
      <c r="F3525" s="4">
        <v>24.0</v>
      </c>
      <c r="G3525" s="4" t="s">
        <v>6041</v>
      </c>
    </row>
    <row r="3526">
      <c r="A3526" s="1">
        <v>3524.0</v>
      </c>
      <c r="B3526" s="4" t="s">
        <v>6009</v>
      </c>
      <c r="C3526" s="4" t="str">
        <f>IFERROR(__xludf.DUMMYFUNCTION("GOOGLETRANSLATE(D:D,""auto"",""en"")"),"Ouyang Nana three sisters dance practice tidbits")</f>
        <v>Ouyang Nana three sisters dance practice tidbits</v>
      </c>
      <c r="D3526" s="4" t="s">
        <v>5953</v>
      </c>
      <c r="E3526" s="4">
        <v>7497502.0</v>
      </c>
      <c r="F3526" s="4">
        <v>25.0</v>
      </c>
      <c r="G3526" s="4" t="s">
        <v>5954</v>
      </c>
    </row>
    <row r="3527">
      <c r="A3527" s="1">
        <v>3525.0</v>
      </c>
      <c r="B3527" s="4" t="s">
        <v>6009</v>
      </c>
      <c r="C3527" s="4" t="str">
        <f>IFERROR(__xludf.DUMMYFUNCTION("GOOGLETRANSLATE(D:D,""auto"",""en"")"),"Firefighters let the woman stepped out of the collapsed building their own body")</f>
        <v>Firefighters let the woman stepped out of the collapsed building their own body</v>
      </c>
      <c r="D3527" s="4" t="s">
        <v>6042</v>
      </c>
      <c r="E3527" s="4">
        <v>7490976.0</v>
      </c>
      <c r="F3527" s="4">
        <v>26.0</v>
      </c>
      <c r="G3527" s="4" t="s">
        <v>6043</v>
      </c>
    </row>
    <row r="3528">
      <c r="A3528" s="1">
        <v>3526.0</v>
      </c>
      <c r="B3528" s="4" t="s">
        <v>6009</v>
      </c>
      <c r="C3528" s="4" t="str">
        <f>IFERROR(__xludf.DUMMYFUNCTION("GOOGLETRANSLATE(D:D,""auto"",""en"")"),"Actress difference between eating and I eat")</f>
        <v>Actress difference between eating and I eat</v>
      </c>
      <c r="D3528" s="4" t="s">
        <v>6044</v>
      </c>
      <c r="E3528" s="4">
        <v>7346739.0</v>
      </c>
      <c r="F3528" s="4">
        <v>27.0</v>
      </c>
      <c r="G3528" s="4" t="s">
        <v>6045</v>
      </c>
    </row>
    <row r="3529">
      <c r="A3529" s="1">
        <v>3527.0</v>
      </c>
      <c r="B3529" s="4" t="s">
        <v>6009</v>
      </c>
      <c r="C3529" s="4" t="str">
        <f>IFERROR(__xludf.DUMMYFUNCTION("GOOGLETRANSLATE(D:D,""auto"",""en"")"),"Italy confirmed a total of 10,149 cases of pneumonia new crown")</f>
        <v>Italy confirmed a total of 10,149 cases of pneumonia new crown</v>
      </c>
      <c r="D3529" s="4" t="s">
        <v>6046</v>
      </c>
      <c r="E3529" s="4">
        <v>7128794.0</v>
      </c>
      <c r="F3529" s="4">
        <v>28.0</v>
      </c>
      <c r="G3529" s="4" t="s">
        <v>6047</v>
      </c>
    </row>
    <row r="3530">
      <c r="A3530" s="1">
        <v>3528.0</v>
      </c>
      <c r="B3530" s="4" t="s">
        <v>6009</v>
      </c>
      <c r="C3530" s="4" t="str">
        <f>IFERROR(__xludf.DUMMYFUNCTION("GOOGLETRANSLATE(D:D,""auto"",""en"")"),"Xiao Zhan Wang Yibo split step tidbits")</f>
        <v>Xiao Zhan Wang Yibo split step tidbits</v>
      </c>
      <c r="D3530" s="4" t="s">
        <v>5959</v>
      </c>
      <c r="E3530" s="4">
        <v>7088941.0</v>
      </c>
      <c r="F3530" s="4">
        <v>29.0</v>
      </c>
      <c r="G3530" s="4" t="s">
        <v>5960</v>
      </c>
    </row>
    <row r="3531">
      <c r="A3531" s="1">
        <v>3529.0</v>
      </c>
      <c r="B3531" s="4" t="s">
        <v>6009</v>
      </c>
      <c r="C3531" s="4" t="str">
        <f>IFERROR(__xludf.DUMMYFUNCTION("GOOGLETRANSLATE(D:D,""auto"",""en"")"),"An ordinary girl of ten years")</f>
        <v>An ordinary girl of ten years</v>
      </c>
      <c r="D3531" s="4" t="s">
        <v>5951</v>
      </c>
      <c r="E3531" s="4">
        <v>6903956.0</v>
      </c>
      <c r="F3531" s="4">
        <v>30.0</v>
      </c>
      <c r="G3531" s="4" t="s">
        <v>5952</v>
      </c>
    </row>
    <row r="3532">
      <c r="A3532" s="1">
        <v>3530.0</v>
      </c>
      <c r="B3532" s="4" t="s">
        <v>6009</v>
      </c>
      <c r="C3532" s="4" t="str">
        <f>IFERROR(__xludf.DUMMYFUNCTION("GOOGLETRANSLATE(D:D,""auto"",""en"")"),"Beijing new foreign input 6 cases")</f>
        <v>Beijing new foreign input 6 cases</v>
      </c>
      <c r="D3532" s="4" t="s">
        <v>6048</v>
      </c>
      <c r="E3532" s="4">
        <v>6857391.0</v>
      </c>
      <c r="F3532" s="4">
        <v>31.0</v>
      </c>
      <c r="G3532" s="4" t="s">
        <v>6049</v>
      </c>
    </row>
    <row r="3533">
      <c r="A3533" s="1">
        <v>3531.0</v>
      </c>
      <c r="B3533" s="4" t="s">
        <v>6009</v>
      </c>
      <c r="C3533" s="4" t="str">
        <f>IFERROR(__xludf.DUMMYFUNCTION("GOOGLETRANSLATE(D:D,""auto"",""en"")"),"An ordinary boy of ten years")</f>
        <v>An ordinary boy of ten years</v>
      </c>
      <c r="D3533" s="4" t="s">
        <v>5949</v>
      </c>
      <c r="E3533" s="4">
        <v>6772705.0</v>
      </c>
      <c r="F3533" s="4">
        <v>32.0</v>
      </c>
      <c r="G3533" s="4" t="s">
        <v>5950</v>
      </c>
    </row>
    <row r="3534">
      <c r="A3534" s="1">
        <v>3532.0</v>
      </c>
      <c r="B3534" s="4" t="s">
        <v>6009</v>
      </c>
      <c r="C3534" s="4" t="str">
        <f>IFERROR(__xludf.DUMMYFUNCTION("GOOGLETRANSLATE(D:D,""auto"",""en"")"),"Xinxiang a car crash enforcement officers suspected malicious")</f>
        <v>Xinxiang a car crash enforcement officers suspected malicious</v>
      </c>
      <c r="D3534" s="4" t="s">
        <v>5987</v>
      </c>
      <c r="E3534" s="4">
        <v>6754484.0</v>
      </c>
      <c r="F3534" s="4">
        <v>33.0</v>
      </c>
      <c r="G3534" s="4" t="s">
        <v>5988</v>
      </c>
    </row>
    <row r="3535">
      <c r="A3535" s="1">
        <v>3533.0</v>
      </c>
      <c r="B3535" s="4" t="s">
        <v>6009</v>
      </c>
      <c r="C3535" s="4" t="str">
        <f>IFERROR(__xludf.DUMMYFUNCTION("GOOGLETRANSLATE(D:D,""auto"",""en"")"),"Hao Rui Ying")</f>
        <v>Hao Rui Ying</v>
      </c>
      <c r="D3535" s="4" t="s">
        <v>6050</v>
      </c>
      <c r="E3535" s="4">
        <v>6709339.0</v>
      </c>
      <c r="F3535" s="4">
        <v>34.0</v>
      </c>
      <c r="G3535" s="4" t="s">
        <v>6051</v>
      </c>
    </row>
    <row r="3536">
      <c r="A3536" s="1">
        <v>3534.0</v>
      </c>
      <c r="B3536" s="4" t="s">
        <v>6009</v>
      </c>
      <c r="C3536" s="4" t="str">
        <f>IFERROR(__xludf.DUMMYFUNCTION("GOOGLETRANSLATE(D:D,""auto"",""en"")"),"Quanzhou collapsed hotel found large amounts of cash")</f>
        <v>Quanzhou collapsed hotel found large amounts of cash</v>
      </c>
      <c r="D3536" s="4" t="s">
        <v>6052</v>
      </c>
      <c r="E3536" s="4">
        <v>6705126.0</v>
      </c>
      <c r="F3536" s="4">
        <v>35.0</v>
      </c>
      <c r="G3536" s="4" t="s">
        <v>6053</v>
      </c>
    </row>
    <row r="3537">
      <c r="A3537" s="1">
        <v>3535.0</v>
      </c>
      <c r="B3537" s="4" t="s">
        <v>6009</v>
      </c>
      <c r="C3537" s="4" t="str">
        <f>IFERROR(__xludf.DUMMYFUNCTION("GOOGLETRANSLATE(D:D,""auto"",""en"")"),"NY enable the production of hand sanitizer prisoners")</f>
        <v>NY enable the production of hand sanitizer prisoners</v>
      </c>
      <c r="D3537" s="4" t="s">
        <v>6054</v>
      </c>
      <c r="E3537" s="4">
        <v>6697994.0</v>
      </c>
      <c r="F3537" s="4">
        <v>36.0</v>
      </c>
      <c r="G3537" s="4" t="s">
        <v>6055</v>
      </c>
    </row>
    <row r="3538">
      <c r="A3538" s="1">
        <v>3536.0</v>
      </c>
      <c r="B3538" s="4" t="s">
        <v>6009</v>
      </c>
      <c r="C3538" s="4" t="str">
        <f>IFERROR(__xludf.DUMMYFUNCTION("GOOGLETRANSLATE(D:D,""auto"",""en"")"),"Italy Emergency China")</f>
        <v>Italy Emergency China</v>
      </c>
      <c r="D3538" s="4" t="s">
        <v>6056</v>
      </c>
      <c r="E3538" s="4">
        <v>6692177.0</v>
      </c>
      <c r="F3538" s="4">
        <v>37.0</v>
      </c>
      <c r="G3538" s="4" t="s">
        <v>6057</v>
      </c>
    </row>
    <row r="3539">
      <c r="A3539" s="1">
        <v>3537.0</v>
      </c>
      <c r="B3539" s="4" t="s">
        <v>6009</v>
      </c>
      <c r="C3539" s="4" t="str">
        <f>IFERROR(__xludf.DUMMYFUNCTION("GOOGLETRANSLATE(D:D,""auto"",""en"")"),"Iran confirmed a total of 9000 cases of pneumonia new crown")</f>
        <v>Iran confirmed a total of 9000 cases of pneumonia new crown</v>
      </c>
      <c r="D3539" s="4" t="s">
        <v>6058</v>
      </c>
      <c r="E3539" s="4">
        <v>6650638.0</v>
      </c>
      <c r="F3539" s="4">
        <v>38.0</v>
      </c>
      <c r="G3539" s="4" t="s">
        <v>6059</v>
      </c>
    </row>
    <row r="3540">
      <c r="A3540" s="1">
        <v>3538.0</v>
      </c>
      <c r="B3540" s="4" t="s">
        <v>6009</v>
      </c>
      <c r="C3540" s="4" t="str">
        <f>IFERROR(__xludf.DUMMYFUNCTION("GOOGLETRANSLATE(D:D,""auto"",""en"")"),"2020 The first Super Moon")</f>
        <v>2020 The first Super Moon</v>
      </c>
      <c r="D3540" s="4" t="s">
        <v>5860</v>
      </c>
      <c r="E3540" s="4">
        <v>6644585.0</v>
      </c>
      <c r="F3540" s="4">
        <v>39.0</v>
      </c>
      <c r="G3540" s="4" t="s">
        <v>5861</v>
      </c>
    </row>
    <row r="3541">
      <c r="A3541" s="1">
        <v>3539.0</v>
      </c>
      <c r="B3541" s="4" t="s">
        <v>6009</v>
      </c>
      <c r="C3541" s="4" t="str">
        <f>IFERROR(__xludf.DUMMYFUNCTION("GOOGLETRANSLATE(D:D,""auto"",""en"")"),"90-year-old mother to accompany the 4 days and 4 nights sons death")</f>
        <v>90-year-old mother to accompany the 4 days and 4 nights sons death</v>
      </c>
      <c r="D3541" s="4" t="s">
        <v>6060</v>
      </c>
      <c r="E3541" s="4">
        <v>6632678.0</v>
      </c>
      <c r="F3541" s="4">
        <v>40.0</v>
      </c>
      <c r="G3541" s="4" t="s">
        <v>6061</v>
      </c>
    </row>
    <row r="3542">
      <c r="A3542" s="1">
        <v>3540.0</v>
      </c>
      <c r="B3542" s="4" t="s">
        <v>6009</v>
      </c>
      <c r="C3542" s="4" t="str">
        <f>IFERROR(__xludf.DUMMYFUNCTION("GOOGLETRANSLATE(D:D,""auto"",""en"")"),"Luo Luo cute")</f>
        <v>Luo Luo cute</v>
      </c>
      <c r="D3542" s="4" t="s">
        <v>6062</v>
      </c>
      <c r="E3542" s="4">
        <v>6609052.0</v>
      </c>
      <c r="F3542" s="4">
        <v>41.0</v>
      </c>
      <c r="G3542" s="4" t="s">
        <v>6063</v>
      </c>
    </row>
    <row r="3543">
      <c r="A3543" s="1">
        <v>3541.0</v>
      </c>
      <c r="B3543" s="4" t="s">
        <v>6009</v>
      </c>
      <c r="C3543" s="4" t="str">
        <f>IFERROR(__xludf.DUMMYFUNCTION("GOOGLETRANSLATE(D:D,""auto"",""en"")"),"Indian street new burn crown virus monster statue")</f>
        <v>Indian street new burn crown virus monster statue</v>
      </c>
      <c r="D3543" s="4" t="s">
        <v>6064</v>
      </c>
      <c r="E3543" s="4">
        <v>6508018.0</v>
      </c>
      <c r="F3543" s="4">
        <v>42.0</v>
      </c>
      <c r="G3543" s="4" t="s">
        <v>6065</v>
      </c>
    </row>
    <row r="3544">
      <c r="A3544" s="1">
        <v>3542.0</v>
      </c>
      <c r="B3544" s="4" t="s">
        <v>6009</v>
      </c>
      <c r="C3544" s="4" t="str">
        <f>IFERROR(__xludf.DUMMYFUNCTION("GOOGLETRANSLATE(D:D,""auto"",""en"")"),"Americans insist on ignoring government warnings cruises")</f>
        <v>Americans insist on ignoring government warnings cruises</v>
      </c>
      <c r="D3544" s="4" t="s">
        <v>6066</v>
      </c>
      <c r="E3544" s="4">
        <v>6417506.0</v>
      </c>
      <c r="F3544" s="4">
        <v>43.0</v>
      </c>
      <c r="G3544" s="4" t="s">
        <v>6067</v>
      </c>
    </row>
    <row r="3545">
      <c r="A3545" s="1">
        <v>3543.0</v>
      </c>
      <c r="B3545" s="4" t="s">
        <v>6009</v>
      </c>
      <c r="C3545" s="4" t="str">
        <f>IFERROR(__xludf.DUMMYFUNCTION("GOOGLETRANSLATE(D:D,""auto"",""en"")"),"Sean Sun jump Square Dance")</f>
        <v>Sean Sun jump Square Dance</v>
      </c>
      <c r="D3545" s="4" t="s">
        <v>5868</v>
      </c>
      <c r="E3545" s="4">
        <v>6406836.0</v>
      </c>
      <c r="F3545" s="4">
        <v>44.0</v>
      </c>
      <c r="G3545" s="4" t="s">
        <v>5869</v>
      </c>
    </row>
    <row r="3546">
      <c r="A3546" s="1">
        <v>3544.0</v>
      </c>
      <c r="B3546" s="4" t="s">
        <v>6009</v>
      </c>
      <c r="C3546" s="4" t="str">
        <f>IFERROR(__xludf.DUMMYFUNCTION("GOOGLETRANSLATE(D:D,""auto"",""en"")"),"BIGBANG contract with YG")</f>
        <v>BIGBANG contract with YG</v>
      </c>
      <c r="D3546" s="4" t="s">
        <v>6068</v>
      </c>
      <c r="E3546" s="4">
        <v>6353822.0</v>
      </c>
      <c r="F3546" s="4">
        <v>45.0</v>
      </c>
      <c r="G3546" s="4" t="s">
        <v>6069</v>
      </c>
    </row>
    <row r="3547">
      <c r="A3547" s="1">
        <v>3545.0</v>
      </c>
      <c r="B3547" s="4" t="s">
        <v>6009</v>
      </c>
      <c r="C3547" s="4" t="str">
        <f>IFERROR(__xludf.DUMMYFUNCTION("GOOGLETRANSLATE(D:D,""auto"",""en"")"),"James would not respond to an empty field to play")</f>
        <v>James would not respond to an empty field to play</v>
      </c>
      <c r="D3547" s="4" t="s">
        <v>6070</v>
      </c>
      <c r="E3547" s="4">
        <v>6331985.0</v>
      </c>
      <c r="F3547" s="4">
        <v>46.0</v>
      </c>
      <c r="G3547" s="4" t="s">
        <v>6071</v>
      </c>
    </row>
    <row r="3548">
      <c r="A3548" s="1">
        <v>3546.0</v>
      </c>
      <c r="B3548" s="4" t="s">
        <v>6009</v>
      </c>
      <c r="C3548" s="4" t="str">
        <f>IFERROR(__xludf.DUMMYFUNCTION("GOOGLETRANSLATE(D:D,""auto"",""en"")"),"The final takeaway playing and singing challenge")</f>
        <v>The final takeaway playing and singing challenge</v>
      </c>
      <c r="D3548" s="4" t="s">
        <v>5963</v>
      </c>
      <c r="E3548" s="4">
        <v>6231743.0</v>
      </c>
      <c r="F3548" s="4">
        <v>47.0</v>
      </c>
      <c r="G3548" s="4" t="s">
        <v>5964</v>
      </c>
    </row>
    <row r="3549">
      <c r="A3549" s="1">
        <v>3547.0</v>
      </c>
      <c r="B3549" s="4" t="s">
        <v>6009</v>
      </c>
      <c r="C3549" s="4" t="str">
        <f>IFERROR(__xludf.DUMMYFUNCTION("GOOGLETRANSLATE(D:D,""auto"",""en"")"),"EXO members epidemic donations")</f>
        <v>EXO members epidemic donations</v>
      </c>
      <c r="D3549" s="4" t="s">
        <v>5983</v>
      </c>
      <c r="E3549" s="4">
        <v>6223666.0</v>
      </c>
      <c r="F3549" s="4">
        <v>48.0</v>
      </c>
      <c r="G3549" s="4" t="s">
        <v>5984</v>
      </c>
    </row>
    <row r="3550">
      <c r="A3550" s="1">
        <v>3548.0</v>
      </c>
      <c r="B3550" s="4" t="s">
        <v>6009</v>
      </c>
      <c r="C3550" s="4" t="str">
        <f>IFERROR(__xludf.DUMMYFUNCTION("GOOGLETRANSLATE(D:D,""auto"",""en"")"),"Shandong's first cases appeared outside input")</f>
        <v>Shandong's first cases appeared outside input</v>
      </c>
      <c r="D3550" s="4" t="s">
        <v>6072</v>
      </c>
      <c r="E3550" s="4">
        <v>6183750.0</v>
      </c>
      <c r="F3550" s="4">
        <v>49.0</v>
      </c>
      <c r="G3550" s="4" t="s">
        <v>6073</v>
      </c>
    </row>
    <row r="3551">
      <c r="A3551" s="1">
        <v>3549.0</v>
      </c>
      <c r="B3551" s="4" t="s">
        <v>6009</v>
      </c>
      <c r="C3551" s="4" t="str">
        <f>IFERROR(__xludf.DUMMYFUNCTION("GOOGLETRANSLATE(D:D,""auto"",""en"")"),"Yi Xi smelt one thousand paste of fried bread")</f>
        <v>Yi Xi smelt one thousand paste of fried bread</v>
      </c>
      <c r="D3551" s="4" t="s">
        <v>6074</v>
      </c>
      <c r="E3551" s="4">
        <v>6180143.0</v>
      </c>
      <c r="F3551" s="4">
        <v>50.0</v>
      </c>
      <c r="G3551" s="4" t="s">
        <v>6075</v>
      </c>
    </row>
    <row r="3552">
      <c r="A3552" s="1">
        <v>3550.0</v>
      </c>
      <c r="B3552" s="4" t="s">
        <v>6076</v>
      </c>
      <c r="C3552" s="4" t="str">
        <f>IFERROR(__xludf.DUMMYFUNCTION("GOOGLETRANSLATE(D:D,""auto"",""en"")"),"When the teacher voice sent the wrong group")</f>
        <v>When the teacher voice sent the wrong group</v>
      </c>
      <c r="D3552" s="4" t="s">
        <v>6010</v>
      </c>
      <c r="E3552" s="4">
        <v>1.0314615E7</v>
      </c>
      <c r="F3552" s="4">
        <v>1.0</v>
      </c>
      <c r="G3552" s="4" t="s">
        <v>6011</v>
      </c>
    </row>
    <row r="3553">
      <c r="A3553" s="1">
        <v>3551.0</v>
      </c>
      <c r="B3553" s="4" t="s">
        <v>6076</v>
      </c>
      <c r="C3553" s="4" t="str">
        <f>IFERROR(__xludf.DUMMYFUNCTION("GOOGLETRANSLATE(D:D,""auto"",""en"")"),"Dilly Reba archery")</f>
        <v>Dilly Reba archery</v>
      </c>
      <c r="D3553" s="4" t="s">
        <v>5975</v>
      </c>
      <c r="E3553" s="4">
        <v>1.0188904E7</v>
      </c>
      <c r="F3553" s="4">
        <v>2.0</v>
      </c>
      <c r="G3553" s="4" t="s">
        <v>5976</v>
      </c>
    </row>
    <row r="3554">
      <c r="A3554" s="1">
        <v>3552.0</v>
      </c>
      <c r="B3554" s="4" t="s">
        <v>6076</v>
      </c>
      <c r="C3554" s="4" t="str">
        <f>IFERROR(__xludf.DUMMYFUNCTION("GOOGLETRANSLATE(D:D,""auto"",""en"")"),"Wang Yuan in this life can not cut the head-inch")</f>
        <v>Wang Yuan in this life can not cut the head-inch</v>
      </c>
      <c r="D3554" s="4" t="s">
        <v>6012</v>
      </c>
      <c r="E3554" s="4">
        <v>9507971.0</v>
      </c>
      <c r="F3554" s="4">
        <v>3.0</v>
      </c>
      <c r="G3554" s="4" t="s">
        <v>6013</v>
      </c>
    </row>
    <row r="3555">
      <c r="A3555" s="1">
        <v>3553.0</v>
      </c>
      <c r="B3555" s="4" t="s">
        <v>6076</v>
      </c>
      <c r="C3555" s="4" t="str">
        <f>IFERROR(__xludf.DUMMYFUNCTION("GOOGLETRANSLATE(D:D,""auto"",""en"")"),"Luo agent responded breakup rumors")</f>
        <v>Luo agent responded breakup rumors</v>
      </c>
      <c r="D3555" s="4" t="s">
        <v>5941</v>
      </c>
      <c r="E3555" s="4">
        <v>9489491.0</v>
      </c>
      <c r="F3555" s="4">
        <v>4.0</v>
      </c>
      <c r="G3555" s="4" t="s">
        <v>5942</v>
      </c>
    </row>
    <row r="3556">
      <c r="A3556" s="1">
        <v>3554.0</v>
      </c>
      <c r="B3556" s="4" t="s">
        <v>6076</v>
      </c>
      <c r="C3556" s="4" t="str">
        <f>IFERROR(__xludf.DUMMYFUNCTION("GOOGLETRANSLATE(D:D,""auto"",""en"")"),"National new cases of 15 cases")</f>
        <v>National new cases of 15 cases</v>
      </c>
      <c r="D3556" s="4" t="s">
        <v>6077</v>
      </c>
      <c r="E3556" s="4">
        <v>9484823.0</v>
      </c>
      <c r="F3556" s="4">
        <v>5.0</v>
      </c>
      <c r="G3556" s="4" t="s">
        <v>6078</v>
      </c>
    </row>
    <row r="3557">
      <c r="A3557" s="1">
        <v>3555.0</v>
      </c>
      <c r="B3557" s="4" t="s">
        <v>6076</v>
      </c>
      <c r="C3557" s="4" t="str">
        <f>IFERROR(__xludf.DUMMYFUNCTION("GOOGLETRANSLATE(D:D,""auto"",""en"")"),"Show affection to face roommate Yi Xi smelt one thousand responses")</f>
        <v>Show affection to face roommate Yi Xi smelt one thousand responses</v>
      </c>
      <c r="D3557" s="4" t="s">
        <v>6014</v>
      </c>
      <c r="E3557" s="4">
        <v>9339278.0</v>
      </c>
      <c r="F3557" s="4">
        <v>6.0</v>
      </c>
      <c r="G3557" s="4" t="s">
        <v>6015</v>
      </c>
    </row>
    <row r="3558">
      <c r="A3558" s="1">
        <v>3556.0</v>
      </c>
      <c r="B3558" s="4" t="s">
        <v>6076</v>
      </c>
      <c r="C3558" s="4" t="str">
        <f>IFERROR(__xludf.DUMMYFUNCTION("GOOGLETRANSLATE(D:D,""auto"",""en"")"),"Hao Rui Ying")</f>
        <v>Hao Rui Ying</v>
      </c>
      <c r="D3558" s="4" t="s">
        <v>6050</v>
      </c>
      <c r="E3558" s="4">
        <v>9246252.0</v>
      </c>
      <c r="F3558" s="4">
        <v>7.0</v>
      </c>
      <c r="G3558" s="4" t="s">
        <v>6051</v>
      </c>
    </row>
    <row r="3559">
      <c r="A3559" s="1">
        <v>3557.0</v>
      </c>
      <c r="B3559" s="4" t="s">
        <v>6076</v>
      </c>
      <c r="C3559" s="4" t="str">
        <f>IFERROR(__xludf.DUMMYFUNCTION("GOOGLETRANSLATE(D:D,""auto"",""en"")"),"Ju Jing Yi bite bread chew under 30")</f>
        <v>Ju Jing Yi bite bread chew under 30</v>
      </c>
      <c r="D3559" s="4" t="s">
        <v>6079</v>
      </c>
      <c r="E3559" s="4">
        <v>9119203.0</v>
      </c>
      <c r="F3559" s="4">
        <v>8.0</v>
      </c>
      <c r="G3559" s="4" t="s">
        <v>6080</v>
      </c>
    </row>
    <row r="3560">
      <c r="A3560" s="1">
        <v>3558.0</v>
      </c>
      <c r="B3560" s="4" t="s">
        <v>6076</v>
      </c>
      <c r="C3560" s="4" t="str">
        <f>IFERROR(__xludf.DUMMYFUNCTION("GOOGLETRANSLATE(D:D,""auto"",""en"")"),"Jing Yi Ju challenge to eat bread")</f>
        <v>Jing Yi Ju challenge to eat bread</v>
      </c>
      <c r="D3560" s="4" t="s">
        <v>6081</v>
      </c>
      <c r="E3560" s="4">
        <v>9005289.0</v>
      </c>
      <c r="F3560" s="4">
        <v>9.0</v>
      </c>
      <c r="G3560" s="4" t="s">
        <v>6082</v>
      </c>
    </row>
    <row r="3561">
      <c r="A3561" s="1">
        <v>3559.0</v>
      </c>
      <c r="B3561" s="4" t="s">
        <v>6076</v>
      </c>
      <c r="C3561" s="4" t="str">
        <f>IFERROR(__xludf.DUMMYFUNCTION("GOOGLETRANSLATE(D:D,""auto"",""en"")"),"Du Haitao Chen Meng Shen mother boast online")</f>
        <v>Du Haitao Chen Meng Shen mother boast online</v>
      </c>
      <c r="D3561" s="4" t="s">
        <v>6083</v>
      </c>
      <c r="E3561" s="4">
        <v>8952891.0</v>
      </c>
      <c r="F3561" s="4">
        <v>10.0</v>
      </c>
      <c r="G3561" s="4" t="s">
        <v>6084</v>
      </c>
    </row>
    <row r="3562">
      <c r="A3562" s="1">
        <v>3560.0</v>
      </c>
      <c r="B3562" s="4" t="s">
        <v>6076</v>
      </c>
      <c r="C3562" s="4" t="str">
        <f>IFERROR(__xludf.DUMMYFUNCTION("GOOGLETRANSLATE(D:D,""auto"",""en"")"),"papi sauce sun postpartum family portrait")</f>
        <v>papi sauce sun postpartum family portrait</v>
      </c>
      <c r="D3562" s="4" t="s">
        <v>6085</v>
      </c>
      <c r="E3562" s="4">
        <v>8892767.0</v>
      </c>
      <c r="F3562" s="4">
        <v>11.0</v>
      </c>
      <c r="G3562" s="4" t="s">
        <v>6086</v>
      </c>
    </row>
    <row r="3563">
      <c r="A3563" s="1">
        <v>3561.0</v>
      </c>
      <c r="B3563" s="4" t="s">
        <v>6076</v>
      </c>
      <c r="C3563" s="4" t="str">
        <f>IFERROR(__xludf.DUMMYFUNCTION("GOOGLETRANSLATE(D:D,""auto"",""en"")"),"La Nina, or is about to befall the Earth")</f>
        <v>La Nina, or is about to befall the Earth</v>
      </c>
      <c r="D3563" s="4" t="s">
        <v>6087</v>
      </c>
      <c r="E3563" s="4">
        <v>8845054.0</v>
      </c>
      <c r="F3563" s="4">
        <v>12.0</v>
      </c>
      <c r="G3563" s="4" t="s">
        <v>6088</v>
      </c>
    </row>
    <row r="3564">
      <c r="A3564" s="1">
        <v>3562.0</v>
      </c>
      <c r="B3564" s="4" t="s">
        <v>6076</v>
      </c>
      <c r="C3564" s="4" t="str">
        <f>IFERROR(__xludf.DUMMYFUNCTION("GOOGLETRANSLATE(D:D,""auto"",""en"")"),"Hubei new crown to add eight cases of pneumonia")</f>
        <v>Hubei new crown to add eight cases of pneumonia</v>
      </c>
      <c r="D3564" s="4" t="s">
        <v>6089</v>
      </c>
      <c r="E3564" s="4">
        <v>8762203.0</v>
      </c>
      <c r="F3564" s="4">
        <v>13.0</v>
      </c>
      <c r="G3564" s="4" t="s">
        <v>6090</v>
      </c>
    </row>
    <row r="3565">
      <c r="A3565" s="1">
        <v>3563.0</v>
      </c>
      <c r="B3565" s="4" t="s">
        <v>6076</v>
      </c>
      <c r="C3565" s="4" t="str">
        <f>IFERROR(__xludf.DUMMYFUNCTION("GOOGLETRANSLATE(D:D,""auto"",""en"")"),"Outside China had confirmed 37,371 cases of pneumonia new crown")</f>
        <v>Outside China had confirmed 37,371 cases of pneumonia new crown</v>
      </c>
      <c r="D3565" s="4" t="s">
        <v>6091</v>
      </c>
      <c r="E3565" s="4">
        <v>8576532.0</v>
      </c>
      <c r="F3565" s="4">
        <v>14.0</v>
      </c>
      <c r="G3565" s="4" t="s">
        <v>6092</v>
      </c>
    </row>
    <row r="3566">
      <c r="A3566" s="1">
        <v>3564.0</v>
      </c>
      <c r="B3566" s="4" t="s">
        <v>6076</v>
      </c>
      <c r="C3566" s="4" t="str">
        <f>IFERROR(__xludf.DUMMYFUNCTION("GOOGLETRANSLATE(D:D,""auto"",""en"")"),"Second son Romeo Beckham open affair")</f>
        <v>Second son Romeo Beckham open affair</v>
      </c>
      <c r="D3566" s="4" t="s">
        <v>6093</v>
      </c>
      <c r="E3566" s="4">
        <v>8511959.0</v>
      </c>
      <c r="F3566" s="4">
        <v>15.0</v>
      </c>
      <c r="G3566" s="4" t="s">
        <v>6094</v>
      </c>
    </row>
    <row r="3567">
      <c r="A3567" s="1">
        <v>3565.0</v>
      </c>
      <c r="B3567" s="4" t="s">
        <v>6076</v>
      </c>
      <c r="C3567" s="4" t="str">
        <f>IFERROR(__xludf.DUMMYFUNCTION("GOOGLETRANSLATE(D:D,""auto"",""en"")"),"Play submarine game with eyes closed")</f>
        <v>Play submarine game with eyes closed</v>
      </c>
      <c r="D3567" s="4" t="s">
        <v>6095</v>
      </c>
      <c r="E3567" s="4">
        <v>8440278.0</v>
      </c>
      <c r="F3567" s="4">
        <v>16.0</v>
      </c>
      <c r="G3567" s="4" t="s">
        <v>6096</v>
      </c>
    </row>
    <row r="3568">
      <c r="A3568" s="1">
        <v>3566.0</v>
      </c>
      <c r="B3568" s="4" t="s">
        <v>6076</v>
      </c>
      <c r="C3568" s="4" t="str">
        <f>IFERROR(__xludf.DUMMYFUNCTION("GOOGLETRANSLATE(D:D,""auto"",""en"")"),"Wei health committee of the current round of epidemic peak has passed")</f>
        <v>Wei health committee of the current round of epidemic peak has passed</v>
      </c>
      <c r="D3568" s="4" t="s">
        <v>6097</v>
      </c>
      <c r="E3568" s="4">
        <v>8016433.0</v>
      </c>
      <c r="F3568" s="4">
        <v>17.0</v>
      </c>
      <c r="G3568" s="4" t="s">
        <v>6098</v>
      </c>
    </row>
    <row r="3569">
      <c r="A3569" s="1">
        <v>3567.0</v>
      </c>
      <c r="B3569" s="4" t="s">
        <v>6076</v>
      </c>
      <c r="C3569" s="4" t="str">
        <f>IFERROR(__xludf.DUMMYFUNCTION("GOOGLETRANSLATE(D:D,""auto"",""en"")"),"Italy's new crown cumulative confirmed 12,462 cases of pneumonia")</f>
        <v>Italy's new crown cumulative confirmed 12,462 cases of pneumonia</v>
      </c>
      <c r="D3569" s="4" t="s">
        <v>6099</v>
      </c>
      <c r="E3569" s="4">
        <v>7976197.0</v>
      </c>
      <c r="F3569" s="4">
        <v>18.0</v>
      </c>
      <c r="G3569" s="4" t="s">
        <v>6100</v>
      </c>
    </row>
    <row r="3570">
      <c r="A3570" s="1">
        <v>3568.0</v>
      </c>
      <c r="B3570" s="4" t="s">
        <v>6076</v>
      </c>
      <c r="C3570" s="4" t="str">
        <f>IFERROR(__xludf.DUMMYFUNCTION("GOOGLETRANSLATE(D:D,""auto"",""en"")"),"China expert group with 31 tons of materials rush to the rescue Italy")</f>
        <v>China expert group with 31 tons of materials rush to the rescue Italy</v>
      </c>
      <c r="D3570" s="4" t="s">
        <v>6101</v>
      </c>
      <c r="E3570" s="4">
        <v>7970971.0</v>
      </c>
      <c r="F3570" s="4">
        <v>19.0</v>
      </c>
      <c r="G3570" s="4" t="s">
        <v>6102</v>
      </c>
    </row>
    <row r="3571">
      <c r="A3571" s="1">
        <v>3569.0</v>
      </c>
      <c r="B3571" s="4" t="s">
        <v>6076</v>
      </c>
      <c r="C3571" s="4" t="str">
        <f>IFERROR(__xludf.DUMMYFUNCTION("GOOGLETRANSLATE(D:D,""auto"",""en"")"),"Zhong Nanshan June end the epidemic is to be expected")</f>
        <v>Zhong Nanshan June end the epidemic is to be expected</v>
      </c>
      <c r="D3571" s="4" t="s">
        <v>6103</v>
      </c>
      <c r="E3571" s="4">
        <v>7902144.0</v>
      </c>
      <c r="F3571" s="4">
        <v>20.0</v>
      </c>
      <c r="G3571" s="4" t="s">
        <v>6104</v>
      </c>
    </row>
    <row r="3572">
      <c r="A3572" s="1">
        <v>3570.0</v>
      </c>
      <c r="B3572" s="4" t="s">
        <v>6076</v>
      </c>
      <c r="C3572" s="4" t="str">
        <f>IFERROR(__xludf.DUMMYFUNCTION("GOOGLETRANSLATE(D:D,""auto"",""en"")"),"New teammate Luo C crown diagnosed with pneumonia")</f>
        <v>New teammate Luo C crown diagnosed with pneumonia</v>
      </c>
      <c r="D3572" s="4" t="s">
        <v>6105</v>
      </c>
      <c r="E3572" s="4">
        <v>7684207.0</v>
      </c>
      <c r="F3572" s="4">
        <v>21.0</v>
      </c>
      <c r="G3572" s="4" t="s">
        <v>6106</v>
      </c>
    </row>
    <row r="3573">
      <c r="A3573" s="1">
        <v>3571.0</v>
      </c>
      <c r="B3573" s="4" t="s">
        <v>6076</v>
      </c>
      <c r="C3573" s="4" t="str">
        <f>IFERROR(__xludf.DUMMYFUNCTION("GOOGLETRANSLATE(D:D,""auto"",""en"")"),"Fancy a barbecue grill staff left behind")</f>
        <v>Fancy a barbecue grill staff left behind</v>
      </c>
      <c r="D3573" s="4" t="s">
        <v>6107</v>
      </c>
      <c r="E3573" s="4">
        <v>7649475.0</v>
      </c>
      <c r="F3573" s="4">
        <v>22.0</v>
      </c>
      <c r="G3573" s="4" t="s">
        <v>6108</v>
      </c>
    </row>
    <row r="3574">
      <c r="A3574" s="1">
        <v>3572.0</v>
      </c>
      <c r="B3574" s="4" t="s">
        <v>6076</v>
      </c>
      <c r="C3574" s="4" t="str">
        <f>IFERROR(__xludf.DUMMYFUNCTION("GOOGLETRANSLATE(D:D,""auto"",""en"")"),"Tom Hanks and his wife diagnosed with pneumonia new crown")</f>
        <v>Tom Hanks and his wife diagnosed with pneumonia new crown</v>
      </c>
      <c r="D3574" s="4" t="s">
        <v>6109</v>
      </c>
      <c r="E3574" s="4">
        <v>7641694.0</v>
      </c>
      <c r="F3574" s="4">
        <v>23.0</v>
      </c>
      <c r="G3574" s="4" t="s">
        <v>6110</v>
      </c>
    </row>
    <row r="3575">
      <c r="A3575" s="1">
        <v>3573.0</v>
      </c>
      <c r="B3575" s="4" t="s">
        <v>6076</v>
      </c>
      <c r="C3575" s="4" t="str">
        <f>IFERROR(__xludf.DUMMYFUNCTION("GOOGLETRANSLATE(D:D,""auto"",""en"")"),"Qingshan District, deputy head of the party and filing review")</f>
        <v>Qingshan District, deputy head of the party and filing review</v>
      </c>
      <c r="D3575" s="4" t="s">
        <v>6111</v>
      </c>
      <c r="E3575" s="4">
        <v>7641445.0</v>
      </c>
      <c r="F3575" s="4">
        <v>24.0</v>
      </c>
      <c r="G3575" s="4" t="s">
        <v>6112</v>
      </c>
    </row>
    <row r="3576">
      <c r="A3576" s="1">
        <v>3574.0</v>
      </c>
      <c r="B3576" s="4" t="s">
        <v>6076</v>
      </c>
      <c r="C3576" s="4" t="str">
        <f>IFERROR(__xludf.DUMMYFUNCTION("GOOGLETRANSLATE(D:D,""auto"",""en"")"),"Italy's ambassador to the EU said only Chinese response to our")</f>
        <v>Italy's ambassador to the EU said only Chinese response to our</v>
      </c>
      <c r="D3576" s="4" t="s">
        <v>6113</v>
      </c>
      <c r="E3576" s="4">
        <v>7641439.0</v>
      </c>
      <c r="F3576" s="4">
        <v>25.0</v>
      </c>
      <c r="G3576" s="4" t="s">
        <v>6114</v>
      </c>
    </row>
    <row r="3577">
      <c r="A3577" s="1">
        <v>3575.0</v>
      </c>
      <c r="B3577" s="4" t="s">
        <v>6076</v>
      </c>
      <c r="C3577" s="4" t="str">
        <f>IFERROR(__xludf.DUMMYFUNCTION("GOOGLETRANSLATE(D:D,""auto"",""en"")"),"NBA announced the suspension")</f>
        <v>NBA announced the suspension</v>
      </c>
      <c r="D3577" s="4" t="s">
        <v>6115</v>
      </c>
      <c r="E3577" s="4">
        <v>7641435.0</v>
      </c>
      <c r="F3577" s="4">
        <v>26.0</v>
      </c>
      <c r="G3577" s="4" t="s">
        <v>6116</v>
      </c>
    </row>
    <row r="3578">
      <c r="A3578" s="1">
        <v>3576.0</v>
      </c>
      <c r="B3578" s="4" t="s">
        <v>6076</v>
      </c>
      <c r="C3578" s="4" t="str">
        <f>IFERROR(__xludf.DUMMYFUNCTION("GOOGLETRANSLATE(D:D,""auto"",""en"")"),"Zhang Weili was suspended for two months compulsory medical")</f>
        <v>Zhang Weili was suspended for two months compulsory medical</v>
      </c>
      <c r="D3578" s="4" t="s">
        <v>6117</v>
      </c>
      <c r="E3578" s="4">
        <v>7641431.0</v>
      </c>
      <c r="F3578" s="4">
        <v>27.0</v>
      </c>
      <c r="G3578" s="4" t="s">
        <v>6118</v>
      </c>
    </row>
    <row r="3579">
      <c r="A3579" s="1">
        <v>3577.0</v>
      </c>
      <c r="B3579" s="4" t="s">
        <v>6076</v>
      </c>
      <c r="C3579" s="4" t="str">
        <f>IFERROR(__xludf.DUMMYFUNCTION("GOOGLETRANSLATE(D:D,""auto"",""en"")"),"Bonnie mom I'm angry")</f>
        <v>Bonnie mom I'm angry</v>
      </c>
      <c r="D3579" s="4" t="s">
        <v>6119</v>
      </c>
      <c r="E3579" s="4">
        <v>7572729.0</v>
      </c>
      <c r="F3579" s="4">
        <v>28.0</v>
      </c>
      <c r="G3579" s="4" t="s">
        <v>6120</v>
      </c>
    </row>
    <row r="3580">
      <c r="A3580" s="1">
        <v>3578.0</v>
      </c>
      <c r="B3580" s="4" t="s">
        <v>6076</v>
      </c>
      <c r="C3580" s="4" t="str">
        <f>IFERROR(__xludf.DUMMYFUNCTION("GOOGLETRANSLATE(D:D,""auto"",""en"")"),"I heard about the photo looked like a mirror flip")</f>
        <v>I heard about the photo looked like a mirror flip</v>
      </c>
      <c r="D3580" s="4" t="s">
        <v>6020</v>
      </c>
      <c r="E3580" s="4">
        <v>7485026.0</v>
      </c>
      <c r="F3580" s="4">
        <v>29.0</v>
      </c>
      <c r="G3580" s="4" t="s">
        <v>6021</v>
      </c>
    </row>
    <row r="3581">
      <c r="A3581" s="1">
        <v>3579.0</v>
      </c>
      <c r="B3581" s="4" t="s">
        <v>6076</v>
      </c>
      <c r="C3581" s="4" t="str">
        <f>IFERROR(__xludf.DUMMYFUNCTION("GOOGLETRANSLATE(D:D,""auto"",""en"")"),"CCTV interview Dalian volunteer network red")</f>
        <v>CCTV interview Dalian volunteer network red</v>
      </c>
      <c r="D3581" s="4" t="s">
        <v>6036</v>
      </c>
      <c r="E3581" s="4">
        <v>7408401.0</v>
      </c>
      <c r="F3581" s="4">
        <v>30.0</v>
      </c>
      <c r="G3581" s="4" t="s">
        <v>6037</v>
      </c>
    </row>
    <row r="3582">
      <c r="A3582" s="1">
        <v>3580.0</v>
      </c>
      <c r="B3582" s="4" t="s">
        <v>6076</v>
      </c>
      <c r="C3582" s="4" t="str">
        <f>IFERROR(__xludf.DUMMYFUNCTION("GOOGLETRANSLATE(D:D,""auto"",""en"")"),"Quanzhou hotel collapse caused 29 dead")</f>
        <v>Quanzhou hotel collapse caused 29 dead</v>
      </c>
      <c r="D3582" s="4" t="s">
        <v>6121</v>
      </c>
      <c r="E3582" s="4">
        <v>7380979.0</v>
      </c>
      <c r="F3582" s="4">
        <v>31.0</v>
      </c>
      <c r="G3582" s="4" t="s">
        <v>6122</v>
      </c>
    </row>
    <row r="3583">
      <c r="A3583" s="1">
        <v>3581.0</v>
      </c>
      <c r="B3583" s="4" t="s">
        <v>6076</v>
      </c>
      <c r="C3583" s="4" t="str">
        <f>IFERROR(__xludf.DUMMYFUNCTION("GOOGLETRANSLATE(D:D,""auto"",""en"")"),"Yi Xi smelt one thousand or not to participate in the wedding of former")</f>
        <v>Yi Xi smelt one thousand or not to participate in the wedding of former</v>
      </c>
      <c r="D3583" s="4" t="s">
        <v>6018</v>
      </c>
      <c r="E3583" s="4">
        <v>7341011.0</v>
      </c>
      <c r="F3583" s="4">
        <v>32.0</v>
      </c>
      <c r="G3583" s="4" t="s">
        <v>6019</v>
      </c>
    </row>
    <row r="3584">
      <c r="A3584" s="1">
        <v>3582.0</v>
      </c>
      <c r="B3584" s="4" t="s">
        <v>6076</v>
      </c>
      <c r="C3584" s="4" t="str">
        <f>IFERROR(__xludf.DUMMYFUNCTION("GOOGLETRANSLATE(D:D,""auto"",""en"")"),"James would not respond to an empty field to play")</f>
        <v>James would not respond to an empty field to play</v>
      </c>
      <c r="D3584" s="4" t="s">
        <v>6070</v>
      </c>
      <c r="E3584" s="4">
        <v>7305630.0</v>
      </c>
      <c r="F3584" s="4">
        <v>33.0</v>
      </c>
      <c r="G3584" s="4" t="s">
        <v>6071</v>
      </c>
    </row>
    <row r="3585">
      <c r="A3585" s="1">
        <v>3583.0</v>
      </c>
      <c r="B3585" s="4" t="s">
        <v>6076</v>
      </c>
      <c r="C3585" s="4" t="str">
        <f>IFERROR(__xludf.DUMMYFUNCTION("GOOGLETRANSLATE(D:D,""auto"",""en"")"),"Cai Xu Kun Do not look for the New Year I eat melon")</f>
        <v>Cai Xu Kun Do not look for the New Year I eat melon</v>
      </c>
      <c r="D3585" s="4" t="s">
        <v>6123</v>
      </c>
      <c r="E3585" s="4">
        <v>7294955.0</v>
      </c>
      <c r="F3585" s="4">
        <v>34.0</v>
      </c>
      <c r="G3585" s="4" t="s">
        <v>6124</v>
      </c>
    </row>
    <row r="3586">
      <c r="A3586" s="1">
        <v>3584.0</v>
      </c>
      <c r="B3586" s="4" t="s">
        <v>6076</v>
      </c>
      <c r="C3586" s="4" t="str">
        <f>IFERROR(__xludf.DUMMYFUNCTION("GOOGLETRANSLATE(D:D,""auto"",""en"")"),"The positive exposure actress was photographed dressed extortion")</f>
        <v>The positive exposure actress was photographed dressed extortion</v>
      </c>
      <c r="D3586" s="4" t="s">
        <v>6125</v>
      </c>
      <c r="E3586" s="4">
        <v>7277729.0</v>
      </c>
      <c r="F3586" s="4">
        <v>35.0</v>
      </c>
      <c r="G3586" s="4" t="s">
        <v>6126</v>
      </c>
    </row>
    <row r="3587">
      <c r="A3587" s="1">
        <v>3585.0</v>
      </c>
      <c r="B3587" s="4" t="s">
        <v>6076</v>
      </c>
      <c r="C3587" s="4" t="str">
        <f>IFERROR(__xludf.DUMMYFUNCTION("GOOGLETRANSLATE(D:D,""auto"",""en"")"),"Zhong Nanshan US team connect ICU team")</f>
        <v>Zhong Nanshan US team connect ICU team</v>
      </c>
      <c r="D3587" s="4" t="s">
        <v>6127</v>
      </c>
      <c r="E3587" s="4">
        <v>7202513.0</v>
      </c>
      <c r="F3587" s="4">
        <v>36.0</v>
      </c>
      <c r="G3587" s="4" t="s">
        <v>6128</v>
      </c>
    </row>
    <row r="3588">
      <c r="A3588" s="1">
        <v>3586.0</v>
      </c>
      <c r="B3588" s="4" t="s">
        <v>6076</v>
      </c>
      <c r="C3588" s="4" t="str">
        <f>IFERROR(__xludf.DUMMYFUNCTION("GOOGLETRANSLATE(D:D,""auto"",""en"")"),"When you surf lesson accidentally open the camera")</f>
        <v>When you surf lesson accidentally open the camera</v>
      </c>
      <c r="D3588" s="4" t="s">
        <v>6129</v>
      </c>
      <c r="E3588" s="4">
        <v>7169019.0</v>
      </c>
      <c r="F3588" s="4">
        <v>37.0</v>
      </c>
      <c r="G3588" s="4" t="s">
        <v>6130</v>
      </c>
    </row>
    <row r="3589">
      <c r="A3589" s="1">
        <v>3587.0</v>
      </c>
      <c r="B3589" s="4" t="s">
        <v>6076</v>
      </c>
      <c r="C3589" s="4" t="str">
        <f>IFERROR(__xludf.DUMMYFUNCTION("GOOGLETRANSLATE(D:D,""auto"",""en"")"),"Voice Nan anchor it to show his face")</f>
        <v>Voice Nan anchor it to show his face</v>
      </c>
      <c r="D3589" s="4" t="s">
        <v>6131</v>
      </c>
      <c r="E3589" s="4">
        <v>7168858.0</v>
      </c>
      <c r="F3589" s="4">
        <v>38.0</v>
      </c>
      <c r="G3589" s="4" t="s">
        <v>6132</v>
      </c>
    </row>
    <row r="3590">
      <c r="A3590" s="1">
        <v>3588.0</v>
      </c>
      <c r="B3590" s="4" t="s">
        <v>6076</v>
      </c>
      <c r="C3590" s="4" t="str">
        <f>IFERROR(__xludf.DUMMYFUNCTION("GOOGLETRANSLATE(D:D,""auto"",""en"")"),"Pengguan Ying Zhang Yun")</f>
        <v>Pengguan Ying Zhang Yun</v>
      </c>
      <c r="D3590" s="4" t="s">
        <v>6133</v>
      </c>
      <c r="E3590" s="4">
        <v>7126626.0</v>
      </c>
      <c r="F3590" s="4">
        <v>39.0</v>
      </c>
      <c r="G3590" s="4" t="s">
        <v>6134</v>
      </c>
    </row>
    <row r="3591">
      <c r="A3591" s="1">
        <v>3589.0</v>
      </c>
      <c r="B3591" s="4" t="s">
        <v>6076</v>
      </c>
      <c r="C3591" s="4" t="str">
        <f>IFERROR(__xludf.DUMMYFUNCTION("GOOGLETRANSLATE(D:D,""auto"",""en"")"),"Harden Nuhan I'm back")</f>
        <v>Harden Nuhan I'm back</v>
      </c>
      <c r="D3591" s="4" t="s">
        <v>6135</v>
      </c>
      <c r="E3591" s="4">
        <v>7016269.0</v>
      </c>
      <c r="F3591" s="4">
        <v>40.0</v>
      </c>
      <c r="G3591" s="4" t="s">
        <v>6136</v>
      </c>
    </row>
    <row r="3592">
      <c r="A3592" s="1">
        <v>3590.0</v>
      </c>
      <c r="B3592" s="4" t="s">
        <v>6076</v>
      </c>
      <c r="C3592" s="4" t="str">
        <f>IFERROR(__xludf.DUMMYFUNCTION("GOOGLETRANSLATE(D:D,""auto"",""en"")"),"Fan Chengcheng subjects did not test over a test twice")</f>
        <v>Fan Chengcheng subjects did not test over a test twice</v>
      </c>
      <c r="D3592" s="4" t="s">
        <v>6137</v>
      </c>
      <c r="E3592" s="4">
        <v>6948196.0</v>
      </c>
      <c r="F3592" s="4">
        <v>41.0</v>
      </c>
      <c r="G3592" s="4" t="s">
        <v>6138</v>
      </c>
    </row>
    <row r="3593">
      <c r="A3593" s="1">
        <v>3591.0</v>
      </c>
      <c r="B3593" s="4" t="s">
        <v>6076</v>
      </c>
      <c r="C3593" s="4" t="str">
        <f>IFERROR(__xludf.DUMMYFUNCTION("GOOGLETRANSLATE(D:D,""auto"",""en"")"),"Wang Yibo secretly checking beauty")</f>
        <v>Wang Yibo secretly checking beauty</v>
      </c>
      <c r="D3593" s="4" t="s">
        <v>6032</v>
      </c>
      <c r="E3593" s="4">
        <v>6864067.0</v>
      </c>
      <c r="F3593" s="4">
        <v>42.0</v>
      </c>
      <c r="G3593" s="4" t="s">
        <v>6033</v>
      </c>
    </row>
    <row r="3594">
      <c r="A3594" s="1">
        <v>3592.0</v>
      </c>
      <c r="B3594" s="4" t="s">
        <v>6076</v>
      </c>
      <c r="C3594" s="4" t="str">
        <f>IFERROR(__xludf.DUMMYFUNCTION("GOOGLETRANSLATE(D:D,""auto"",""en"")"),"Wang Yuan, after all, can not escape the net class")</f>
        <v>Wang Yuan, after all, can not escape the net class</v>
      </c>
      <c r="D3594" s="4" t="s">
        <v>6139</v>
      </c>
      <c r="E3594" s="4">
        <v>6847163.0</v>
      </c>
      <c r="F3594" s="4">
        <v>43.0</v>
      </c>
      <c r="G3594" s="4" t="s">
        <v>6140</v>
      </c>
    </row>
    <row r="3595">
      <c r="A3595" s="1">
        <v>3593.0</v>
      </c>
      <c r="B3595" s="4" t="s">
        <v>6076</v>
      </c>
      <c r="C3595" s="4" t="str">
        <f>IFERROR(__xludf.DUMMYFUNCTION("GOOGLETRANSLATE(D:D,""auto"",""en"")"),"Romania will accept the new crown C virus detection")</f>
        <v>Romania will accept the new crown C virus detection</v>
      </c>
      <c r="D3595" s="4" t="s">
        <v>6141</v>
      </c>
      <c r="E3595" s="4">
        <v>6830213.0</v>
      </c>
      <c r="F3595" s="4">
        <v>44.0</v>
      </c>
      <c r="G3595" s="4" t="s">
        <v>6142</v>
      </c>
    </row>
    <row r="3596">
      <c r="A3596" s="1">
        <v>3594.0</v>
      </c>
      <c r="B3596" s="4" t="s">
        <v>6076</v>
      </c>
      <c r="C3596" s="4" t="str">
        <f>IFERROR(__xludf.DUMMYFUNCTION("GOOGLETRANSLATE(D:D,""auto"",""en"")"),"Iran's new crown cumulative confirmed cases of pneumonia broken million")</f>
        <v>Iran's new crown cumulative confirmed cases of pneumonia broken million</v>
      </c>
      <c r="D3596" s="4" t="s">
        <v>6143</v>
      </c>
      <c r="E3596" s="4">
        <v>6808175.0</v>
      </c>
      <c r="F3596" s="4">
        <v>45.0</v>
      </c>
      <c r="G3596" s="4" t="s">
        <v>6144</v>
      </c>
    </row>
    <row r="3597">
      <c r="A3597" s="1">
        <v>3595.0</v>
      </c>
      <c r="B3597" s="4" t="s">
        <v>6076</v>
      </c>
      <c r="C3597" s="4" t="str">
        <f>IFERROR(__xludf.DUMMYFUNCTION("GOOGLETRANSLATE(D:D,""auto"",""en"")"),"BIGBANG contract with YG")</f>
        <v>BIGBANG contract with YG</v>
      </c>
      <c r="D3597" s="4" t="s">
        <v>6068</v>
      </c>
      <c r="E3597" s="4">
        <v>6796227.0</v>
      </c>
      <c r="F3597" s="4">
        <v>46.0</v>
      </c>
      <c r="G3597" s="4" t="s">
        <v>6069</v>
      </c>
    </row>
    <row r="3598">
      <c r="A3598" s="1">
        <v>3596.0</v>
      </c>
      <c r="B3598" s="4" t="s">
        <v>6076</v>
      </c>
      <c r="C3598" s="4" t="str">
        <f>IFERROR(__xludf.DUMMYFUNCTION("GOOGLETRANSLATE(D:D,""auto"",""en"")"),"Liu Zhao Si able to force Chengsha Yang Xie Guangkun")</f>
        <v>Liu Zhao Si able to force Chengsha Yang Xie Guangkun</v>
      </c>
      <c r="D3598" s="4" t="s">
        <v>6145</v>
      </c>
      <c r="E3598" s="4">
        <v>6793575.0</v>
      </c>
      <c r="F3598" s="4">
        <v>47.0</v>
      </c>
      <c r="G3598" s="4" t="s">
        <v>6146</v>
      </c>
    </row>
    <row r="3599">
      <c r="A3599" s="1">
        <v>3597.0</v>
      </c>
      <c r="B3599" s="4" t="s">
        <v>6076</v>
      </c>
      <c r="C3599" s="4" t="str">
        <f>IFERROR(__xludf.DUMMYFUNCTION("GOOGLETRANSLATE(D:D,""auto"",""en"")"),"Manila, Philippines emergency closed city")</f>
        <v>Manila, Philippines emergency closed city</v>
      </c>
      <c r="D3599" s="4" t="s">
        <v>6147</v>
      </c>
      <c r="E3599" s="4">
        <v>6699274.0</v>
      </c>
      <c r="F3599" s="4">
        <v>48.0</v>
      </c>
      <c r="G3599" s="4" t="s">
        <v>6148</v>
      </c>
    </row>
    <row r="3600">
      <c r="A3600" s="1">
        <v>3598.0</v>
      </c>
      <c r="B3600" s="4" t="s">
        <v>6076</v>
      </c>
      <c r="C3600" s="4" t="str">
        <f>IFERROR(__xludf.DUMMYFUNCTION("GOOGLETRANSLATE(D:D,""auto"",""en"")"),"Zhang Yun denies affair with Pengguan Ying")</f>
        <v>Zhang Yun denies affair with Pengguan Ying</v>
      </c>
      <c r="D3600" s="4" t="s">
        <v>6149</v>
      </c>
      <c r="E3600" s="4">
        <v>6693244.0</v>
      </c>
      <c r="F3600" s="4">
        <v>49.0</v>
      </c>
      <c r="G3600" s="4" t="s">
        <v>6150</v>
      </c>
    </row>
    <row r="3601">
      <c r="A3601" s="1">
        <v>3599.0</v>
      </c>
      <c r="B3601" s="4" t="s">
        <v>6076</v>
      </c>
      <c r="C3601" s="4" t="str">
        <f>IFERROR(__xludf.DUMMYFUNCTION("GOOGLETRANSLATE(D:D,""auto"",""en"")"),"Jazz center Goebbels new crown diagnosed with pneumonia")</f>
        <v>Jazz center Goebbels new crown diagnosed with pneumonia</v>
      </c>
      <c r="D3601" s="4" t="s">
        <v>6151</v>
      </c>
      <c r="E3601" s="4">
        <v>6663654.0</v>
      </c>
      <c r="F3601" s="4">
        <v>50.0</v>
      </c>
      <c r="G3601" s="4" t="s">
        <v>6152</v>
      </c>
    </row>
    <row r="3602">
      <c r="A3602" s="1">
        <v>3600.0</v>
      </c>
      <c r="B3602" s="4" t="s">
        <v>6153</v>
      </c>
      <c r="C3602" s="4" t="str">
        <f>IFERROR(__xludf.DUMMYFUNCTION("GOOGLETRANSLATE(D:D,""auto"",""en"")"),"Procuratorial Daily Review Xiaozhan event")</f>
        <v>Procuratorial Daily Review Xiaozhan event</v>
      </c>
      <c r="D3602" s="4" t="s">
        <v>6154</v>
      </c>
      <c r="E3602" s="4">
        <v>8688827.0</v>
      </c>
      <c r="F3602" s="4">
        <v>1.0</v>
      </c>
      <c r="G3602" s="4" t="s">
        <v>6155</v>
      </c>
    </row>
    <row r="3603">
      <c r="A3603" s="1">
        <v>3601.0</v>
      </c>
      <c r="B3603" s="4" t="s">
        <v>6153</v>
      </c>
      <c r="C3603" s="4" t="str">
        <f>IFERROR(__xludf.DUMMYFUNCTION("GOOGLETRANSLATE(D:D,""auto"",""en"")"),"Liu Yifei children squatting on the ground and chat")</f>
        <v>Liu Yifei children squatting on the ground and chat</v>
      </c>
      <c r="D3603" s="4" t="s">
        <v>6156</v>
      </c>
      <c r="E3603" s="4">
        <v>8564379.0</v>
      </c>
      <c r="F3603" s="4">
        <v>2.0</v>
      </c>
      <c r="G3603" s="4" t="s">
        <v>6157</v>
      </c>
    </row>
    <row r="3604">
      <c r="A3604" s="1">
        <v>3602.0</v>
      </c>
      <c r="B3604" s="4" t="s">
        <v>6153</v>
      </c>
      <c r="C3604" s="4" t="str">
        <f>IFERROR(__xludf.DUMMYFUNCTION("GOOGLETRANSLATE(D:D,""auto"",""en"")"),"Voice Nan anchor it to show his face")</f>
        <v>Voice Nan anchor it to show his face</v>
      </c>
      <c r="D3604" s="4" t="s">
        <v>6131</v>
      </c>
      <c r="E3604" s="4">
        <v>8305673.0</v>
      </c>
      <c r="F3604" s="4">
        <v>3.0</v>
      </c>
      <c r="G3604" s="4" t="s">
        <v>6132</v>
      </c>
    </row>
    <row r="3605">
      <c r="A3605" s="1">
        <v>3603.0</v>
      </c>
      <c r="B3605" s="4" t="s">
        <v>6153</v>
      </c>
      <c r="C3605" s="4" t="str">
        <f>IFERROR(__xludf.DUMMYFUNCTION("GOOGLETRANSLATE(D:D,""auto"",""en"")"),"2020 Ching Ming Festival holiday arrangements")</f>
        <v>2020 Ching Ming Festival holiday arrangements</v>
      </c>
      <c r="D3605" s="4" t="s">
        <v>6158</v>
      </c>
      <c r="E3605" s="4">
        <v>8092075.0</v>
      </c>
      <c r="F3605" s="4">
        <v>4.0</v>
      </c>
      <c r="G3605" s="4" t="s">
        <v>6159</v>
      </c>
    </row>
    <row r="3606">
      <c r="A3606" s="1">
        <v>3604.0</v>
      </c>
      <c r="B3606" s="4" t="s">
        <v>6153</v>
      </c>
      <c r="C3606" s="4" t="str">
        <f>IFERROR(__xludf.DUMMYFUNCTION("GOOGLETRANSLATE(D:D,""auto"",""en"")"),"The fear of being dominated back to the south")</f>
        <v>The fear of being dominated back to the south</v>
      </c>
      <c r="D3606" s="4" t="s">
        <v>6160</v>
      </c>
      <c r="E3606" s="4">
        <v>8088181.0</v>
      </c>
      <c r="F3606" s="4">
        <v>5.0</v>
      </c>
      <c r="G3606" s="4" t="s">
        <v>6161</v>
      </c>
    </row>
    <row r="3607">
      <c r="A3607" s="1">
        <v>3605.0</v>
      </c>
      <c r="B3607" s="4" t="s">
        <v>6153</v>
      </c>
      <c r="C3607" s="4" t="str">
        <f>IFERROR(__xludf.DUMMYFUNCTION("GOOGLETRANSLATE(D:D,""auto"",""en"")"),"Zhengzhou imported cases denied deliberately concealed exit History")</f>
        <v>Zhengzhou imported cases denied deliberately concealed exit History</v>
      </c>
      <c r="D3607" s="4" t="s">
        <v>6162</v>
      </c>
      <c r="E3607" s="4">
        <v>8074732.0</v>
      </c>
      <c r="F3607" s="4">
        <v>6.0</v>
      </c>
      <c r="G3607" s="4" t="s">
        <v>6163</v>
      </c>
    </row>
    <row r="3608">
      <c r="A3608" s="1">
        <v>3606.0</v>
      </c>
      <c r="B3608" s="4" t="s">
        <v>6153</v>
      </c>
      <c r="C3608" s="4" t="str">
        <f>IFERROR(__xludf.DUMMYFUNCTION("GOOGLETRANSLATE(D:D,""auto"",""en"")"),"Lang Xian stomach Falling everything Jieke ice cream")</f>
        <v>Lang Xian stomach Falling everything Jieke ice cream</v>
      </c>
      <c r="D3608" s="4" t="s">
        <v>6164</v>
      </c>
      <c r="E3608" s="4">
        <v>7930770.0</v>
      </c>
      <c r="F3608" s="4">
        <v>7.0</v>
      </c>
      <c r="G3608" s="4" t="s">
        <v>6165</v>
      </c>
    </row>
    <row r="3609">
      <c r="A3609" s="1">
        <v>3607.0</v>
      </c>
      <c r="B3609" s="4" t="s">
        <v>6153</v>
      </c>
      <c r="C3609" s="4" t="str">
        <f>IFERROR(__xludf.DUMMYFUNCTION("GOOGLETRANSLATE(D:D,""auto"",""en"")"),"Jing Yi Ju challenge to eat bread")</f>
        <v>Jing Yi Ju challenge to eat bread</v>
      </c>
      <c r="D3609" s="4" t="s">
        <v>6081</v>
      </c>
      <c r="E3609" s="4">
        <v>7902476.0</v>
      </c>
      <c r="F3609" s="4">
        <v>8.0</v>
      </c>
      <c r="G3609" s="4" t="s">
        <v>6082</v>
      </c>
    </row>
    <row r="3610">
      <c r="A3610" s="1">
        <v>3608.0</v>
      </c>
      <c r="B3610" s="4" t="s">
        <v>6153</v>
      </c>
      <c r="C3610" s="4" t="str">
        <f>IFERROR(__xludf.DUMMYFUNCTION("GOOGLETRANSLATE(D:D,""auto"",""en"")"),"National new cases of 8 cases")</f>
        <v>National new cases of 8 cases</v>
      </c>
      <c r="D3610" s="4" t="s">
        <v>6166</v>
      </c>
      <c r="E3610" s="4">
        <v>7866511.0</v>
      </c>
      <c r="F3610" s="4">
        <v>9.0</v>
      </c>
      <c r="G3610" s="4" t="s">
        <v>6167</v>
      </c>
    </row>
    <row r="3611">
      <c r="A3611" s="1">
        <v>3609.0</v>
      </c>
      <c r="B3611" s="4" t="s">
        <v>6153</v>
      </c>
      <c r="C3611" s="4" t="str">
        <f>IFERROR(__xludf.DUMMYFUNCTION("GOOGLETRANSLATE(D:D,""auto"",""en"")"),"Goebel apology")</f>
        <v>Goebel apology</v>
      </c>
      <c r="D3611" s="4" t="s">
        <v>6168</v>
      </c>
      <c r="E3611" s="4">
        <v>7848339.0</v>
      </c>
      <c r="F3611" s="4">
        <v>10.0</v>
      </c>
      <c r="G3611" s="4" t="s">
        <v>6169</v>
      </c>
    </row>
    <row r="3612">
      <c r="A3612" s="1">
        <v>3610.0</v>
      </c>
      <c r="B3612" s="4" t="s">
        <v>6153</v>
      </c>
      <c r="C3612" s="4" t="str">
        <f>IFERROR(__xludf.DUMMYFUNCTION("GOOGLETRANSLATE(D:D,""auto"",""en"")"),"The whole network the most difficult challenge thumb Long Jump")</f>
        <v>The whole network the most difficult challenge thumb Long Jump</v>
      </c>
      <c r="D3612" s="4" t="s">
        <v>6170</v>
      </c>
      <c r="E3612" s="4">
        <v>7636015.0</v>
      </c>
      <c r="F3612" s="4">
        <v>11.0</v>
      </c>
      <c r="G3612" s="4" t="s">
        <v>6171</v>
      </c>
    </row>
    <row r="3613">
      <c r="A3613" s="1">
        <v>3611.0</v>
      </c>
      <c r="B3613" s="4" t="s">
        <v>6153</v>
      </c>
      <c r="C3613" s="4" t="str">
        <f>IFERROR(__xludf.DUMMYFUNCTION("GOOGLETRANSLATE(D:D,""auto"",""en"")"),"Showed off new tricks")</f>
        <v>Showed off new tricks</v>
      </c>
      <c r="D3613" s="4" t="s">
        <v>6172</v>
      </c>
      <c r="E3613" s="4">
        <v>7616400.0</v>
      </c>
      <c r="F3613" s="4">
        <v>12.0</v>
      </c>
      <c r="G3613" s="4" t="s">
        <v>6173</v>
      </c>
    </row>
    <row r="3614">
      <c r="A3614" s="1">
        <v>3612.0</v>
      </c>
      <c r="B3614" s="4" t="s">
        <v>6153</v>
      </c>
      <c r="C3614" s="4" t="str">
        <f>IFERROR(__xludf.DUMMYFUNCTION("GOOGLETRANSLATE(D:D,""auto"",""en"")"),"Quanzhou, a posture of five killed")</f>
        <v>Quanzhou, a posture of five killed</v>
      </c>
      <c r="D3614" s="4" t="s">
        <v>6174</v>
      </c>
      <c r="E3614" s="4">
        <v>7614889.0</v>
      </c>
      <c r="F3614" s="4">
        <v>13.0</v>
      </c>
      <c r="G3614" s="4" t="s">
        <v>6175</v>
      </c>
    </row>
    <row r="3615">
      <c r="A3615" s="1">
        <v>3613.0</v>
      </c>
      <c r="B3615" s="4" t="s">
        <v>6153</v>
      </c>
      <c r="C3615" s="4" t="str">
        <f>IFERROR(__xludf.DUMMYFUNCTION("GOOGLETRANSLATE(D:D,""auto"",""en"")"),"Kusi me settle down")</f>
        <v>Kusi me settle down</v>
      </c>
      <c r="D3615" s="4" t="s">
        <v>6176</v>
      </c>
      <c r="E3615" s="4">
        <v>7555804.0</v>
      </c>
      <c r="F3615" s="4">
        <v>14.0</v>
      </c>
      <c r="G3615" s="4" t="s">
        <v>6177</v>
      </c>
    </row>
    <row r="3616">
      <c r="A3616" s="1">
        <v>3614.0</v>
      </c>
      <c r="B3616" s="4" t="s">
        <v>6153</v>
      </c>
      <c r="C3616" s="4" t="str">
        <f>IFERROR(__xludf.DUMMYFUNCTION("GOOGLETRANSLATE(D:D,""auto"",""en"")"),"Chinese netizens whole record charter returned from Iran")</f>
        <v>Chinese netizens whole record charter returned from Iran</v>
      </c>
      <c r="D3616" s="4" t="s">
        <v>6178</v>
      </c>
      <c r="E3616" s="4">
        <v>7507070.0</v>
      </c>
      <c r="F3616" s="4">
        <v>15.0</v>
      </c>
      <c r="G3616" s="4" t="s">
        <v>6179</v>
      </c>
    </row>
    <row r="3617">
      <c r="A3617" s="1">
        <v>3615.0</v>
      </c>
      <c r="B3617" s="4" t="s">
        <v>6153</v>
      </c>
      <c r="C3617" s="4" t="str">
        <f>IFERROR(__xludf.DUMMYFUNCTION("GOOGLETRANSLATE(D:D,""auto"",""en"")"),"Action guess idol")</f>
        <v>Action guess idol</v>
      </c>
      <c r="D3617" s="4" t="s">
        <v>6180</v>
      </c>
      <c r="E3617" s="4">
        <v>7495214.0</v>
      </c>
      <c r="F3617" s="4">
        <v>16.0</v>
      </c>
      <c r="G3617" s="4" t="s">
        <v>6181</v>
      </c>
    </row>
    <row r="3618">
      <c r="A3618" s="1">
        <v>3616.0</v>
      </c>
      <c r="B3618" s="4" t="s">
        <v>6153</v>
      </c>
      <c r="C3618" s="4" t="str">
        <f>IFERROR(__xludf.DUMMYFUNCTION("GOOGLETRANSLATE(D:D,""auto"",""en"")"),"papi sauce sun postpartum family portrait")</f>
        <v>papi sauce sun postpartum family portrait</v>
      </c>
      <c r="D3618" s="4" t="s">
        <v>6085</v>
      </c>
      <c r="E3618" s="4">
        <v>7409575.0</v>
      </c>
      <c r="F3618" s="4">
        <v>17.0</v>
      </c>
      <c r="G3618" s="4" t="s">
        <v>6086</v>
      </c>
    </row>
    <row r="3619">
      <c r="A3619" s="1">
        <v>3617.0</v>
      </c>
      <c r="B3619" s="4" t="s">
        <v>6153</v>
      </c>
      <c r="C3619" s="4" t="str">
        <f>IFERROR(__xludf.DUMMYFUNCTION("GOOGLETRANSLATE(D:D,""auto"",""en"")"),"Italian newspaper Teng Chinese medical staff photo")</f>
        <v>Italian newspaper Teng Chinese medical staff photo</v>
      </c>
      <c r="D3619" s="4" t="s">
        <v>6182</v>
      </c>
      <c r="E3619" s="4">
        <v>7364055.0</v>
      </c>
      <c r="F3619" s="4">
        <v>18.0</v>
      </c>
      <c r="G3619" s="4" t="s">
        <v>6183</v>
      </c>
    </row>
    <row r="3620">
      <c r="A3620" s="1">
        <v>3618.0</v>
      </c>
      <c r="B3620" s="4" t="s">
        <v>6153</v>
      </c>
      <c r="C3620" s="4" t="str">
        <f>IFERROR(__xludf.DUMMYFUNCTION("GOOGLETRANSLATE(D:D,""auto"",""en"")"),"Song Zhongji Song Hye Kyo original marriage room down and build a new building")</f>
        <v>Song Zhongji Song Hye Kyo original marriage room down and build a new building</v>
      </c>
      <c r="D3620" s="4" t="s">
        <v>6184</v>
      </c>
      <c r="E3620" s="4">
        <v>7293360.0</v>
      </c>
      <c r="F3620" s="4">
        <v>19.0</v>
      </c>
      <c r="G3620" s="4" t="s">
        <v>6185</v>
      </c>
    </row>
    <row r="3621">
      <c r="A3621" s="1">
        <v>3619.0</v>
      </c>
      <c r="B3621" s="4" t="s">
        <v>6153</v>
      </c>
      <c r="C3621" s="4" t="str">
        <f>IFERROR(__xludf.DUMMYFUNCTION("GOOGLETRANSLATE(D:D,""auto"",""en"")"),"Zhang Yun denies affair with Pengguan Ying")</f>
        <v>Zhang Yun denies affair with Pengguan Ying</v>
      </c>
      <c r="D3621" s="4" t="s">
        <v>6149</v>
      </c>
      <c r="E3621" s="4">
        <v>7292565.0</v>
      </c>
      <c r="F3621" s="4">
        <v>20.0</v>
      </c>
      <c r="G3621" s="4" t="s">
        <v>6150</v>
      </c>
    </row>
    <row r="3622">
      <c r="A3622" s="1">
        <v>3620.0</v>
      </c>
      <c r="B3622" s="4" t="s">
        <v>6153</v>
      </c>
      <c r="C3622" s="4" t="str">
        <f>IFERROR(__xludf.DUMMYFUNCTION("GOOGLETRANSLATE(D:D,""auto"",""en"")"),"Fan Chengcheng was so nervous boast")</f>
        <v>Fan Chengcheng was so nervous boast</v>
      </c>
      <c r="D3622" s="4" t="s">
        <v>6186</v>
      </c>
      <c r="E3622" s="4">
        <v>7173727.0</v>
      </c>
      <c r="F3622" s="4">
        <v>21.0</v>
      </c>
      <c r="G3622" s="4" t="s">
        <v>6187</v>
      </c>
    </row>
    <row r="3623">
      <c r="A3623" s="1">
        <v>3621.0</v>
      </c>
      <c r="B3623" s="4" t="s">
        <v>6153</v>
      </c>
      <c r="C3623" s="4" t="str">
        <f>IFERROR(__xludf.DUMMYFUNCTION("GOOGLETRANSLATE(D:D,""auto"",""en"")"),"Iran's new crown the new 1289 cases of pneumonia")</f>
        <v>Iran's new crown the new 1289 cases of pneumonia</v>
      </c>
      <c r="D3623" s="4" t="s">
        <v>6188</v>
      </c>
      <c r="E3623" s="4">
        <v>7172927.0</v>
      </c>
      <c r="F3623" s="4">
        <v>22.0</v>
      </c>
      <c r="G3623" s="4" t="s">
        <v>6189</v>
      </c>
    </row>
    <row r="3624">
      <c r="A3624" s="1">
        <v>3622.0</v>
      </c>
      <c r="B3624" s="4" t="s">
        <v>6153</v>
      </c>
      <c r="C3624" s="4" t="str">
        <f>IFERROR(__xludf.DUMMYFUNCTION("GOOGLETRANSLATE(D:D,""auto"",""en"")"),"Ju Jing Yi bite bread chew under 30")</f>
        <v>Ju Jing Yi bite bread chew under 30</v>
      </c>
      <c r="D3624" s="4" t="s">
        <v>6079</v>
      </c>
      <c r="E3624" s="4">
        <v>7091090.0</v>
      </c>
      <c r="F3624" s="4">
        <v>23.0</v>
      </c>
      <c r="G3624" s="4" t="s">
        <v>6080</v>
      </c>
    </row>
    <row r="3625">
      <c r="A3625" s="1">
        <v>3623.0</v>
      </c>
      <c r="B3625" s="4" t="s">
        <v>6153</v>
      </c>
      <c r="C3625" s="4" t="str">
        <f>IFERROR(__xludf.DUMMYFUNCTION("GOOGLETRANSLATE(D:D,""auto"",""en"")"),"James watched Janeway connection at home")</f>
        <v>James watched Janeway connection at home</v>
      </c>
      <c r="D3625" s="4" t="s">
        <v>6190</v>
      </c>
      <c r="E3625" s="4">
        <v>6855516.0</v>
      </c>
      <c r="F3625" s="4">
        <v>24.0</v>
      </c>
      <c r="G3625" s="4" t="s">
        <v>6191</v>
      </c>
    </row>
    <row r="3626">
      <c r="A3626" s="1">
        <v>3624.0</v>
      </c>
      <c r="B3626" s="4" t="s">
        <v>6153</v>
      </c>
      <c r="C3626" s="4" t="str">
        <f>IFERROR(__xludf.DUMMYFUNCTION("GOOGLETRANSLATE(D:D,""auto"",""en"")"),"Pengguan Ying Zhang Yun")</f>
        <v>Pengguan Ying Zhang Yun</v>
      </c>
      <c r="D3626" s="4" t="s">
        <v>6133</v>
      </c>
      <c r="E3626" s="4">
        <v>6758777.0</v>
      </c>
      <c r="F3626" s="4">
        <v>25.0</v>
      </c>
      <c r="G3626" s="4" t="s">
        <v>6134</v>
      </c>
    </row>
    <row r="3627">
      <c r="A3627" s="1">
        <v>3625.0</v>
      </c>
      <c r="B3627" s="4" t="s">
        <v>6153</v>
      </c>
      <c r="C3627" s="4" t="str">
        <f>IFERROR(__xludf.DUMMYFUNCTION("GOOGLETRANSLATE(D:D,""auto"",""en"")"),"Zhang take the ride baby")</f>
        <v>Zhang take the ride baby</v>
      </c>
      <c r="D3627" s="4" t="s">
        <v>6192</v>
      </c>
      <c r="E3627" s="4">
        <v>6694335.0</v>
      </c>
      <c r="F3627" s="4">
        <v>26.0</v>
      </c>
      <c r="G3627" s="4" t="s">
        <v>6193</v>
      </c>
    </row>
    <row r="3628">
      <c r="A3628" s="1">
        <v>3626.0</v>
      </c>
      <c r="B3628" s="4" t="s">
        <v>6153</v>
      </c>
      <c r="C3628" s="4" t="str">
        <f>IFERROR(__xludf.DUMMYFUNCTION("GOOGLETRANSLATE(D:D,""auto"",""en"")"),"Zhong Nanshan US team connect ICU team")</f>
        <v>Zhong Nanshan US team connect ICU team</v>
      </c>
      <c r="D3628" s="4" t="s">
        <v>6127</v>
      </c>
      <c r="E3628" s="4">
        <v>6606253.0</v>
      </c>
      <c r="F3628" s="4">
        <v>27.0</v>
      </c>
      <c r="G3628" s="4" t="s">
        <v>6128</v>
      </c>
    </row>
    <row r="3629">
      <c r="A3629" s="1">
        <v>3627.0</v>
      </c>
      <c r="B3629" s="4" t="s">
        <v>6153</v>
      </c>
      <c r="C3629" s="4" t="str">
        <f>IFERROR(__xludf.DUMMYFUNCTION("GOOGLETRANSLATE(D:D,""auto"",""en"")"),"Manila, Philippines emergency closed city")</f>
        <v>Manila, Philippines emergency closed city</v>
      </c>
      <c r="D3629" s="4" t="s">
        <v>6147</v>
      </c>
      <c r="E3629" s="4">
        <v>6585369.0</v>
      </c>
      <c r="F3629" s="4">
        <v>28.0</v>
      </c>
      <c r="G3629" s="4" t="s">
        <v>6148</v>
      </c>
    </row>
    <row r="3630">
      <c r="A3630" s="1">
        <v>3628.0</v>
      </c>
      <c r="B3630" s="4" t="s">
        <v>6153</v>
      </c>
      <c r="C3630" s="4" t="str">
        <f>IFERROR(__xludf.DUMMYFUNCTION("GOOGLETRANSLATE(D:D,""auto"",""en"")"),"Hao Rui Ying")</f>
        <v>Hao Rui Ying</v>
      </c>
      <c r="D3630" s="4" t="s">
        <v>6050</v>
      </c>
      <c r="E3630" s="4">
        <v>6582987.0</v>
      </c>
      <c r="F3630" s="4">
        <v>29.0</v>
      </c>
      <c r="G3630" s="4" t="s">
        <v>6051</v>
      </c>
    </row>
    <row r="3631">
      <c r="A3631" s="1">
        <v>3629.0</v>
      </c>
      <c r="B3631" s="4" t="s">
        <v>6153</v>
      </c>
      <c r="C3631" s="4" t="str">
        <f>IFERROR(__xludf.DUMMYFUNCTION("GOOGLETRANSLATE(D:D,""auto"",""en"")"),"La Nina, or is about to befall the Earth")</f>
        <v>La Nina, or is about to befall the Earth</v>
      </c>
      <c r="D3631" s="4" t="s">
        <v>6087</v>
      </c>
      <c r="E3631" s="4">
        <v>6580916.0</v>
      </c>
      <c r="F3631" s="4">
        <v>30.0</v>
      </c>
      <c r="G3631" s="4" t="s">
        <v>6088</v>
      </c>
    </row>
    <row r="3632">
      <c r="A3632" s="1">
        <v>3630.0</v>
      </c>
      <c r="B3632" s="4" t="s">
        <v>6153</v>
      </c>
      <c r="C3632" s="4" t="str">
        <f>IFERROR(__xludf.DUMMYFUNCTION("GOOGLETRANSLATE(D:D,""auto"",""en"")"),"Bonnie mom I'm angry")</f>
        <v>Bonnie mom I'm angry</v>
      </c>
      <c r="D3632" s="4" t="s">
        <v>6119</v>
      </c>
      <c r="E3632" s="4">
        <v>6579034.0</v>
      </c>
      <c r="F3632" s="4">
        <v>31.0</v>
      </c>
      <c r="G3632" s="4" t="s">
        <v>6120</v>
      </c>
    </row>
    <row r="3633">
      <c r="A3633" s="1">
        <v>3631.0</v>
      </c>
      <c r="B3633" s="4" t="s">
        <v>6153</v>
      </c>
      <c r="C3633" s="4" t="str">
        <f>IFERROR(__xludf.DUMMYFUNCTION("GOOGLETRANSLATE(D:D,""auto"",""en"")"),"Italy new cases of 2651 cases")</f>
        <v>Italy new cases of 2651 cases</v>
      </c>
      <c r="D3633" s="4" t="s">
        <v>6194</v>
      </c>
      <c r="E3633" s="4">
        <v>6579022.0</v>
      </c>
      <c r="F3633" s="4">
        <v>32.0</v>
      </c>
      <c r="G3633" s="4" t="s">
        <v>6195</v>
      </c>
    </row>
    <row r="3634">
      <c r="A3634" s="1">
        <v>3632.0</v>
      </c>
      <c r="B3634" s="4" t="s">
        <v>6153</v>
      </c>
      <c r="C3634" s="4" t="str">
        <f>IFERROR(__xludf.DUMMYFUNCTION("GOOGLETRANSLATE(D:D,""auto"",""en"")"),"Xie Guangkun whole network for the first time to apologize")</f>
        <v>Xie Guangkun whole network for the first time to apologize</v>
      </c>
      <c r="D3634" s="4" t="s">
        <v>6196</v>
      </c>
      <c r="E3634" s="4">
        <v>6546112.0</v>
      </c>
      <c r="F3634" s="4">
        <v>33.0</v>
      </c>
      <c r="G3634" s="4" t="s">
        <v>6197</v>
      </c>
    </row>
    <row r="3635">
      <c r="A3635" s="1">
        <v>3633.0</v>
      </c>
      <c r="B3635" s="4" t="s">
        <v>6153</v>
      </c>
      <c r="C3635" s="4" t="str">
        <f>IFERROR(__xludf.DUMMYFUNCTION("GOOGLETRANSLATE(D:D,""auto"",""en"")"),"Gem Laojiu live grenade")</f>
        <v>Gem Laojiu live grenade</v>
      </c>
      <c r="D3635" s="4" t="s">
        <v>6198</v>
      </c>
      <c r="E3635" s="4">
        <v>6420135.0</v>
      </c>
      <c r="F3635" s="4">
        <v>34.0</v>
      </c>
      <c r="G3635" s="4" t="s">
        <v>6199</v>
      </c>
    </row>
    <row r="3636">
      <c r="A3636" s="1">
        <v>3634.0</v>
      </c>
      <c r="B3636" s="4" t="s">
        <v>6153</v>
      </c>
      <c r="C3636" s="4" t="str">
        <f>IFERROR(__xludf.DUMMYFUNCTION("GOOGLETRANSLATE(D:D,""auto"",""en"")"),"There are more irritating than Xie Guangkun do")</f>
        <v>There are more irritating than Xie Guangkun do</v>
      </c>
      <c r="D3636" s="4" t="s">
        <v>6200</v>
      </c>
      <c r="E3636" s="4">
        <v>6321353.0</v>
      </c>
      <c r="F3636" s="4">
        <v>35.0</v>
      </c>
      <c r="G3636" s="4" t="s">
        <v>6201</v>
      </c>
    </row>
    <row r="3637">
      <c r="A3637" s="1">
        <v>3635.0</v>
      </c>
      <c r="B3637" s="4" t="s">
        <v>6153</v>
      </c>
      <c r="C3637" s="4" t="str">
        <f>IFERROR(__xludf.DUMMYFUNCTION("GOOGLETRANSLATE(D:D,""auto"",""en"")"),"BIGBANG contract with YG")</f>
        <v>BIGBANG contract with YG</v>
      </c>
      <c r="D3637" s="4" t="s">
        <v>6068</v>
      </c>
      <c r="E3637" s="4">
        <v>6300522.0</v>
      </c>
      <c r="F3637" s="4">
        <v>36.0</v>
      </c>
      <c r="G3637" s="4" t="s">
        <v>6069</v>
      </c>
    </row>
    <row r="3638">
      <c r="A3638" s="1">
        <v>3636.0</v>
      </c>
      <c r="B3638" s="4" t="s">
        <v>6153</v>
      </c>
      <c r="C3638" s="4" t="str">
        <f>IFERROR(__xludf.DUMMYFUNCTION("GOOGLETRANSLATE(D:D,""auto"",""en"")"),"Mom remembered Xie Guangkun freak urge to sleep")</f>
        <v>Mom remembered Xie Guangkun freak urge to sleep</v>
      </c>
      <c r="D3638" s="4" t="s">
        <v>6202</v>
      </c>
      <c r="E3638" s="4">
        <v>6123736.0</v>
      </c>
      <c r="F3638" s="4">
        <v>37.0</v>
      </c>
      <c r="G3638" s="4" t="s">
        <v>6203</v>
      </c>
    </row>
    <row r="3639">
      <c r="A3639" s="1">
        <v>3637.0</v>
      </c>
      <c r="B3639" s="4" t="s">
        <v>6153</v>
      </c>
      <c r="C3639" s="4" t="str">
        <f>IFERROR(__xludf.DUMMYFUNCTION("GOOGLETRANSLATE(D:D,""auto"",""en"")"),"US stocks week again triggered fuse")</f>
        <v>US stocks week again triggered fuse</v>
      </c>
      <c r="D3639" s="4" t="s">
        <v>6204</v>
      </c>
      <c r="E3639" s="4">
        <v>6086648.0</v>
      </c>
      <c r="F3639" s="4">
        <v>38.0</v>
      </c>
      <c r="G3639" s="4" t="s">
        <v>6205</v>
      </c>
    </row>
    <row r="3640">
      <c r="A3640" s="1">
        <v>3638.0</v>
      </c>
      <c r="B3640" s="4" t="s">
        <v>6153</v>
      </c>
      <c r="C3640" s="4" t="str">
        <f>IFERROR(__xludf.DUMMYFUNCTION("GOOGLETRANSLATE(D:D,""auto"",""en"")"),"Italian Ambassador Tucao EU")</f>
        <v>Italian Ambassador Tucao EU</v>
      </c>
      <c r="D3640" s="4" t="s">
        <v>6206</v>
      </c>
      <c r="E3640" s="4">
        <v>6053869.0</v>
      </c>
      <c r="F3640" s="4">
        <v>39.0</v>
      </c>
      <c r="G3640" s="4" t="s">
        <v>6207</v>
      </c>
    </row>
    <row r="3641">
      <c r="A3641" s="1">
        <v>3639.0</v>
      </c>
      <c r="B3641" s="4" t="s">
        <v>6153</v>
      </c>
      <c r="C3641" s="4" t="str">
        <f>IFERROR(__xludf.DUMMYFUNCTION("GOOGLETRANSLATE(D:D,""auto"",""en"")"),"Cai Xu Kun Do not look for the New Year I eat melon")</f>
        <v>Cai Xu Kun Do not look for the New Year I eat melon</v>
      </c>
      <c r="D3641" s="4" t="s">
        <v>6123</v>
      </c>
      <c r="E3641" s="4">
        <v>5979749.0</v>
      </c>
      <c r="F3641" s="4">
        <v>40.0</v>
      </c>
      <c r="G3641" s="4" t="s">
        <v>6124</v>
      </c>
    </row>
    <row r="3642">
      <c r="A3642" s="1">
        <v>3640.0</v>
      </c>
      <c r="B3642" s="4" t="s">
        <v>6153</v>
      </c>
      <c r="C3642" s="4" t="str">
        <f>IFERROR(__xludf.DUMMYFUNCTION("GOOGLETRANSLATE(D:D,""auto"",""en"")"),"When the teacher voice sent the wrong group")</f>
        <v>When the teacher voice sent the wrong group</v>
      </c>
      <c r="D3642" s="4" t="s">
        <v>6010</v>
      </c>
      <c r="E3642" s="4">
        <v>5974385.0</v>
      </c>
      <c r="F3642" s="4">
        <v>41.0</v>
      </c>
      <c r="G3642" s="4" t="s">
        <v>6011</v>
      </c>
    </row>
    <row r="3643">
      <c r="A3643" s="1">
        <v>3641.0</v>
      </c>
      <c r="B3643" s="4" t="s">
        <v>6153</v>
      </c>
      <c r="C3643" s="4" t="str">
        <f>IFERROR(__xludf.DUMMYFUNCTION("GOOGLETRANSLATE(D:D,""auto"",""en"")"),"The positive exposure actress was photographed dressed extortion")</f>
        <v>The positive exposure actress was photographed dressed extortion</v>
      </c>
      <c r="D3643" s="4" t="s">
        <v>6125</v>
      </c>
      <c r="E3643" s="4">
        <v>5971972.0</v>
      </c>
      <c r="F3643" s="4">
        <v>42.0</v>
      </c>
      <c r="G3643" s="4" t="s">
        <v>6126</v>
      </c>
    </row>
    <row r="3644">
      <c r="A3644" s="1">
        <v>3642.0</v>
      </c>
      <c r="B3644" s="4" t="s">
        <v>6153</v>
      </c>
      <c r="C3644" s="4" t="str">
        <f>IFERROR(__xludf.DUMMYFUNCTION("GOOGLETRANSLATE(D:D,""auto"",""en"")"),"Outside China had confirmed 44,067 cases of pneumonia new crown")</f>
        <v>Outside China had confirmed 44,067 cases of pneumonia new crown</v>
      </c>
      <c r="D3644" s="4" t="s">
        <v>6208</v>
      </c>
      <c r="E3644" s="4">
        <v>5951363.0</v>
      </c>
      <c r="F3644" s="4">
        <v>43.0</v>
      </c>
      <c r="G3644" s="4" t="s">
        <v>6209</v>
      </c>
    </row>
    <row r="3645">
      <c r="A3645" s="1">
        <v>3643.0</v>
      </c>
      <c r="B3645" s="4" t="s">
        <v>6153</v>
      </c>
      <c r="C3645" s="4" t="str">
        <f>IFERROR(__xludf.DUMMYFUNCTION("GOOGLETRANSLATE(D:D,""auto"",""en"")"),"Canadian Prime Minister wife diagnosed with pneumonia new crown")</f>
        <v>Canadian Prime Minister wife diagnosed with pneumonia new crown</v>
      </c>
      <c r="D3645" s="4" t="s">
        <v>6210</v>
      </c>
      <c r="E3645" s="4">
        <v>5927380.0</v>
      </c>
      <c r="F3645" s="4">
        <v>44.0</v>
      </c>
      <c r="G3645" s="4" t="s">
        <v>6211</v>
      </c>
    </row>
    <row r="3646">
      <c r="A3646" s="1">
        <v>3644.0</v>
      </c>
      <c r="B3646" s="4" t="s">
        <v>6153</v>
      </c>
      <c r="C3646" s="4" t="str">
        <f>IFERROR(__xludf.DUMMYFUNCTION("GOOGLETRANSLATE(D:D,""auto"",""en"")"),"UEFA announced that the European Cup or postponed to 2021")</f>
        <v>UEFA announced that the European Cup or postponed to 2021</v>
      </c>
      <c r="D3646" s="4" t="s">
        <v>6212</v>
      </c>
      <c r="E3646" s="4">
        <v>5924024.0</v>
      </c>
      <c r="F3646" s="4">
        <v>45.0</v>
      </c>
      <c r="G3646" s="4" t="s">
        <v>6213</v>
      </c>
    </row>
    <row r="3647">
      <c r="A3647" s="1">
        <v>3645.0</v>
      </c>
      <c r="B3647" s="4" t="s">
        <v>6153</v>
      </c>
      <c r="C3647" s="4" t="str">
        <f>IFERROR(__xludf.DUMMYFUNCTION("GOOGLETRANSLATE(D:D,""auto"",""en"")"),"Deng purple chess to teach singing Chaolian")</f>
        <v>Deng purple chess to teach singing Chaolian</v>
      </c>
      <c r="D3647" s="4" t="s">
        <v>6214</v>
      </c>
      <c r="E3647" s="4">
        <v>5868412.0</v>
      </c>
      <c r="F3647" s="4">
        <v>46.0</v>
      </c>
      <c r="G3647" s="4" t="s">
        <v>6215</v>
      </c>
    </row>
    <row r="3648">
      <c r="A3648" s="1">
        <v>3646.0</v>
      </c>
      <c r="B3648" s="4" t="s">
        <v>6153</v>
      </c>
      <c r="C3648" s="4" t="str">
        <f>IFERROR(__xludf.DUMMYFUNCTION("GOOGLETRANSLATE(D:D,""auto"",""en"")"),"Trump will declare a state of emergency")</f>
        <v>Trump will declare a state of emergency</v>
      </c>
      <c r="D3648" s="4" t="s">
        <v>6216</v>
      </c>
      <c r="E3648" s="4">
        <v>5857792.0</v>
      </c>
      <c r="F3648" s="4">
        <v>47.0</v>
      </c>
      <c r="G3648" s="4" t="s">
        <v>6217</v>
      </c>
    </row>
    <row r="3649">
      <c r="A3649" s="1">
        <v>3647.0</v>
      </c>
      <c r="B3649" s="4" t="s">
        <v>6153</v>
      </c>
      <c r="C3649" s="4" t="str">
        <f>IFERROR(__xludf.DUMMYFUNCTION("GOOGLETRANSLATE(D:D,""auto"",""en"")"),"Yi Xi smelt one thousand all want to have super powers")</f>
        <v>Yi Xi smelt one thousand all want to have super powers</v>
      </c>
      <c r="D3649" s="4" t="s">
        <v>6218</v>
      </c>
      <c r="E3649" s="4">
        <v>5834256.0</v>
      </c>
      <c r="F3649" s="4">
        <v>48.0</v>
      </c>
      <c r="G3649" s="4" t="s">
        <v>6219</v>
      </c>
    </row>
    <row r="3650">
      <c r="A3650" s="1">
        <v>3648.0</v>
      </c>
      <c r="B3650" s="4" t="s">
        <v>6153</v>
      </c>
      <c r="C3650" s="4" t="str">
        <f>IFERROR(__xludf.DUMMYFUNCTION("GOOGLETRANSLATE(D:D,""auto"",""en"")"),"South Korea's new crown increased to 7979 cases of pneumonia")</f>
        <v>South Korea's new crown increased to 7979 cases of pneumonia</v>
      </c>
      <c r="D3650" s="4" t="s">
        <v>6220</v>
      </c>
      <c r="E3650" s="4">
        <v>5830050.0</v>
      </c>
      <c r="F3650" s="4">
        <v>49.0</v>
      </c>
      <c r="G3650" s="4" t="s">
        <v>6221</v>
      </c>
    </row>
    <row r="3651">
      <c r="A3651" s="1">
        <v>3649.0</v>
      </c>
      <c r="B3651" s="4" t="s">
        <v>6153</v>
      </c>
      <c r="C3651" s="4" t="str">
        <f>IFERROR(__xludf.DUMMYFUNCTION("GOOGLETRANSLATE(D:D,""auto"",""en"")"),"Wang Yuan in this life can not cut the head-inch")</f>
        <v>Wang Yuan in this life can not cut the head-inch</v>
      </c>
      <c r="D3651" s="4" t="s">
        <v>6012</v>
      </c>
      <c r="E3651" s="4">
        <v>5801266.0</v>
      </c>
      <c r="F3651" s="4">
        <v>50.0</v>
      </c>
      <c r="G3651" s="4" t="s">
        <v>6013</v>
      </c>
    </row>
    <row r="3652">
      <c r="A3652" s="1">
        <v>3650.0</v>
      </c>
      <c r="B3652" s="4" t="s">
        <v>6222</v>
      </c>
      <c r="C3652" s="4" t="str">
        <f>IFERROR(__xludf.DUMMYFUNCTION("GOOGLETRANSLATE(D:D,""auto"",""en"")"),"Lang Yi Jing Ju stomach cents imitate eat bread")</f>
        <v>Lang Yi Jing Ju stomach cents imitate eat bread</v>
      </c>
      <c r="D3652" s="4" t="s">
        <v>6223</v>
      </c>
      <c r="E3652" s="4">
        <v>9570788.0</v>
      </c>
      <c r="F3652" s="4">
        <v>1.0</v>
      </c>
      <c r="G3652" s="4" t="s">
        <v>6224</v>
      </c>
    </row>
    <row r="3653">
      <c r="A3653" s="1">
        <v>3651.0</v>
      </c>
      <c r="B3653" s="4" t="s">
        <v>6222</v>
      </c>
      <c r="C3653" s="4" t="str">
        <f>IFERROR(__xludf.DUMMYFUNCTION("GOOGLETRANSLATE(D:D,""auto"",""en"")"),"Zhou Yang Qing Luo denied black")</f>
        <v>Zhou Yang Qing Luo denied black</v>
      </c>
      <c r="D3653" s="4" t="s">
        <v>6225</v>
      </c>
      <c r="E3653" s="4">
        <v>9394937.0</v>
      </c>
      <c r="F3653" s="4">
        <v>2.0</v>
      </c>
      <c r="G3653" s="4" t="s">
        <v>6226</v>
      </c>
    </row>
    <row r="3654">
      <c r="A3654" s="1">
        <v>3652.0</v>
      </c>
      <c r="B3654" s="4" t="s">
        <v>6222</v>
      </c>
      <c r="C3654" s="4" t="str">
        <f>IFERROR(__xludf.DUMMYFUNCTION("GOOGLETRANSLATE(D:D,""auto"",""en"")"),"Brownie business with three siblings")</f>
        <v>Brownie business with three siblings</v>
      </c>
      <c r="D3654" s="4" t="s">
        <v>6227</v>
      </c>
      <c r="E3654" s="4">
        <v>8340166.0</v>
      </c>
      <c r="F3654" s="4">
        <v>3.0</v>
      </c>
      <c r="G3654" s="4" t="s">
        <v>6228</v>
      </c>
    </row>
    <row r="3655">
      <c r="A3655" s="1">
        <v>3653.0</v>
      </c>
      <c r="B3655" s="4" t="s">
        <v>6222</v>
      </c>
      <c r="C3655" s="4" t="str">
        <f>IFERROR(__xludf.DUMMYFUNCTION("GOOGLETRANSLATE(D:D,""auto"",""en"")"),"British herd immunity")</f>
        <v>British herd immunity</v>
      </c>
      <c r="D3655" s="4" t="s">
        <v>6229</v>
      </c>
      <c r="E3655" s="4">
        <v>8304307.0</v>
      </c>
      <c r="F3655" s="4">
        <v>4.0</v>
      </c>
      <c r="G3655" s="4" t="s">
        <v>6230</v>
      </c>
    </row>
    <row r="3656">
      <c r="A3656" s="1">
        <v>3654.0</v>
      </c>
      <c r="B3656" s="4" t="s">
        <v>6222</v>
      </c>
      <c r="C3656" s="4" t="str">
        <f>IFERROR(__xludf.DUMMYFUNCTION("GOOGLETRANSLATE(D:D,""auto"",""en"")"),"Lang Xian stomach Falling everything Jieke ice cream")</f>
        <v>Lang Xian stomach Falling everything Jieke ice cream</v>
      </c>
      <c r="D3656" s="4" t="s">
        <v>6164</v>
      </c>
      <c r="E3656" s="4">
        <v>8095849.0</v>
      </c>
      <c r="F3656" s="4">
        <v>5.0</v>
      </c>
      <c r="G3656" s="4" t="s">
        <v>6165</v>
      </c>
    </row>
    <row r="3657">
      <c r="A3657" s="1">
        <v>3655.0</v>
      </c>
      <c r="B3657" s="4" t="s">
        <v>6222</v>
      </c>
      <c r="C3657" s="4" t="str">
        <f>IFERROR(__xludf.DUMMYFUNCTION("GOOGLETRANSLATE(D:D,""auto"",""en"")"),"Voice Nan anchor it to show his face")</f>
        <v>Voice Nan anchor it to show his face</v>
      </c>
      <c r="D3657" s="4" t="s">
        <v>6131</v>
      </c>
      <c r="E3657" s="4">
        <v>7901139.0</v>
      </c>
      <c r="F3657" s="4">
        <v>6.0</v>
      </c>
      <c r="G3657" s="4" t="s">
        <v>6132</v>
      </c>
    </row>
    <row r="3658">
      <c r="A3658" s="1">
        <v>3656.0</v>
      </c>
      <c r="B3658" s="4" t="s">
        <v>6222</v>
      </c>
      <c r="C3658" s="4" t="str">
        <f>IFERROR(__xludf.DUMMYFUNCTION("GOOGLETRANSLATE(D:D,""auto"",""en"")"),"11 cases of new confirmed cases nationwide")</f>
        <v>11 cases of new confirmed cases nationwide</v>
      </c>
      <c r="D3658" s="4" t="s">
        <v>6231</v>
      </c>
      <c r="E3658" s="4">
        <v>7850643.0</v>
      </c>
      <c r="F3658" s="4">
        <v>7.0</v>
      </c>
      <c r="G3658" s="4" t="s">
        <v>6232</v>
      </c>
    </row>
    <row r="3659">
      <c r="A3659" s="1">
        <v>3657.0</v>
      </c>
      <c r="B3659" s="4" t="s">
        <v>6222</v>
      </c>
      <c r="C3659" s="4" t="str">
        <f>IFERROR(__xludf.DUMMYFUNCTION("GOOGLETRANSLATE(D:D,""auto"",""en"")"),"Italy's chief medical officer died of pneumonia because of the new crown")</f>
        <v>Italy's chief medical officer died of pneumonia because of the new crown</v>
      </c>
      <c r="D3659" s="4" t="s">
        <v>6233</v>
      </c>
      <c r="E3659" s="4">
        <v>7738397.0</v>
      </c>
      <c r="F3659" s="4">
        <v>8.0</v>
      </c>
      <c r="G3659" s="4" t="s">
        <v>6234</v>
      </c>
    </row>
    <row r="3660">
      <c r="A3660" s="1">
        <v>3658.0</v>
      </c>
      <c r="B3660" s="4" t="s">
        <v>6222</v>
      </c>
      <c r="C3660" s="4" t="str">
        <f>IFERROR(__xludf.DUMMYFUNCTION("GOOGLETRANSLATE(D:D,""auto"",""en"")"),"Chen He no friends brand instant noodles recipe")</f>
        <v>Chen He no friends brand instant noodles recipe</v>
      </c>
      <c r="D3660" s="4" t="s">
        <v>6235</v>
      </c>
      <c r="E3660" s="4">
        <v>7578030.0</v>
      </c>
      <c r="F3660" s="4">
        <v>9.0</v>
      </c>
      <c r="G3660" s="4" t="s">
        <v>6236</v>
      </c>
    </row>
    <row r="3661">
      <c r="A3661" s="1">
        <v>3659.0</v>
      </c>
      <c r="B3661" s="4" t="s">
        <v>6222</v>
      </c>
      <c r="C3661" s="4" t="str">
        <f>IFERROR(__xludf.DUMMYFUNCTION("GOOGLETRANSLATE(D:D,""auto"",""en"")"),"Zhong Nanshan, academician laughed")</f>
        <v>Zhong Nanshan, academician laughed</v>
      </c>
      <c r="D3661" s="4" t="s">
        <v>6237</v>
      </c>
      <c r="E3661" s="4">
        <v>7515609.0</v>
      </c>
      <c r="F3661" s="4">
        <v>10.0</v>
      </c>
      <c r="G3661" s="4" t="s">
        <v>6238</v>
      </c>
    </row>
    <row r="3662">
      <c r="A3662" s="1">
        <v>3660.0</v>
      </c>
      <c r="B3662" s="4" t="s">
        <v>6222</v>
      </c>
      <c r="C3662" s="4" t="str">
        <f>IFERROR(__xludf.DUMMYFUNCTION("GOOGLETRANSLATE(D:D,""auto"",""en"")"),"Kusi me settle down")</f>
        <v>Kusi me settle down</v>
      </c>
      <c r="D3662" s="4" t="s">
        <v>6176</v>
      </c>
      <c r="E3662" s="4">
        <v>7485014.0</v>
      </c>
      <c r="F3662" s="4">
        <v>11.0</v>
      </c>
      <c r="G3662" s="4" t="s">
        <v>6177</v>
      </c>
    </row>
    <row r="3663">
      <c r="A3663" s="1">
        <v>3661.0</v>
      </c>
      <c r="B3663" s="4" t="s">
        <v>6222</v>
      </c>
      <c r="C3663" s="4" t="str">
        <f>IFERROR(__xludf.DUMMYFUNCTION("GOOGLETRANSLATE(D:D,""auto"",""en"")"),"Trump declared a state of emergency to deal with the epidemic")</f>
        <v>Trump declared a state of emergency to deal with the epidemic</v>
      </c>
      <c r="D3663" s="4" t="s">
        <v>6239</v>
      </c>
      <c r="E3663" s="4">
        <v>7471900.0</v>
      </c>
      <c r="F3663" s="4">
        <v>12.0</v>
      </c>
      <c r="G3663" s="4" t="s">
        <v>6240</v>
      </c>
    </row>
    <row r="3664">
      <c r="A3664" s="1">
        <v>3662.0</v>
      </c>
      <c r="B3664" s="4" t="s">
        <v>6222</v>
      </c>
      <c r="C3664" s="4" t="str">
        <f>IFERROR(__xludf.DUMMYFUNCTION("GOOGLETRANSLATE(D:D,""auto"",""en"")"),"Gem Laojiu then respond copyright controversy")</f>
        <v>Gem Laojiu then respond copyright controversy</v>
      </c>
      <c r="D3664" s="4" t="s">
        <v>6241</v>
      </c>
      <c r="E3664" s="4">
        <v>7372629.0</v>
      </c>
      <c r="F3664" s="4">
        <v>13.0</v>
      </c>
      <c r="G3664" s="4" t="s">
        <v>6242</v>
      </c>
    </row>
    <row r="3665">
      <c r="A3665" s="1">
        <v>3663.0</v>
      </c>
      <c r="B3665" s="4" t="s">
        <v>6222</v>
      </c>
      <c r="C3665" s="4" t="str">
        <f>IFERROR(__xludf.DUMMYFUNCTION("GOOGLETRANSLATE(D:D,""auto"",""en"")"),"Beijing new confirmed cases outside input one case")</f>
        <v>Beijing new confirmed cases outside input one case</v>
      </c>
      <c r="D3665" s="4" t="s">
        <v>6243</v>
      </c>
      <c r="E3665" s="4">
        <v>7372272.0</v>
      </c>
      <c r="F3665" s="4">
        <v>14.0</v>
      </c>
      <c r="G3665" s="4" t="s">
        <v>6244</v>
      </c>
    </row>
    <row r="3666">
      <c r="A3666" s="1">
        <v>3664.0</v>
      </c>
      <c r="B3666" s="4" t="s">
        <v>6222</v>
      </c>
      <c r="C3666" s="4" t="str">
        <f>IFERROR(__xludf.DUMMYFUNCTION("GOOGLETRANSLATE(D:D,""auto"",""en"")"),"Hot pot restaurants to eat and drink first guests retaliatory")</f>
        <v>Hot pot restaurants to eat and drink first guests retaliatory</v>
      </c>
      <c r="D3666" s="4" t="s">
        <v>6245</v>
      </c>
      <c r="E3666" s="4">
        <v>7356432.0</v>
      </c>
      <c r="F3666" s="4">
        <v>15.0</v>
      </c>
      <c r="G3666" s="4" t="s">
        <v>6246</v>
      </c>
    </row>
    <row r="3667">
      <c r="A3667" s="1">
        <v>3665.0</v>
      </c>
      <c r="B3667" s="4" t="s">
        <v>6222</v>
      </c>
      <c r="C3667" s="4" t="str">
        <f>IFERROR(__xludf.DUMMYFUNCTION("GOOGLETRANSLATE(D:D,""auto"",""en"")"),"Showed off new tricks")</f>
        <v>Showed off new tricks</v>
      </c>
      <c r="D3667" s="4" t="s">
        <v>6172</v>
      </c>
      <c r="E3667" s="4">
        <v>7343744.0</v>
      </c>
      <c r="F3667" s="4">
        <v>16.0</v>
      </c>
      <c r="G3667" s="4" t="s">
        <v>6173</v>
      </c>
    </row>
    <row r="3668">
      <c r="A3668" s="1">
        <v>3666.0</v>
      </c>
      <c r="B3668" s="4" t="s">
        <v>6222</v>
      </c>
      <c r="C3668" s="4" t="str">
        <f>IFERROR(__xludf.DUMMYFUNCTION("GOOGLETRANSLATE(D:D,""auto"",""en"")"),"Xiaogan a children's home was taken away by the death of his mother")</f>
        <v>Xiaogan a children's home was taken away by the death of his mother</v>
      </c>
      <c r="D3668" s="4" t="s">
        <v>6247</v>
      </c>
      <c r="E3668" s="4">
        <v>7342464.0</v>
      </c>
      <c r="F3668" s="4">
        <v>17.0</v>
      </c>
      <c r="G3668" s="4" t="s">
        <v>6248</v>
      </c>
    </row>
    <row r="3669">
      <c r="A3669" s="1">
        <v>3667.0</v>
      </c>
      <c r="B3669" s="4" t="s">
        <v>6222</v>
      </c>
      <c r="C3669" s="4" t="str">
        <f>IFERROR(__xludf.DUMMYFUNCTION("GOOGLETRANSLATE(D:D,""auto"",""en"")"),"Li Yi Feng mopping the floor with the money dance")</f>
        <v>Li Yi Feng mopping the floor with the money dance</v>
      </c>
      <c r="D3669" s="4" t="s">
        <v>6249</v>
      </c>
      <c r="E3669" s="4">
        <v>7336932.0</v>
      </c>
      <c r="F3669" s="4">
        <v>18.0</v>
      </c>
      <c r="G3669" s="4" t="s">
        <v>6250</v>
      </c>
    </row>
    <row r="3670">
      <c r="A3670" s="1">
        <v>3668.0</v>
      </c>
      <c r="B3670" s="4" t="s">
        <v>6222</v>
      </c>
      <c r="C3670" s="4" t="str">
        <f>IFERROR(__xludf.DUMMYFUNCTION("GOOGLETRANSLATE(D:D,""auto"",""en"")"),"Brazil's president said the new virus were negative crown")</f>
        <v>Brazil's president said the new virus were negative crown</v>
      </c>
      <c r="D3670" s="4" t="s">
        <v>6251</v>
      </c>
      <c r="E3670" s="4">
        <v>7173726.0</v>
      </c>
      <c r="F3670" s="4">
        <v>19.0</v>
      </c>
      <c r="G3670" s="4" t="s">
        <v>6252</v>
      </c>
    </row>
    <row r="3671">
      <c r="A3671" s="1">
        <v>3669.0</v>
      </c>
      <c r="B3671" s="4" t="s">
        <v>6222</v>
      </c>
      <c r="C3671" s="4" t="str">
        <f>IFERROR(__xludf.DUMMYFUNCTION("GOOGLETRANSLATE(D:D,""auto"",""en"")"),"Iran's new crown the new 1289 cases of pneumonia")</f>
        <v>Iran's new crown the new 1289 cases of pneumonia</v>
      </c>
      <c r="D3671" s="4" t="s">
        <v>6188</v>
      </c>
      <c r="E3671" s="4">
        <v>7144913.0</v>
      </c>
      <c r="F3671" s="4">
        <v>20.0</v>
      </c>
      <c r="G3671" s="4" t="s">
        <v>6189</v>
      </c>
    </row>
    <row r="3672">
      <c r="A3672" s="1">
        <v>3670.0</v>
      </c>
      <c r="B3672" s="4" t="s">
        <v>6222</v>
      </c>
      <c r="C3672" s="4" t="str">
        <f>IFERROR(__xludf.DUMMYFUNCTION("GOOGLETRANSLATE(D:D,""auto"",""en"")"),"Iran's new crown new cases of pneumonia in 1365 cases")</f>
        <v>Iran's new crown new cases of pneumonia in 1365 cases</v>
      </c>
      <c r="D3672" s="4" t="s">
        <v>6253</v>
      </c>
      <c r="E3672" s="4">
        <v>7128583.0</v>
      </c>
      <c r="F3672" s="4">
        <v>21.0</v>
      </c>
      <c r="G3672" s="4" t="s">
        <v>6254</v>
      </c>
    </row>
    <row r="3673">
      <c r="A3673" s="1">
        <v>3671.0</v>
      </c>
      <c r="B3673" s="4" t="s">
        <v>6222</v>
      </c>
      <c r="C3673" s="4" t="str">
        <f>IFERROR(__xludf.DUMMYFUNCTION("GOOGLETRANSLATE(D:D,""auto"",""en"")"),"Brazilian President had dinner with Trump")</f>
        <v>Brazilian President had dinner with Trump</v>
      </c>
      <c r="D3673" s="4" t="s">
        <v>6255</v>
      </c>
      <c r="E3673" s="4">
        <v>7079198.0</v>
      </c>
      <c r="F3673" s="4">
        <v>22.0</v>
      </c>
      <c r="G3673" s="4" t="s">
        <v>6256</v>
      </c>
    </row>
    <row r="3674">
      <c r="A3674" s="1">
        <v>3672.0</v>
      </c>
      <c r="B3674" s="4" t="s">
        <v>6222</v>
      </c>
      <c r="C3674" s="4" t="str">
        <f>IFERROR(__xludf.DUMMYFUNCTION("GOOGLETRANSLATE(D:D,""auto"",""en"")"),"Gansu new confirmed cases of three cases of foreign input")</f>
        <v>Gansu new confirmed cases of three cases of foreign input</v>
      </c>
      <c r="D3674" s="4" t="s">
        <v>6257</v>
      </c>
      <c r="E3674" s="4">
        <v>7063513.0</v>
      </c>
      <c r="F3674" s="4">
        <v>23.0</v>
      </c>
      <c r="G3674" s="4" t="s">
        <v>6258</v>
      </c>
    </row>
    <row r="3675">
      <c r="A3675" s="1">
        <v>3673.0</v>
      </c>
      <c r="B3675" s="4" t="s">
        <v>6222</v>
      </c>
      <c r="C3675" s="4" t="str">
        <f>IFERROR(__xludf.DUMMYFUNCTION("GOOGLETRANSLATE(D:D,""auto"",""en"")"),"Jacky teach you Omurice")</f>
        <v>Jacky teach you Omurice</v>
      </c>
      <c r="D3675" s="4" t="s">
        <v>6259</v>
      </c>
      <c r="E3675" s="4">
        <v>7062655.0</v>
      </c>
      <c r="F3675" s="4">
        <v>24.0</v>
      </c>
      <c r="G3675" s="4" t="s">
        <v>6260</v>
      </c>
    </row>
    <row r="3676">
      <c r="A3676" s="1">
        <v>3674.0</v>
      </c>
      <c r="B3676" s="4" t="s">
        <v>6222</v>
      </c>
      <c r="C3676" s="4" t="str">
        <f>IFERROR(__xludf.DUMMYFUNCTION("GOOGLETRANSLATE(D:D,""auto"",""en"")"),"Deputy Minister of Italian Ministry of Health confirmed the new crown pneumonia")</f>
        <v>Deputy Minister of Italian Ministry of Health confirmed the new crown pneumonia</v>
      </c>
      <c r="D3676" s="4" t="s">
        <v>6261</v>
      </c>
      <c r="E3676" s="4">
        <v>7038608.0</v>
      </c>
      <c r="F3676" s="4">
        <v>25.0</v>
      </c>
      <c r="G3676" s="4" t="s">
        <v>6262</v>
      </c>
    </row>
    <row r="3677">
      <c r="A3677" s="1">
        <v>3675.0</v>
      </c>
      <c r="B3677" s="4" t="s">
        <v>6222</v>
      </c>
      <c r="C3677" s="4" t="str">
        <f>IFERROR(__xludf.DUMMYFUNCTION("GOOGLETRANSLATE(D:D,""auto"",""en"")"),"Song Zhongji Song Hye Kyo original marriage room down and build a new building")</f>
        <v>Song Zhongji Song Hye Kyo original marriage room down and build a new building</v>
      </c>
      <c r="D3677" s="4" t="s">
        <v>6184</v>
      </c>
      <c r="E3677" s="4">
        <v>7036959.0</v>
      </c>
      <c r="F3677" s="4">
        <v>26.0</v>
      </c>
      <c r="G3677" s="4" t="s">
        <v>6185</v>
      </c>
    </row>
    <row r="3678">
      <c r="A3678" s="1">
        <v>3676.0</v>
      </c>
      <c r="B3678" s="4" t="s">
        <v>6222</v>
      </c>
      <c r="C3678" s="4" t="str">
        <f>IFERROR(__xludf.DUMMYFUNCTION("GOOGLETRANSLATE(D:D,""auto"",""en"")"),"Trump will declare a state of emergency")</f>
        <v>Trump will declare a state of emergency</v>
      </c>
      <c r="D3678" s="4" t="s">
        <v>6216</v>
      </c>
      <c r="E3678" s="4">
        <v>7033179.0</v>
      </c>
      <c r="F3678" s="4">
        <v>27.0</v>
      </c>
      <c r="G3678" s="4" t="s">
        <v>6217</v>
      </c>
    </row>
    <row r="3679">
      <c r="A3679" s="1">
        <v>3677.0</v>
      </c>
      <c r="B3679" s="4" t="s">
        <v>6222</v>
      </c>
      <c r="C3679" s="4" t="str">
        <f>IFERROR(__xludf.DUMMYFUNCTION("GOOGLETRANSLATE(D:D,""auto"",""en"")"),"Liu Yifei children squatting on the ground and chat")</f>
        <v>Liu Yifei children squatting on the ground and chat</v>
      </c>
      <c r="D3679" s="4" t="s">
        <v>6156</v>
      </c>
      <c r="E3679" s="4">
        <v>7032559.0</v>
      </c>
      <c r="F3679" s="4">
        <v>28.0</v>
      </c>
      <c r="G3679" s="4" t="s">
        <v>6157</v>
      </c>
    </row>
    <row r="3680">
      <c r="A3680" s="1">
        <v>3678.0</v>
      </c>
      <c r="B3680" s="4" t="s">
        <v>6222</v>
      </c>
      <c r="C3680" s="4" t="str">
        <f>IFERROR(__xludf.DUMMYFUNCTION("GOOGLETRANSLATE(D:D,""auto"",""en"")"),"Women diagnosed in the United States back to Beijing three times was rejected detected")</f>
        <v>Women diagnosed in the United States back to Beijing three times was rejected detected</v>
      </c>
      <c r="D3680" s="4" t="s">
        <v>6263</v>
      </c>
      <c r="E3680" s="4">
        <v>6984087.0</v>
      </c>
      <c r="F3680" s="4">
        <v>29.0</v>
      </c>
      <c r="G3680" s="4" t="s">
        <v>6264</v>
      </c>
    </row>
    <row r="3681">
      <c r="A3681" s="1">
        <v>3679.0</v>
      </c>
      <c r="B3681" s="4" t="s">
        <v>6222</v>
      </c>
      <c r="C3681" s="4" t="str">
        <f>IFERROR(__xludf.DUMMYFUNCTION("GOOGLETRANSLATE(D:D,""auto"",""en"")"),"A figure excited to see the baby on the street to stammer")</f>
        <v>A figure excited to see the baby on the street to stammer</v>
      </c>
      <c r="D3681" s="4" t="s">
        <v>6265</v>
      </c>
      <c r="E3681" s="4">
        <v>6894853.0</v>
      </c>
      <c r="F3681" s="4">
        <v>30.0</v>
      </c>
      <c r="G3681" s="4" t="s">
        <v>6266</v>
      </c>
    </row>
    <row r="3682">
      <c r="A3682" s="1">
        <v>3680.0</v>
      </c>
      <c r="B3682" s="4" t="s">
        <v>6222</v>
      </c>
      <c r="C3682" s="4" t="str">
        <f>IFERROR(__xludf.DUMMYFUNCTION("GOOGLETRANSLATE(D:D,""auto"",""en"")"),"The whole network the most difficult challenge thumb Long Jump")</f>
        <v>The whole network the most difficult challenge thumb Long Jump</v>
      </c>
      <c r="D3682" s="4" t="s">
        <v>6170</v>
      </c>
      <c r="E3682" s="4">
        <v>6872017.0</v>
      </c>
      <c r="F3682" s="4">
        <v>31.0</v>
      </c>
      <c r="G3682" s="4" t="s">
        <v>6171</v>
      </c>
    </row>
    <row r="3683">
      <c r="A3683" s="1">
        <v>3681.0</v>
      </c>
      <c r="B3683" s="4" t="s">
        <v>6222</v>
      </c>
      <c r="C3683" s="4" t="str">
        <f>IFERROR(__xludf.DUMMYFUNCTION("GOOGLETRANSLATE(D:D,""auto"",""en"")"),"Chen Yu Qi shabu hot pot durian")</f>
        <v>Chen Yu Qi shabu hot pot durian</v>
      </c>
      <c r="D3683" s="4" t="s">
        <v>6267</v>
      </c>
      <c r="E3683" s="4">
        <v>6857378.0</v>
      </c>
      <c r="F3683" s="4">
        <v>32.0</v>
      </c>
      <c r="G3683" s="4" t="s">
        <v>6268</v>
      </c>
    </row>
    <row r="3684">
      <c r="A3684" s="1">
        <v>3682.0</v>
      </c>
      <c r="B3684" s="4" t="s">
        <v>6222</v>
      </c>
      <c r="C3684" s="4" t="str">
        <f>IFERROR(__xludf.DUMMYFUNCTION("GOOGLETRANSLATE(D:D,""auto"",""en"")"),"The fear of being dominated back to the south")</f>
        <v>The fear of being dominated back to the south</v>
      </c>
      <c r="D3684" s="4" t="s">
        <v>6160</v>
      </c>
      <c r="E3684" s="4">
        <v>6827487.0</v>
      </c>
      <c r="F3684" s="4">
        <v>33.0</v>
      </c>
      <c r="G3684" s="4" t="s">
        <v>6161</v>
      </c>
    </row>
    <row r="3685">
      <c r="A3685" s="1">
        <v>3683.0</v>
      </c>
      <c r="B3685" s="4" t="s">
        <v>6222</v>
      </c>
      <c r="C3685" s="4" t="str">
        <f>IFERROR(__xludf.DUMMYFUNCTION("GOOGLETRANSLATE(D:D,""auto"",""en"")"),"The Spanish government will announce blockade of the country")</f>
        <v>The Spanish government will announce blockade of the country</v>
      </c>
      <c r="D3685" s="4" t="s">
        <v>6269</v>
      </c>
      <c r="E3685" s="4">
        <v>6745241.0</v>
      </c>
      <c r="F3685" s="4">
        <v>34.0</v>
      </c>
      <c r="G3685" s="4" t="s">
        <v>6270</v>
      </c>
    </row>
    <row r="3686">
      <c r="A3686" s="1">
        <v>3684.0</v>
      </c>
      <c r="B3686" s="4" t="s">
        <v>6222</v>
      </c>
      <c r="C3686" s="4" t="str">
        <f>IFERROR(__xludf.DUMMYFUNCTION("GOOGLETRANSLATE(D:D,""auto"",""en"")"),"Hunan Yueyang screening found five asymptomatic infection")</f>
        <v>Hunan Yueyang screening found five asymptomatic infection</v>
      </c>
      <c r="D3686" s="4" t="s">
        <v>6271</v>
      </c>
      <c r="E3686" s="4">
        <v>6677582.0</v>
      </c>
      <c r="F3686" s="4">
        <v>35.0</v>
      </c>
      <c r="G3686" s="4" t="s">
        <v>6272</v>
      </c>
    </row>
    <row r="3687">
      <c r="A3687" s="1">
        <v>3685.0</v>
      </c>
      <c r="B3687" s="4" t="s">
        <v>6222</v>
      </c>
      <c r="C3687" s="4" t="str">
        <f>IFERROR(__xludf.DUMMYFUNCTION("GOOGLETRANSLATE(D:D,""auto"",""en"")"),"Gem Laojiu live grenade")</f>
        <v>Gem Laojiu live grenade</v>
      </c>
      <c r="D3687" s="4" t="s">
        <v>6198</v>
      </c>
      <c r="E3687" s="4">
        <v>6669334.0</v>
      </c>
      <c r="F3687" s="4">
        <v>36.0</v>
      </c>
      <c r="G3687" s="4" t="s">
        <v>6199</v>
      </c>
    </row>
    <row r="3688">
      <c r="A3688" s="1">
        <v>3686.0</v>
      </c>
      <c r="B3688" s="4" t="s">
        <v>6222</v>
      </c>
      <c r="C3688" s="4" t="str">
        <f>IFERROR(__xludf.DUMMYFUNCTION("GOOGLETRANSLATE(D:D,""auto"",""en"")"),"Italy new cases of 2547 cases")</f>
        <v>Italy new cases of 2547 cases</v>
      </c>
      <c r="D3688" s="4" t="s">
        <v>6273</v>
      </c>
      <c r="E3688" s="4">
        <v>6631341.0</v>
      </c>
      <c r="F3688" s="4">
        <v>37.0</v>
      </c>
      <c r="G3688" s="4" t="s">
        <v>6274</v>
      </c>
    </row>
    <row r="3689">
      <c r="A3689" s="1">
        <v>3687.0</v>
      </c>
      <c r="B3689" s="4" t="s">
        <v>6222</v>
      </c>
      <c r="C3689" s="4" t="str">
        <f>IFERROR(__xludf.DUMMYFUNCTION("GOOGLETRANSLATE(D:D,""auto"",""en"")"),"Japanese director to Nanjing filmed the fight against SARS epidemic prevention materials")</f>
        <v>Japanese director to Nanjing filmed the fight against SARS epidemic prevention materials</v>
      </c>
      <c r="D3689" s="4" t="s">
        <v>6275</v>
      </c>
      <c r="E3689" s="4">
        <v>6587995.0</v>
      </c>
      <c r="F3689" s="4">
        <v>38.0</v>
      </c>
      <c r="G3689" s="4" t="s">
        <v>6276</v>
      </c>
    </row>
    <row r="3690">
      <c r="A3690" s="1">
        <v>3688.0</v>
      </c>
      <c r="B3690" s="4" t="s">
        <v>6222</v>
      </c>
      <c r="C3690" s="4" t="str">
        <f>IFERROR(__xludf.DUMMYFUNCTION("GOOGLETRANSLATE(D:D,""auto"",""en"")"),"Deng purple chess to teach singing Chaolian")</f>
        <v>Deng purple chess to teach singing Chaolian</v>
      </c>
      <c r="D3690" s="4" t="s">
        <v>6214</v>
      </c>
      <c r="E3690" s="4">
        <v>6536560.0</v>
      </c>
      <c r="F3690" s="4">
        <v>39.0</v>
      </c>
      <c r="G3690" s="4" t="s">
        <v>6215</v>
      </c>
    </row>
    <row r="3691">
      <c r="A3691" s="1">
        <v>3689.0</v>
      </c>
      <c r="B3691" s="4" t="s">
        <v>6222</v>
      </c>
      <c r="C3691" s="4" t="str">
        <f>IFERROR(__xludf.DUMMYFUNCTION("GOOGLETRANSLATE(D:D,""auto"",""en"")"),"Greece to cancel the Olympic torch relay")</f>
        <v>Greece to cancel the Olympic torch relay</v>
      </c>
      <c r="D3691" s="4" t="s">
        <v>6277</v>
      </c>
      <c r="E3691" s="4">
        <v>6396357.0</v>
      </c>
      <c r="F3691" s="4">
        <v>40.0</v>
      </c>
      <c r="G3691" s="4" t="s">
        <v>6278</v>
      </c>
    </row>
    <row r="3692">
      <c r="A3692" s="1">
        <v>3690.0</v>
      </c>
      <c r="B3692" s="4" t="s">
        <v>6222</v>
      </c>
      <c r="C3692" s="4" t="str">
        <f>IFERROR(__xludf.DUMMYFUNCTION("GOOGLETRANSLATE(D:D,""auto"",""en"")"),"Police in love with fondue and advised women to commit suicide under")</f>
        <v>Police in love with fondue and advised women to commit suicide under</v>
      </c>
      <c r="D3692" s="4" t="s">
        <v>6279</v>
      </c>
      <c r="E3692" s="4">
        <v>6370571.0</v>
      </c>
      <c r="F3692" s="4">
        <v>41.0</v>
      </c>
      <c r="G3692" s="4" t="s">
        <v>6280</v>
      </c>
    </row>
    <row r="3693">
      <c r="A3693" s="1">
        <v>3691.0</v>
      </c>
      <c r="B3693" s="4" t="s">
        <v>6222</v>
      </c>
      <c r="C3693" s="4" t="str">
        <f>IFERROR(__xludf.DUMMYFUNCTION("GOOGLETRANSLATE(D:D,""auto"",""en"")"),"Brazilian President diagnosed with pneumonia new crown")</f>
        <v>Brazilian President diagnosed with pneumonia new crown</v>
      </c>
      <c r="D3693" s="4" t="s">
        <v>6281</v>
      </c>
      <c r="E3693" s="4">
        <v>6274981.0</v>
      </c>
      <c r="F3693" s="4">
        <v>42.0</v>
      </c>
      <c r="G3693" s="4" t="s">
        <v>6282</v>
      </c>
    </row>
    <row r="3694">
      <c r="A3694" s="1">
        <v>3692.0</v>
      </c>
      <c r="B3694" s="4" t="s">
        <v>6222</v>
      </c>
      <c r="C3694" s="4" t="str">
        <f>IFERROR(__xludf.DUMMYFUNCTION("GOOGLETRANSLATE(D:D,""auto"",""en"")"),"Procuratorial Daily Review Xiaozhan event")</f>
        <v>Procuratorial Daily Review Xiaozhan event</v>
      </c>
      <c r="D3694" s="4" t="s">
        <v>6154</v>
      </c>
      <c r="E3694" s="4">
        <v>6180940.0</v>
      </c>
      <c r="F3694" s="4">
        <v>43.0</v>
      </c>
      <c r="G3694" s="4" t="s">
        <v>6155</v>
      </c>
    </row>
    <row r="3695">
      <c r="A3695" s="1">
        <v>3693.0</v>
      </c>
      <c r="B3695" s="4" t="s">
        <v>6222</v>
      </c>
      <c r="C3695" s="4" t="str">
        <f>IFERROR(__xludf.DUMMYFUNCTION("GOOGLETRANSLATE(D:D,""auto"",""en"")"),"Yan Chen Linong value Huachen Yu Wang Junkai body becomes")</f>
        <v>Yan Chen Linong value Huachen Yu Wang Junkai body becomes</v>
      </c>
      <c r="D3695" s="4" t="s">
        <v>6283</v>
      </c>
      <c r="E3695" s="4">
        <v>6136702.0</v>
      </c>
      <c r="F3695" s="4">
        <v>44.0</v>
      </c>
      <c r="G3695" s="4" t="s">
        <v>6284</v>
      </c>
    </row>
    <row r="3696">
      <c r="A3696" s="1">
        <v>3694.0</v>
      </c>
      <c r="B3696" s="4" t="s">
        <v>6222</v>
      </c>
      <c r="C3696" s="4" t="str">
        <f>IFERROR(__xludf.DUMMYFUNCTION("GOOGLETRANSLATE(D:D,""auto"",""en"")"),"Curry did not dare cough")</f>
        <v>Curry did not dare cough</v>
      </c>
      <c r="D3696" s="4" t="s">
        <v>6285</v>
      </c>
      <c r="E3696" s="4">
        <v>6007321.0</v>
      </c>
      <c r="F3696" s="4">
        <v>45.0</v>
      </c>
      <c r="G3696" s="4" t="s">
        <v>6286</v>
      </c>
    </row>
    <row r="3697">
      <c r="A3697" s="1">
        <v>3695.0</v>
      </c>
      <c r="B3697" s="4" t="s">
        <v>6222</v>
      </c>
      <c r="C3697" s="4" t="str">
        <f>IFERROR(__xludf.DUMMYFUNCTION("GOOGLETRANSLATE(D:D,""auto"",""en"")"),"What Muya Lan said fullerene is")</f>
        <v>What Muya Lan said fullerene is</v>
      </c>
      <c r="D3697" s="4" t="s">
        <v>6287</v>
      </c>
      <c r="E3697" s="4">
        <v>6005251.0</v>
      </c>
      <c r="F3697" s="4">
        <v>46.0</v>
      </c>
      <c r="G3697" s="4" t="s">
        <v>6288</v>
      </c>
    </row>
    <row r="3698">
      <c r="A3698" s="1">
        <v>3696.0</v>
      </c>
      <c r="B3698" s="4" t="s">
        <v>6222</v>
      </c>
      <c r="C3698" s="4" t="str">
        <f>IFERROR(__xludf.DUMMYFUNCTION("GOOGLETRANSLATE(D:D,""auto"",""en"")"),"Italian newspaper Teng Chinese medical staff photo")</f>
        <v>Italian newspaper Teng Chinese medical staff photo</v>
      </c>
      <c r="D3698" s="4" t="s">
        <v>6182</v>
      </c>
      <c r="E3698" s="4">
        <v>5601716.0</v>
      </c>
      <c r="F3698" s="4">
        <v>47.0</v>
      </c>
      <c r="G3698" s="4" t="s">
        <v>6183</v>
      </c>
    </row>
    <row r="3699">
      <c r="A3699" s="1">
        <v>3697.0</v>
      </c>
      <c r="B3699" s="4" t="s">
        <v>6222</v>
      </c>
      <c r="C3699" s="4" t="str">
        <f>IFERROR(__xludf.DUMMYFUNCTION("GOOGLETRANSLATE(D:D,""auto"",""en"")"),"Chinese netizens whole record charter returned from Iran")</f>
        <v>Chinese netizens whole record charter returned from Iran</v>
      </c>
      <c r="D3699" s="4" t="s">
        <v>6178</v>
      </c>
      <c r="E3699" s="4">
        <v>5591723.0</v>
      </c>
      <c r="F3699" s="4">
        <v>48.0</v>
      </c>
      <c r="G3699" s="4" t="s">
        <v>6179</v>
      </c>
    </row>
    <row r="3700">
      <c r="A3700" s="1">
        <v>3698.0</v>
      </c>
      <c r="B3700" s="4" t="s">
        <v>6222</v>
      </c>
      <c r="C3700" s="4" t="str">
        <f>IFERROR(__xludf.DUMMYFUNCTION("GOOGLETRANSLATE(D:D,""auto"",""en"")"),"Jing Yi Ju challenge to eat bread")</f>
        <v>Jing Yi Ju challenge to eat bread</v>
      </c>
      <c r="D3700" s="4" t="s">
        <v>6081</v>
      </c>
      <c r="E3700" s="4">
        <v>5564219.0</v>
      </c>
      <c r="F3700" s="4">
        <v>49.0</v>
      </c>
      <c r="G3700" s="4" t="s">
        <v>6082</v>
      </c>
    </row>
    <row r="3701">
      <c r="A3701" s="1">
        <v>3699.0</v>
      </c>
      <c r="B3701" s="4" t="s">
        <v>6222</v>
      </c>
      <c r="C3701" s="4" t="str">
        <f>IFERROR(__xludf.DUMMYFUNCTION("GOOGLETRANSLATE(D:D,""auto"",""en"")"),"Lee now and BGM adaptation of the test")</f>
        <v>Lee now and BGM adaptation of the test</v>
      </c>
      <c r="D3701" s="4" t="s">
        <v>6289</v>
      </c>
      <c r="E3701" s="4">
        <v>5453321.0</v>
      </c>
      <c r="F3701" s="4">
        <v>50.0</v>
      </c>
      <c r="G3701" s="4" t="s">
        <v>6290</v>
      </c>
    </row>
    <row r="3702">
      <c r="A3702" s="1">
        <v>3700.0</v>
      </c>
      <c r="B3702" s="4" t="s">
        <v>6291</v>
      </c>
      <c r="C3702" s="4" t="str">
        <f>IFERROR(__xludf.DUMMYFUNCTION("GOOGLETRANSLATE(D:D,""auto"",""en"")"),"ZHANG Wen-hong said the epidemic has been basically impossible to end this summer")</f>
        <v>ZHANG Wen-hong said the epidemic has been basically impossible to end this summer</v>
      </c>
      <c r="D3702" s="4" t="s">
        <v>6292</v>
      </c>
      <c r="E3702" s="4">
        <v>1.3113349E7</v>
      </c>
      <c r="F3702" s="4">
        <v>1.0</v>
      </c>
      <c r="G3702" s="4" t="s">
        <v>6293</v>
      </c>
    </row>
    <row r="3703">
      <c r="A3703" s="1">
        <v>3701.0</v>
      </c>
      <c r="B3703" s="4" t="s">
        <v>6291</v>
      </c>
      <c r="C3703" s="4" t="str">
        <f>IFERROR(__xludf.DUMMYFUNCTION("GOOGLETRANSLATE(D:D,""auto"",""en"")"),"Wireless network password change after a neighbor asked")</f>
        <v>Wireless network password change after a neighbor asked</v>
      </c>
      <c r="D3703" s="4" t="s">
        <v>6294</v>
      </c>
      <c r="E3703" s="4">
        <v>1.2953106E7</v>
      </c>
      <c r="F3703" s="4">
        <v>2.0</v>
      </c>
      <c r="G3703" s="4" t="s">
        <v>6295</v>
      </c>
    </row>
    <row r="3704">
      <c r="A3704" s="1">
        <v>3702.0</v>
      </c>
      <c r="B3704" s="4" t="s">
        <v>6291</v>
      </c>
      <c r="C3704" s="4" t="str">
        <f>IFERROR(__xludf.DUMMYFUNCTION("GOOGLETRANSLATE(D:D,""auto"",""en"")"),"Zhang Weili talk about domestic violence")</f>
        <v>Zhang Weili talk about domestic violence</v>
      </c>
      <c r="D3704" s="4" t="s">
        <v>6296</v>
      </c>
      <c r="E3704" s="4">
        <v>1.1362693E7</v>
      </c>
      <c r="F3704" s="4">
        <v>3.0</v>
      </c>
      <c r="G3704" s="4" t="s">
        <v>6297</v>
      </c>
    </row>
    <row r="3705">
      <c r="A3705" s="1">
        <v>3703.0</v>
      </c>
      <c r="B3705" s="4" t="s">
        <v>6291</v>
      </c>
      <c r="C3705" s="4" t="str">
        <f>IFERROR(__xludf.DUMMYFUNCTION("GOOGLETRANSLATE(D:D,""auto"",""en"")"),"Luo watch live brush airplane")</f>
        <v>Luo watch live brush airplane</v>
      </c>
      <c r="D3705" s="4" t="s">
        <v>6298</v>
      </c>
      <c r="E3705" s="4">
        <v>9420441.0</v>
      </c>
      <c r="F3705" s="4">
        <v>4.0</v>
      </c>
      <c r="G3705" s="4" t="s">
        <v>6299</v>
      </c>
    </row>
    <row r="3706">
      <c r="A3706" s="1">
        <v>3704.0</v>
      </c>
      <c r="B3706" s="4" t="s">
        <v>6291</v>
      </c>
      <c r="C3706" s="4" t="str">
        <f>IFERROR(__xludf.DUMMYFUNCTION("GOOGLETRANSLATE(D:D,""auto"",""en"")"),"Add a new national crown 20 cases of pneumonia")</f>
        <v>Add a new national crown 20 cases of pneumonia</v>
      </c>
      <c r="D3706" s="4" t="s">
        <v>6300</v>
      </c>
      <c r="E3706" s="4">
        <v>9138709.0</v>
      </c>
      <c r="F3706" s="4">
        <v>5.0</v>
      </c>
      <c r="G3706" s="4" t="s">
        <v>6301</v>
      </c>
    </row>
    <row r="3707">
      <c r="A3707" s="1">
        <v>3705.0</v>
      </c>
      <c r="B3707" s="4" t="s">
        <v>6291</v>
      </c>
      <c r="C3707" s="4" t="str">
        <f>IFERROR(__xludf.DUMMYFUNCTION("GOOGLETRANSLATE(D:D,""auto"",""en"")"),"Trump's new crown virus test results were negative")</f>
        <v>Trump's new crown virus test results were negative</v>
      </c>
      <c r="D3707" s="4" t="s">
        <v>6302</v>
      </c>
      <c r="E3707" s="4">
        <v>8790757.0</v>
      </c>
      <c r="F3707" s="4">
        <v>6.0</v>
      </c>
      <c r="G3707" s="4" t="s">
        <v>6303</v>
      </c>
    </row>
    <row r="3708">
      <c r="A3708" s="1">
        <v>3706.0</v>
      </c>
      <c r="B3708" s="4" t="s">
        <v>6291</v>
      </c>
      <c r="C3708" s="4" t="str">
        <f>IFERROR(__xludf.DUMMYFUNCTION("GOOGLETRANSLATE(D:D,""auto"",""en"")"),"Professor Jiang Xi Agricultural grow canola flower color 38")</f>
        <v>Professor Jiang Xi Agricultural grow canola flower color 38</v>
      </c>
      <c r="D3708" s="4" t="s">
        <v>6304</v>
      </c>
      <c r="E3708" s="4">
        <v>8663997.0</v>
      </c>
      <c r="F3708" s="4">
        <v>7.0</v>
      </c>
      <c r="G3708" s="4" t="s">
        <v>6305</v>
      </c>
    </row>
    <row r="3709">
      <c r="A3709" s="1">
        <v>3707.0</v>
      </c>
      <c r="B3709" s="4" t="s">
        <v>6291</v>
      </c>
      <c r="C3709" s="4" t="str">
        <f>IFERROR(__xludf.DUMMYFUNCTION("GOOGLETRANSLATE(D:D,""auto"",""en"")"),"Pan was mad at your rain")</f>
        <v>Pan was mad at your rain</v>
      </c>
      <c r="D3709" s="4" t="s">
        <v>6306</v>
      </c>
      <c r="E3709" s="4">
        <v>8500756.0</v>
      </c>
      <c r="F3709" s="4">
        <v>8.0</v>
      </c>
      <c r="G3709" s="4" t="s">
        <v>6307</v>
      </c>
    </row>
    <row r="3710">
      <c r="A3710" s="1">
        <v>3708.0</v>
      </c>
      <c r="B3710" s="4" t="s">
        <v>6291</v>
      </c>
      <c r="C3710" s="4" t="str">
        <f>IFERROR(__xludf.DUMMYFUNCTION("GOOGLETRANSLATE(D:D,""auto"",""en"")"),"Wu large cherry live")</f>
        <v>Wu large cherry live</v>
      </c>
      <c r="D3710" s="4" t="s">
        <v>6308</v>
      </c>
      <c r="E3710" s="4">
        <v>8437723.0</v>
      </c>
      <c r="F3710" s="4">
        <v>9.0</v>
      </c>
      <c r="G3710" s="4" t="s">
        <v>6309</v>
      </c>
    </row>
    <row r="3711">
      <c r="A3711" s="1">
        <v>3709.0</v>
      </c>
      <c r="B3711" s="4" t="s">
        <v>6291</v>
      </c>
      <c r="C3711" s="4" t="str">
        <f>IFERROR(__xludf.DUMMYFUNCTION("GOOGLETRANSLATE(D:D,""auto"",""en"")"),"Five college students to save two drowning hand in hand")</f>
        <v>Five college students to save two drowning hand in hand</v>
      </c>
      <c r="D3711" s="4" t="s">
        <v>6310</v>
      </c>
      <c r="E3711" s="4">
        <v>8407673.0</v>
      </c>
      <c r="F3711" s="4">
        <v>10.0</v>
      </c>
      <c r="G3711" s="4" t="s">
        <v>6311</v>
      </c>
    </row>
    <row r="3712">
      <c r="A3712" s="1">
        <v>3710.0</v>
      </c>
      <c r="B3712" s="4" t="s">
        <v>6291</v>
      </c>
      <c r="C3712" s="4" t="str">
        <f>IFERROR(__xludf.DUMMYFUNCTION("GOOGLETRANSLATE(D:D,""auto"",""en"")"),"Beijing Xiaotangshan Hospital, all medical equipment in place")</f>
        <v>Beijing Xiaotangshan Hospital, all medical equipment in place</v>
      </c>
      <c r="D3712" s="4" t="s">
        <v>6312</v>
      </c>
      <c r="E3712" s="4">
        <v>8407261.0</v>
      </c>
      <c r="F3712" s="4">
        <v>11.0</v>
      </c>
      <c r="G3712" s="4" t="s">
        <v>6313</v>
      </c>
    </row>
    <row r="3713">
      <c r="A3713" s="1">
        <v>3711.0</v>
      </c>
      <c r="B3713" s="4" t="s">
        <v>6291</v>
      </c>
      <c r="C3713" s="4" t="str">
        <f>IFERROR(__xludf.DUMMYFUNCTION("GOOGLETRANSLATE(D:D,""auto"",""en"")"),"Lee now and BGM adaptation of the test")</f>
        <v>Lee now and BGM adaptation of the test</v>
      </c>
      <c r="D3713" s="4" t="s">
        <v>6289</v>
      </c>
      <c r="E3713" s="4">
        <v>8344478.0</v>
      </c>
      <c r="F3713" s="4">
        <v>12.0</v>
      </c>
      <c r="G3713" s="4" t="s">
        <v>6290</v>
      </c>
    </row>
    <row r="3714">
      <c r="A3714" s="1">
        <v>3712.0</v>
      </c>
      <c r="B3714" s="4" t="s">
        <v>6291</v>
      </c>
      <c r="C3714" s="4" t="str">
        <f>IFERROR(__xludf.DUMMYFUNCTION("GOOGLETRANSLATE(D:D,""auto"",""en"")"),"Medina was Jiang Chao stunts")</f>
        <v>Medina was Jiang Chao stunts</v>
      </c>
      <c r="D3714" s="4" t="s">
        <v>6314</v>
      </c>
      <c r="E3714" s="4">
        <v>8336521.0</v>
      </c>
      <c r="F3714" s="4">
        <v>13.0</v>
      </c>
      <c r="G3714" s="4" t="s">
        <v>6315</v>
      </c>
    </row>
    <row r="3715">
      <c r="A3715" s="1">
        <v>3713.0</v>
      </c>
      <c r="B3715" s="4" t="s">
        <v>6291</v>
      </c>
      <c r="C3715" s="4" t="str">
        <f>IFERROR(__xludf.DUMMYFUNCTION("GOOGLETRANSLATE(D:D,""auto"",""en"")"),"Song Zhongji Song Hye Kyo original marriage room down and build a new building")</f>
        <v>Song Zhongji Song Hye Kyo original marriage room down and build a new building</v>
      </c>
      <c r="D3715" s="4" t="s">
        <v>6184</v>
      </c>
      <c r="E3715" s="4">
        <v>8312930.0</v>
      </c>
      <c r="F3715" s="4">
        <v>14.0</v>
      </c>
      <c r="G3715" s="4" t="s">
        <v>6185</v>
      </c>
    </row>
    <row r="3716">
      <c r="A3716" s="1">
        <v>3714.0</v>
      </c>
      <c r="B3716" s="4" t="s">
        <v>6291</v>
      </c>
      <c r="C3716" s="4" t="str">
        <f>IFERROR(__xludf.DUMMYFUNCTION("GOOGLETRANSLATE(D:D,""auto"",""en"")"),"Lang Yi Jing Ju stomach cents imitate eat bread")</f>
        <v>Lang Yi Jing Ju stomach cents imitate eat bread</v>
      </c>
      <c r="D3716" s="4" t="s">
        <v>6223</v>
      </c>
      <c r="E3716" s="4">
        <v>8261764.0</v>
      </c>
      <c r="F3716" s="4">
        <v>15.0</v>
      </c>
      <c r="G3716" s="4" t="s">
        <v>6224</v>
      </c>
    </row>
    <row r="3717">
      <c r="A3717" s="1">
        <v>3715.0</v>
      </c>
      <c r="B3717" s="4" t="s">
        <v>6291</v>
      </c>
      <c r="C3717" s="4" t="str">
        <f>IFERROR(__xludf.DUMMYFUNCTION("GOOGLETRANSLATE(D:D,""auto"",""en"")"),"Showed off new tricks")</f>
        <v>Showed off new tricks</v>
      </c>
      <c r="D3717" s="4" t="s">
        <v>6172</v>
      </c>
      <c r="E3717" s="4">
        <v>8107261.0</v>
      </c>
      <c r="F3717" s="4">
        <v>16.0</v>
      </c>
      <c r="G3717" s="4" t="s">
        <v>6173</v>
      </c>
    </row>
    <row r="3718">
      <c r="A3718" s="1">
        <v>3716.0</v>
      </c>
      <c r="B3718" s="4" t="s">
        <v>6291</v>
      </c>
      <c r="C3718" s="4" t="str">
        <f>IFERROR(__xludf.DUMMYFUNCTION("GOOGLETRANSLATE(D:D,""auto"",""en"")"),"315")</f>
        <v>315</v>
      </c>
      <c r="D3718" s="4" t="s">
        <v>6316</v>
      </c>
      <c r="E3718" s="4">
        <v>7943364.0</v>
      </c>
      <c r="F3718" s="4">
        <v>17.0</v>
      </c>
      <c r="G3718" s="4" t="s">
        <v>6317</v>
      </c>
    </row>
    <row r="3719">
      <c r="A3719" s="1">
        <v>3717.0</v>
      </c>
      <c r="B3719" s="4" t="s">
        <v>6291</v>
      </c>
      <c r="C3719" s="4" t="str">
        <f>IFERROR(__xludf.DUMMYFUNCTION("GOOGLETRANSLATE(D:D,""auto"",""en"")"),"Italy new cases of 3497 cases")</f>
        <v>Italy new cases of 3497 cases</v>
      </c>
      <c r="D3719" s="4" t="s">
        <v>6318</v>
      </c>
      <c r="E3719" s="4">
        <v>7905477.0</v>
      </c>
      <c r="F3719" s="4">
        <v>18.0</v>
      </c>
      <c r="G3719" s="4" t="s">
        <v>6319</v>
      </c>
    </row>
    <row r="3720">
      <c r="A3720" s="1">
        <v>3718.0</v>
      </c>
      <c r="B3720" s="4" t="s">
        <v>6291</v>
      </c>
      <c r="C3720" s="4" t="str">
        <f>IFERROR(__xludf.DUMMYFUNCTION("GOOGLETRANSLATE(D:D,""auto"",""en"")"),"Zhang Weili respond mouth gun question")</f>
        <v>Zhang Weili respond mouth gun question</v>
      </c>
      <c r="D3720" s="4" t="s">
        <v>6320</v>
      </c>
      <c r="E3720" s="4">
        <v>7790861.0</v>
      </c>
      <c r="F3720" s="4">
        <v>19.0</v>
      </c>
      <c r="G3720" s="4" t="s">
        <v>6321</v>
      </c>
    </row>
    <row r="3721">
      <c r="A3721" s="1">
        <v>3719.0</v>
      </c>
      <c r="B3721" s="4" t="s">
        <v>6291</v>
      </c>
      <c r="C3721" s="4" t="str">
        <f>IFERROR(__xludf.DUMMYFUNCTION("GOOGLETRANSLATE(D:D,""auto"",""en"")"),"Britain will self-segregation 70 years old")</f>
        <v>Britain will self-segregation 70 years old</v>
      </c>
      <c r="D3721" s="4" t="s">
        <v>6322</v>
      </c>
      <c r="E3721" s="4">
        <v>7743818.0</v>
      </c>
      <c r="F3721" s="4">
        <v>20.0</v>
      </c>
      <c r="G3721" s="4" t="s">
        <v>6323</v>
      </c>
    </row>
    <row r="3722">
      <c r="A3722" s="1">
        <v>3720.0</v>
      </c>
      <c r="B3722" s="4" t="s">
        <v>6291</v>
      </c>
      <c r="C3722" s="4" t="str">
        <f>IFERROR(__xludf.DUMMYFUNCTION("GOOGLETRANSLATE(D:D,""auto"",""en"")"),"In the end is the EGM or EDM")</f>
        <v>In the end is the EGM or EDM</v>
      </c>
      <c r="D3722" s="4" t="s">
        <v>6324</v>
      </c>
      <c r="E3722" s="4">
        <v>7735722.0</v>
      </c>
      <c r="F3722" s="4">
        <v>21.0</v>
      </c>
      <c r="G3722" s="4" t="s">
        <v>6325</v>
      </c>
    </row>
    <row r="3723">
      <c r="A3723" s="1">
        <v>3721.0</v>
      </c>
      <c r="B3723" s="4" t="s">
        <v>6291</v>
      </c>
      <c r="C3723" s="4" t="str">
        <f>IFERROR(__xludf.DUMMYFUNCTION("GOOGLETRANSLATE(D:D,""auto"",""en"")"),"dou Hey Little Ant")</f>
        <v>dou Hey Little Ant</v>
      </c>
      <c r="D3723" s="4" t="s">
        <v>6326</v>
      </c>
      <c r="E3723" s="4">
        <v>7603412.0</v>
      </c>
      <c r="F3723" s="4">
        <v>22.0</v>
      </c>
      <c r="G3723" s="4" t="s">
        <v>6327</v>
      </c>
    </row>
    <row r="3724">
      <c r="A3724" s="1">
        <v>3722.0</v>
      </c>
      <c r="B3724" s="4" t="s">
        <v>6291</v>
      </c>
      <c r="C3724" s="4" t="str">
        <f>IFERROR(__xludf.DUMMYFUNCTION("GOOGLETRANSLATE(D:D,""auto"",""en"")"),"Overseas return home to hide the fact that four people detained in Henan Jiaozuo")</f>
        <v>Overseas return home to hide the fact that four people detained in Henan Jiaozuo</v>
      </c>
      <c r="D3724" s="4" t="s">
        <v>6328</v>
      </c>
      <c r="E3724" s="4">
        <v>7531967.0</v>
      </c>
      <c r="F3724" s="4">
        <v>23.0</v>
      </c>
      <c r="G3724" s="4" t="s">
        <v>6329</v>
      </c>
    </row>
    <row r="3725">
      <c r="A3725" s="1">
        <v>3723.0</v>
      </c>
      <c r="B3725" s="4" t="s">
        <v>6291</v>
      </c>
      <c r="C3725" s="4" t="str">
        <f>IFERROR(__xludf.DUMMYFUNCTION("GOOGLETRANSLATE(D:D,""auto"",""en"")"),"Li Yi Feng mopping the floor with the money dance")</f>
        <v>Li Yi Feng mopping the floor with the money dance</v>
      </c>
      <c r="D3725" s="4" t="s">
        <v>6249</v>
      </c>
      <c r="E3725" s="4">
        <v>7503625.0</v>
      </c>
      <c r="F3725" s="4">
        <v>24.0</v>
      </c>
      <c r="G3725" s="4" t="s">
        <v>6250</v>
      </c>
    </row>
    <row r="3726">
      <c r="A3726" s="1">
        <v>3724.0</v>
      </c>
      <c r="B3726" s="4" t="s">
        <v>6291</v>
      </c>
      <c r="C3726" s="4" t="str">
        <f>IFERROR(__xludf.DUMMYFUNCTION("GOOGLETRANSLATE(D:D,""auto"",""en"")"),"Wang Ziwen long hair")</f>
        <v>Wang Ziwen long hair</v>
      </c>
      <c r="D3726" s="4" t="s">
        <v>6330</v>
      </c>
      <c r="E3726" s="4">
        <v>7448410.0</v>
      </c>
      <c r="F3726" s="4">
        <v>25.0</v>
      </c>
      <c r="G3726" s="4" t="s">
        <v>6331</v>
      </c>
    </row>
    <row r="3727">
      <c r="A3727" s="1">
        <v>3725.0</v>
      </c>
      <c r="B3727" s="4" t="s">
        <v>6291</v>
      </c>
      <c r="C3727" s="4" t="str">
        <f>IFERROR(__xludf.DUMMYFUNCTION("GOOGLETRANSLATE(D:D,""auto"",""en"")"),"Spanish Prime Minister wife has been diagnosed with pneumonia new crown")</f>
        <v>Spanish Prime Minister wife has been diagnosed with pneumonia new crown</v>
      </c>
      <c r="D3727" s="4" t="s">
        <v>6332</v>
      </c>
      <c r="E3727" s="4">
        <v>7436727.0</v>
      </c>
      <c r="F3727" s="4">
        <v>26.0</v>
      </c>
      <c r="G3727" s="4" t="s">
        <v>6333</v>
      </c>
    </row>
    <row r="3728">
      <c r="A3728" s="1">
        <v>3726.0</v>
      </c>
      <c r="B3728" s="4" t="s">
        <v>6291</v>
      </c>
      <c r="C3728" s="4" t="str">
        <f>IFERROR(__xludf.DUMMYFUNCTION("GOOGLETRANSLATE(D:D,""auto"",""en"")"),"Beijing new offshore enter 5 cases")</f>
        <v>Beijing new offshore enter 5 cases</v>
      </c>
      <c r="D3728" s="4" t="s">
        <v>6334</v>
      </c>
      <c r="E3728" s="4">
        <v>7432235.0</v>
      </c>
      <c r="F3728" s="4">
        <v>27.0</v>
      </c>
      <c r="G3728" s="4" t="s">
        <v>6335</v>
      </c>
    </row>
    <row r="3729">
      <c r="A3729" s="1">
        <v>3727.0</v>
      </c>
      <c r="B3729" s="4" t="s">
        <v>6291</v>
      </c>
      <c r="C3729" s="4" t="str">
        <f>IFERROR(__xludf.DUMMYFUNCTION("GOOGLETRANSLATE(D:D,""auto"",""en"")"),"Italy added one case of imported cases Shanghai")</f>
        <v>Italy added one case of imported cases Shanghai</v>
      </c>
      <c r="D3729" s="4" t="s">
        <v>6336</v>
      </c>
      <c r="E3729" s="4">
        <v>7431991.0</v>
      </c>
      <c r="F3729" s="4">
        <v>28.0</v>
      </c>
      <c r="G3729" s="4" t="s">
        <v>6337</v>
      </c>
    </row>
    <row r="3730">
      <c r="A3730" s="1">
        <v>3728.0</v>
      </c>
      <c r="B3730" s="4" t="s">
        <v>6291</v>
      </c>
      <c r="C3730" s="4" t="str">
        <f>IFERROR(__xludf.DUMMYFUNCTION("GOOGLETRANSLATE(D:D,""auto"",""en"")"),"The new crown diagnosed 61,518 cases of pneumonia outside of China")</f>
        <v>The new crown diagnosed 61,518 cases of pneumonia outside of China</v>
      </c>
      <c r="D3730" s="4" t="s">
        <v>6338</v>
      </c>
      <c r="E3730" s="4">
        <v>7431495.0</v>
      </c>
      <c r="F3730" s="4">
        <v>29.0</v>
      </c>
      <c r="G3730" s="4" t="s">
        <v>6339</v>
      </c>
    </row>
    <row r="3731">
      <c r="A3731" s="1">
        <v>3729.0</v>
      </c>
      <c r="B3731" s="4" t="s">
        <v>6291</v>
      </c>
      <c r="C3731" s="4" t="str">
        <f>IFERROR(__xludf.DUMMYFUNCTION("GOOGLETRANSLATE(D:D,""auto"",""en"")"),"Iranian Vice President female rehabilitation")</f>
        <v>Iranian Vice President female rehabilitation</v>
      </c>
      <c r="D3731" s="4" t="s">
        <v>6340</v>
      </c>
      <c r="E3731" s="4">
        <v>7431367.0</v>
      </c>
      <c r="F3731" s="4">
        <v>30.0</v>
      </c>
      <c r="G3731" s="4" t="s">
        <v>6341</v>
      </c>
    </row>
    <row r="3732">
      <c r="A3732" s="1">
        <v>3730.0</v>
      </c>
      <c r="B3732" s="4" t="s">
        <v>6291</v>
      </c>
      <c r="C3732" s="4" t="str">
        <f>IFERROR(__xludf.DUMMYFUNCTION("GOOGLETRANSLATE(D:D,""auto"",""en"")"),"Nazha contrived performances")</f>
        <v>Nazha contrived performances</v>
      </c>
      <c r="D3732" s="4" t="s">
        <v>6342</v>
      </c>
      <c r="E3732" s="4">
        <v>7431362.0</v>
      </c>
      <c r="F3732" s="4">
        <v>31.0</v>
      </c>
      <c r="G3732" s="4" t="s">
        <v>6343</v>
      </c>
    </row>
    <row r="3733">
      <c r="A3733" s="1">
        <v>3731.0</v>
      </c>
      <c r="B3733" s="4" t="s">
        <v>6291</v>
      </c>
      <c r="C3733" s="4" t="str">
        <f>IFERROR(__xludf.DUMMYFUNCTION("GOOGLETRANSLATE(D:D,""auto"",""en"")"),"Q. Xin Wang and daughter warm heart Chorus")</f>
        <v>Q. Xin Wang and daughter warm heart Chorus</v>
      </c>
      <c r="D3733" s="4" t="s">
        <v>6344</v>
      </c>
      <c r="E3733" s="4">
        <v>7431362.0</v>
      </c>
      <c r="F3733" s="4">
        <v>32.0</v>
      </c>
      <c r="G3733" s="4" t="s">
        <v>6345</v>
      </c>
    </row>
    <row r="3734">
      <c r="A3734" s="1">
        <v>3732.0</v>
      </c>
      <c r="B3734" s="4" t="s">
        <v>6291</v>
      </c>
      <c r="C3734" s="4" t="str">
        <f>IFERROR(__xludf.DUMMYFUNCTION("GOOGLETRANSLATE(D:D,""auto"",""en"")"),"Screening new crown pneumonia detect early lung cancer")</f>
        <v>Screening new crown pneumonia detect early lung cancer</v>
      </c>
      <c r="D3734" s="4" t="s">
        <v>6346</v>
      </c>
      <c r="E3734" s="4">
        <v>7431362.0</v>
      </c>
      <c r="F3734" s="4">
        <v>33.0</v>
      </c>
      <c r="G3734" s="4" t="s">
        <v>6347</v>
      </c>
    </row>
    <row r="3735">
      <c r="A3735" s="1">
        <v>3733.0</v>
      </c>
      <c r="B3735" s="4" t="s">
        <v>6291</v>
      </c>
      <c r="C3735" s="4" t="str">
        <f>IFERROR(__xludf.DUMMYFUNCTION("GOOGLETRANSLATE(D:D,""auto"",""en"")"),"Anthem sounded over Rome")</f>
        <v>Anthem sounded over Rome</v>
      </c>
      <c r="D3735" s="4" t="s">
        <v>6348</v>
      </c>
      <c r="E3735" s="4">
        <v>7431362.0</v>
      </c>
      <c r="F3735" s="4">
        <v>34.0</v>
      </c>
      <c r="G3735" s="4" t="s">
        <v>6349</v>
      </c>
    </row>
    <row r="3736">
      <c r="A3736" s="1">
        <v>3734.0</v>
      </c>
      <c r="B3736" s="4" t="s">
        <v>6291</v>
      </c>
      <c r="C3736" s="4" t="str">
        <f>IFERROR(__xludf.DUMMYFUNCTION("GOOGLETRANSLATE(D:D,""auto"",""en"")"),"AC teach dance Sundance Kid")</f>
        <v>AC teach dance Sundance Kid</v>
      </c>
      <c r="D3736" s="4" t="s">
        <v>6350</v>
      </c>
      <c r="E3736" s="4">
        <v>7430815.0</v>
      </c>
      <c r="F3736" s="4">
        <v>35.0</v>
      </c>
      <c r="G3736" s="4" t="s">
        <v>6351</v>
      </c>
    </row>
    <row r="3737">
      <c r="A3737" s="1">
        <v>3735.0</v>
      </c>
      <c r="B3737" s="4" t="s">
        <v>6291</v>
      </c>
      <c r="C3737" s="4" t="str">
        <f>IFERROR(__xludf.DUMMYFUNCTION("GOOGLETRANSLATE(D:D,""auto"",""en"")"),"Gem Laojiu then respond copyright controversy")</f>
        <v>Gem Laojiu then respond copyright controversy</v>
      </c>
      <c r="D3737" s="4" t="s">
        <v>6241</v>
      </c>
      <c r="E3737" s="4">
        <v>7395050.0</v>
      </c>
      <c r="F3737" s="4">
        <v>36.0</v>
      </c>
      <c r="G3737" s="4" t="s">
        <v>6242</v>
      </c>
    </row>
    <row r="3738">
      <c r="A3738" s="1">
        <v>3736.0</v>
      </c>
      <c r="B3738" s="4" t="s">
        <v>6291</v>
      </c>
      <c r="C3738" s="4" t="str">
        <f>IFERROR(__xludf.DUMMYFUNCTION("GOOGLETRANSLATE(D:D,""auto"",""en"")"),"Zhang Weili talk Joanna plastic")</f>
        <v>Zhang Weili talk Joanna plastic</v>
      </c>
      <c r="D3738" s="4" t="s">
        <v>6352</v>
      </c>
      <c r="E3738" s="4">
        <v>7322372.0</v>
      </c>
      <c r="F3738" s="4">
        <v>37.0</v>
      </c>
      <c r="G3738" s="4" t="s">
        <v>6353</v>
      </c>
    </row>
    <row r="3739">
      <c r="A3739" s="1">
        <v>3737.0</v>
      </c>
      <c r="B3739" s="4" t="s">
        <v>6291</v>
      </c>
      <c r="C3739" s="4" t="str">
        <f>IFERROR(__xludf.DUMMYFUNCTION("GOOGLETRANSLATE(D:D,""auto"",""en"")"),"Guangdong a mixer rollover car crushed")</f>
        <v>Guangdong a mixer rollover car crushed</v>
      </c>
      <c r="D3739" s="4" t="s">
        <v>6354</v>
      </c>
      <c r="E3739" s="4">
        <v>7294515.0</v>
      </c>
      <c r="F3739" s="4">
        <v>38.0</v>
      </c>
      <c r="G3739" s="4" t="s">
        <v>6355</v>
      </c>
    </row>
    <row r="3740">
      <c r="A3740" s="1">
        <v>3738.0</v>
      </c>
      <c r="B3740" s="4" t="s">
        <v>6291</v>
      </c>
      <c r="C3740" s="4" t="str">
        <f>IFERROR(__xludf.DUMMYFUNCTION("GOOGLETRANSLATE(D:D,""auto"",""en"")"),"Q. Xin Wang sing wall of Tucao wife")</f>
        <v>Q. Xin Wang sing wall of Tucao wife</v>
      </c>
      <c r="D3740" s="4" t="s">
        <v>6356</v>
      </c>
      <c r="E3740" s="4">
        <v>7114983.0</v>
      </c>
      <c r="F3740" s="4">
        <v>39.0</v>
      </c>
      <c r="G3740" s="4" t="s">
        <v>6357</v>
      </c>
    </row>
    <row r="3741">
      <c r="A3741" s="1">
        <v>3739.0</v>
      </c>
      <c r="B3741" s="4" t="s">
        <v>6291</v>
      </c>
      <c r="C3741" s="4" t="str">
        <f>IFERROR(__xludf.DUMMYFUNCTION("GOOGLETRANSLATE(D:D,""auto"",""en"")"),"Kids Do you have a lot of question marks")</f>
        <v>Kids Do you have a lot of question marks</v>
      </c>
      <c r="D3741" s="4" t="s">
        <v>6358</v>
      </c>
      <c r="E3741" s="4">
        <v>7093275.0</v>
      </c>
      <c r="F3741" s="4">
        <v>40.0</v>
      </c>
      <c r="G3741" s="4" t="s">
        <v>6359</v>
      </c>
    </row>
    <row r="3742">
      <c r="A3742" s="1">
        <v>3740.0</v>
      </c>
      <c r="B3742" s="4" t="s">
        <v>6291</v>
      </c>
      <c r="C3742" s="4" t="str">
        <f>IFERROR(__xludf.DUMMYFUNCTION("GOOGLETRANSLATE(D:D,""auto"",""en"")"),"Procuratorial Daily Review Xiaozhan event")</f>
        <v>Procuratorial Daily Review Xiaozhan event</v>
      </c>
      <c r="D3742" s="4" t="s">
        <v>6154</v>
      </c>
      <c r="E3742" s="4">
        <v>6821569.0</v>
      </c>
      <c r="F3742" s="4">
        <v>41.0</v>
      </c>
      <c r="G3742" s="4" t="s">
        <v>6155</v>
      </c>
    </row>
    <row r="3743">
      <c r="A3743" s="1">
        <v>3741.0</v>
      </c>
      <c r="B3743" s="4" t="s">
        <v>6291</v>
      </c>
      <c r="C3743" s="4" t="str">
        <f>IFERROR(__xludf.DUMMYFUNCTION("GOOGLETRANSLATE(D:D,""auto"",""en"")"),"Iran's new crown new cases of pneumonia in 1209 cases")</f>
        <v>Iran's new crown new cases of pneumonia in 1209 cases</v>
      </c>
      <c r="D3743" s="4" t="s">
        <v>6360</v>
      </c>
      <c r="E3743" s="4">
        <v>6807263.0</v>
      </c>
      <c r="F3743" s="4">
        <v>42.0</v>
      </c>
      <c r="G3743" s="4" t="s">
        <v>6361</v>
      </c>
    </row>
    <row r="3744">
      <c r="A3744" s="1">
        <v>3742.0</v>
      </c>
      <c r="B3744" s="4" t="s">
        <v>6291</v>
      </c>
      <c r="C3744" s="4" t="str">
        <f>IFERROR(__xludf.DUMMYFUNCTION("GOOGLETRANSLATE(D:D,""auto"",""en"")"),"Zhang Weili water intoxication defending ago")</f>
        <v>Zhang Weili water intoxication defending ago</v>
      </c>
      <c r="D3744" s="4" t="s">
        <v>6362</v>
      </c>
      <c r="E3744" s="4">
        <v>6784781.0</v>
      </c>
      <c r="F3744" s="4">
        <v>43.0</v>
      </c>
      <c r="G3744" s="4" t="s">
        <v>6363</v>
      </c>
    </row>
    <row r="3745">
      <c r="A3745" s="1">
        <v>3743.0</v>
      </c>
      <c r="B3745" s="4" t="s">
        <v>6291</v>
      </c>
      <c r="C3745" s="4" t="str">
        <f>IFERROR(__xludf.DUMMYFUNCTION("GOOGLETRANSLATE(D:D,""auto"",""en"")"),"The whole network the most difficult challenge thumb Long Jump")</f>
        <v>The whole network the most difficult challenge thumb Long Jump</v>
      </c>
      <c r="D3745" s="4" t="s">
        <v>6170</v>
      </c>
      <c r="E3745" s="4">
        <v>6781925.0</v>
      </c>
      <c r="F3745" s="4">
        <v>44.0</v>
      </c>
      <c r="G3745" s="4" t="s">
        <v>6171</v>
      </c>
    </row>
    <row r="3746">
      <c r="A3746" s="1">
        <v>3744.0</v>
      </c>
      <c r="B3746" s="4" t="s">
        <v>6291</v>
      </c>
      <c r="C3746" s="4" t="str">
        <f>IFERROR(__xludf.DUMMYFUNCTION("GOOGLETRANSLATE(D:D,""auto"",""en"")"),"Lang Xian stomach Falling everything Jieke ice cream")</f>
        <v>Lang Xian stomach Falling everything Jieke ice cream</v>
      </c>
      <c r="D3746" s="4" t="s">
        <v>6164</v>
      </c>
      <c r="E3746" s="4">
        <v>6771841.0</v>
      </c>
      <c r="F3746" s="4">
        <v>45.0</v>
      </c>
      <c r="G3746" s="4" t="s">
        <v>6165</v>
      </c>
    </row>
    <row r="3747">
      <c r="A3747" s="1">
        <v>3745.0</v>
      </c>
      <c r="B3747" s="4" t="s">
        <v>6291</v>
      </c>
      <c r="C3747" s="4" t="str">
        <f>IFERROR(__xludf.DUMMYFUNCTION("GOOGLETRANSLATE(D:D,""auto"",""en"")"),"The country's 11 provinces existing confirmed cases cleared")</f>
        <v>The country's 11 provinces existing confirmed cases cleared</v>
      </c>
      <c r="D3747" s="4" t="s">
        <v>6364</v>
      </c>
      <c r="E3747" s="4">
        <v>6689113.0</v>
      </c>
      <c r="F3747" s="4">
        <v>46.0</v>
      </c>
      <c r="G3747" s="4" t="s">
        <v>6365</v>
      </c>
    </row>
    <row r="3748">
      <c r="A3748" s="1">
        <v>3746.0</v>
      </c>
      <c r="B3748" s="4" t="s">
        <v>6291</v>
      </c>
      <c r="C3748" s="4" t="str">
        <f>IFERROR(__xludf.DUMMYFUNCTION("GOOGLETRANSLATE(D:D,""auto"",""en"")"),"Guocong Ming live sound crazy rescue")</f>
        <v>Guocong Ming live sound crazy rescue</v>
      </c>
      <c r="D3748" s="4" t="s">
        <v>6366</v>
      </c>
      <c r="E3748" s="4">
        <v>6620929.0</v>
      </c>
      <c r="F3748" s="4">
        <v>47.0</v>
      </c>
      <c r="G3748" s="4" t="s">
        <v>6367</v>
      </c>
    </row>
    <row r="3749">
      <c r="A3749" s="1">
        <v>3747.0</v>
      </c>
      <c r="B3749" s="4" t="s">
        <v>6291</v>
      </c>
      <c r="C3749" s="4" t="str">
        <f>IFERROR(__xludf.DUMMYFUNCTION("GOOGLETRANSLATE(D:D,""auto"",""en"")"),"Yan Chen Linong value Huachen Yu Wang Junkai body becomes")</f>
        <v>Yan Chen Linong value Huachen Yu Wang Junkai body becomes</v>
      </c>
      <c r="D3749" s="4" t="s">
        <v>6283</v>
      </c>
      <c r="E3749" s="4">
        <v>6613501.0</v>
      </c>
      <c r="F3749" s="4">
        <v>48.0</v>
      </c>
      <c r="G3749" s="4" t="s">
        <v>6284</v>
      </c>
    </row>
    <row r="3750">
      <c r="A3750" s="1">
        <v>3748.0</v>
      </c>
      <c r="B3750" s="4" t="s">
        <v>6291</v>
      </c>
      <c r="C3750" s="4" t="str">
        <f>IFERROR(__xludf.DUMMYFUNCTION("GOOGLETRANSLATE(D:D,""auto"",""en"")"),"Xiaogan police informed communities girl death")</f>
        <v>Xiaogan police informed communities girl death</v>
      </c>
      <c r="D3750" s="4" t="s">
        <v>6368</v>
      </c>
      <c r="E3750" s="4">
        <v>6605558.0</v>
      </c>
      <c r="F3750" s="4">
        <v>49.0</v>
      </c>
      <c r="G3750" s="4" t="s">
        <v>6369</v>
      </c>
    </row>
    <row r="3751">
      <c r="A3751" s="1">
        <v>3749.0</v>
      </c>
      <c r="B3751" s="4" t="s">
        <v>6291</v>
      </c>
      <c r="C3751" s="4" t="str">
        <f>IFERROR(__xludf.DUMMYFUNCTION("GOOGLETRANSLATE(D:D,""auto"",""en"")"),"NBA star Mitchell made a video snapshots")</f>
        <v>NBA star Mitchell made a video snapshots</v>
      </c>
      <c r="D3751" s="4" t="s">
        <v>6370</v>
      </c>
      <c r="E3751" s="4">
        <v>6592010.0</v>
      </c>
      <c r="F3751" s="4">
        <v>50.0</v>
      </c>
      <c r="G3751" s="4" t="s">
        <v>6371</v>
      </c>
    </row>
    <row r="3752">
      <c r="A3752" s="1">
        <v>3750.0</v>
      </c>
      <c r="B3752" s="4" t="s">
        <v>6372</v>
      </c>
      <c r="C3752" s="4" t="str">
        <f>IFERROR(__xludf.DUMMYFUNCTION("GOOGLETRANSLATE(D:D,""auto"",""en"")"),"Wireless network password change after a neighbor asked")</f>
        <v>Wireless network password change after a neighbor asked</v>
      </c>
      <c r="D3752" s="4" t="s">
        <v>6294</v>
      </c>
      <c r="E3752" s="4">
        <v>2.4143708E7</v>
      </c>
      <c r="F3752" s="4">
        <v>1.0</v>
      </c>
      <c r="G3752" s="4" t="s">
        <v>6295</v>
      </c>
    </row>
    <row r="3753">
      <c r="A3753" s="1">
        <v>3751.0</v>
      </c>
      <c r="B3753" s="4" t="s">
        <v>6372</v>
      </c>
      <c r="C3753" s="4" t="str">
        <f>IFERROR(__xludf.DUMMYFUNCTION("GOOGLETRANSLATE(D:D,""auto"",""en"")"),"ZHANG Wen-hong said the epidemic has been basically impossible to end this summer")</f>
        <v>ZHANG Wen-hong said the epidemic has been basically impossible to end this summer</v>
      </c>
      <c r="D3753" s="4" t="s">
        <v>6292</v>
      </c>
      <c r="E3753" s="4">
        <v>1.944864E7</v>
      </c>
      <c r="F3753" s="4">
        <v>2.0</v>
      </c>
      <c r="G3753" s="4" t="s">
        <v>6293</v>
      </c>
    </row>
    <row r="3754">
      <c r="A3754" s="1">
        <v>3752.0</v>
      </c>
      <c r="B3754" s="4" t="s">
        <v>6372</v>
      </c>
      <c r="C3754" s="4" t="str">
        <f>IFERROR(__xludf.DUMMYFUNCTION("GOOGLETRANSLATE(D:D,""auto"",""en"")"),"Zhang Weili talk about domestic violence")</f>
        <v>Zhang Weili talk about domestic violence</v>
      </c>
      <c r="D3754" s="4" t="s">
        <v>6296</v>
      </c>
      <c r="E3754" s="4">
        <v>1.7971575E7</v>
      </c>
      <c r="F3754" s="4">
        <v>3.0</v>
      </c>
      <c r="G3754" s="4" t="s">
        <v>6297</v>
      </c>
    </row>
    <row r="3755">
      <c r="A3755" s="1">
        <v>3753.0</v>
      </c>
      <c r="B3755" s="4" t="s">
        <v>6372</v>
      </c>
      <c r="C3755" s="4" t="str">
        <f>IFERROR(__xludf.DUMMYFUNCTION("GOOGLETRANSLATE(D:D,""auto"",""en"")"),"Wu large cherry live")</f>
        <v>Wu large cherry live</v>
      </c>
      <c r="D3755" s="4" t="s">
        <v>6308</v>
      </c>
      <c r="E3755" s="4">
        <v>1.6833057E7</v>
      </c>
      <c r="F3755" s="4">
        <v>4.0</v>
      </c>
      <c r="G3755" s="4" t="s">
        <v>6309</v>
      </c>
    </row>
    <row r="3756">
      <c r="A3756" s="1">
        <v>3754.0</v>
      </c>
      <c r="B3756" s="4" t="s">
        <v>6372</v>
      </c>
      <c r="C3756" s="4" t="str">
        <f>IFERROR(__xludf.DUMMYFUNCTION("GOOGLETRANSLATE(D:D,""auto"",""en"")"),"The national new 16 cases of pneumonia new crown")</f>
        <v>The national new 16 cases of pneumonia new crown</v>
      </c>
      <c r="D3756" s="4" t="s">
        <v>6373</v>
      </c>
      <c r="E3756" s="4">
        <v>1.6276972E7</v>
      </c>
      <c r="F3756" s="4">
        <v>5.0</v>
      </c>
      <c r="G3756" s="4" t="s">
        <v>6374</v>
      </c>
    </row>
    <row r="3757">
      <c r="A3757" s="1">
        <v>3755.0</v>
      </c>
      <c r="B3757" s="4" t="s">
        <v>6372</v>
      </c>
      <c r="C3757" s="4" t="str">
        <f>IFERROR(__xludf.DUMMYFUNCTION("GOOGLETRANSLATE(D:D,""auto"",""en"")"),"Guocong Ming live sound crazy rescue")</f>
        <v>Guocong Ming live sound crazy rescue</v>
      </c>
      <c r="D3757" s="4" t="s">
        <v>6366</v>
      </c>
      <c r="E3757" s="4">
        <v>1.4789752E7</v>
      </c>
      <c r="F3757" s="4">
        <v>6.0</v>
      </c>
      <c r="G3757" s="4" t="s">
        <v>6367</v>
      </c>
    </row>
    <row r="3758">
      <c r="A3758" s="1">
        <v>3756.0</v>
      </c>
      <c r="B3758" s="4" t="s">
        <v>6372</v>
      </c>
      <c r="C3758" s="4" t="str">
        <f>IFERROR(__xludf.DUMMYFUNCTION("GOOGLETRANSLATE(D:D,""auto"",""en"")"),"Professor Jiang Xi Agricultural grow canola flower color 38")</f>
        <v>Professor Jiang Xi Agricultural grow canola flower color 38</v>
      </c>
      <c r="D3758" s="4" t="s">
        <v>6304</v>
      </c>
      <c r="E3758" s="4">
        <v>1.0252197E7</v>
      </c>
      <c r="F3758" s="4">
        <v>7.0</v>
      </c>
      <c r="G3758" s="4" t="s">
        <v>6305</v>
      </c>
    </row>
    <row r="3759">
      <c r="A3759" s="1">
        <v>3757.0</v>
      </c>
      <c r="B3759" s="4" t="s">
        <v>6372</v>
      </c>
      <c r="C3759" s="4" t="str">
        <f>IFERROR(__xludf.DUMMYFUNCTION("GOOGLETRANSLATE(D:D,""auto"",""en"")"),"82-year-old suspect at large involved in major criminal cases")</f>
        <v>82-year-old suspect at large involved in major criminal cases</v>
      </c>
      <c r="D3759" s="4" t="s">
        <v>6375</v>
      </c>
      <c r="E3759" s="4">
        <v>9853650.0</v>
      </c>
      <c r="F3759" s="4">
        <v>8.0</v>
      </c>
      <c r="G3759" s="4" t="s">
        <v>6376</v>
      </c>
    </row>
    <row r="3760">
      <c r="A3760" s="1">
        <v>3758.0</v>
      </c>
      <c r="B3760" s="4" t="s">
        <v>6372</v>
      </c>
      <c r="C3760" s="4" t="str">
        <f>IFERROR(__xludf.DUMMYFUNCTION("GOOGLETRANSLATE(D:D,""auto"",""en"")"),"Leo Ku when dad")</f>
        <v>Leo Ku when dad</v>
      </c>
      <c r="D3760" s="4" t="s">
        <v>6377</v>
      </c>
      <c r="E3760" s="4">
        <v>8936603.0</v>
      </c>
      <c r="F3760" s="4">
        <v>9.0</v>
      </c>
      <c r="G3760" s="4" t="s">
        <v>6378</v>
      </c>
    </row>
    <row r="3761">
      <c r="A3761" s="1">
        <v>3759.0</v>
      </c>
      <c r="B3761" s="4" t="s">
        <v>6372</v>
      </c>
      <c r="C3761" s="4" t="str">
        <f>IFERROR(__xludf.DUMMYFUNCTION("GOOGLETRANSLATE(D:D,""auto"",""en"")"),"Qin Xiao Yin also difficult home late")</f>
        <v>Qin Xiao Yin also difficult home late</v>
      </c>
      <c r="D3761" s="4" t="s">
        <v>6379</v>
      </c>
      <c r="E3761" s="4">
        <v>8909902.0</v>
      </c>
      <c r="F3761" s="4">
        <v>10.0</v>
      </c>
      <c r="G3761" s="4" t="s">
        <v>6380</v>
      </c>
    </row>
    <row r="3762">
      <c r="A3762" s="1">
        <v>3760.0</v>
      </c>
      <c r="B3762" s="4" t="s">
        <v>6372</v>
      </c>
      <c r="C3762" s="4" t="str">
        <f>IFERROR(__xludf.DUMMYFUNCTION("GOOGLETRANSLATE(D:D,""auto"",""en"")"),"Wuhan is still sporadic cases of community")</f>
        <v>Wuhan is still sporadic cases of community</v>
      </c>
      <c r="D3762" s="4" t="s">
        <v>6381</v>
      </c>
      <c r="E3762" s="4">
        <v>8892110.0</v>
      </c>
      <c r="F3762" s="4">
        <v>11.0</v>
      </c>
      <c r="G3762" s="4" t="s">
        <v>6382</v>
      </c>
    </row>
    <row r="3763">
      <c r="A3763" s="1">
        <v>3761.0</v>
      </c>
      <c r="B3763" s="4" t="s">
        <v>6372</v>
      </c>
      <c r="C3763" s="4" t="str">
        <f>IFERROR(__xludf.DUMMYFUNCTION("GOOGLETRANSLATE(D:D,""auto"",""en"")"),"Ms Lin Zai Yu small range of leisure")</f>
        <v>Ms Lin Zai Yu small range of leisure</v>
      </c>
      <c r="D3763" s="4" t="s">
        <v>6383</v>
      </c>
      <c r="E3763" s="4">
        <v>8622480.0</v>
      </c>
      <c r="F3763" s="4">
        <v>12.0</v>
      </c>
      <c r="G3763" s="4" t="s">
        <v>6384</v>
      </c>
    </row>
    <row r="3764">
      <c r="A3764" s="1">
        <v>3762.0</v>
      </c>
      <c r="B3764" s="4" t="s">
        <v>6372</v>
      </c>
      <c r="C3764" s="4" t="str">
        <f>IFERROR(__xludf.DUMMYFUNCTION("GOOGLETRANSLATE(D:D,""auto"",""en"")"),"Isolated woman adhere to drink mineral water")</f>
        <v>Isolated woman adhere to drink mineral water</v>
      </c>
      <c r="D3764" s="4" t="s">
        <v>6385</v>
      </c>
      <c r="E3764" s="4">
        <v>8610837.0</v>
      </c>
      <c r="F3764" s="4">
        <v>13.0</v>
      </c>
      <c r="G3764" s="4" t="s">
        <v>6386</v>
      </c>
    </row>
    <row r="3765">
      <c r="A3765" s="1">
        <v>3763.0</v>
      </c>
      <c r="B3765" s="4" t="s">
        <v>6372</v>
      </c>
      <c r="C3765" s="4" t="str">
        <f>IFERROR(__xludf.DUMMYFUNCTION("GOOGLETRANSLATE(D:D,""auto"",""en"")"),"Account of the quiet sun respond nationality")</f>
        <v>Account of the quiet sun respond nationality</v>
      </c>
      <c r="D3765" s="4" t="s">
        <v>6387</v>
      </c>
      <c r="E3765" s="4">
        <v>8474890.0</v>
      </c>
      <c r="F3765" s="4">
        <v>14.0</v>
      </c>
      <c r="G3765" s="4" t="s">
        <v>6388</v>
      </c>
    </row>
    <row r="3766">
      <c r="A3766" s="1">
        <v>3764.0</v>
      </c>
      <c r="B3766" s="4" t="s">
        <v>6372</v>
      </c>
      <c r="C3766" s="4" t="str">
        <f>IFERROR(__xludf.DUMMYFUNCTION("GOOGLETRANSLATE(D:D,""auto"",""en"")"),"Tang Yi Xin admitted that pregnancy")</f>
        <v>Tang Yi Xin admitted that pregnancy</v>
      </c>
      <c r="D3766" s="4" t="s">
        <v>6389</v>
      </c>
      <c r="E3766" s="4">
        <v>8246129.0</v>
      </c>
      <c r="F3766" s="4">
        <v>15.0</v>
      </c>
      <c r="G3766" s="4" t="s">
        <v>6390</v>
      </c>
    </row>
    <row r="3767">
      <c r="A3767" s="1">
        <v>3765.0</v>
      </c>
      <c r="B3767" s="4" t="s">
        <v>6372</v>
      </c>
      <c r="C3767" s="4" t="str">
        <f>IFERROR(__xludf.DUMMYFUNCTION("GOOGLETRANSLATE(D:D,""auto"",""en"")"),"Wang Yibo praised the girls wearing helmets")</f>
        <v>Wang Yibo praised the girls wearing helmets</v>
      </c>
      <c r="D3767" s="4" t="s">
        <v>6391</v>
      </c>
      <c r="E3767" s="4">
        <v>8188427.0</v>
      </c>
      <c r="F3767" s="4">
        <v>16.0</v>
      </c>
      <c r="G3767" s="4" t="s">
        <v>6392</v>
      </c>
    </row>
    <row r="3768">
      <c r="A3768" s="1">
        <v>3766.0</v>
      </c>
      <c r="B3768" s="4" t="s">
        <v>6372</v>
      </c>
      <c r="C3768" s="4" t="str">
        <f>IFERROR(__xludf.DUMMYFUNCTION("GOOGLETRANSLATE(D:D,""auto"",""en"")"),"Zhao Zhiwei did not love derailment")</f>
        <v>Zhao Zhiwei did not love derailment</v>
      </c>
      <c r="D3768" s="4" t="s">
        <v>6393</v>
      </c>
      <c r="E3768" s="4">
        <v>8148939.0</v>
      </c>
      <c r="F3768" s="4">
        <v>17.0</v>
      </c>
      <c r="G3768" s="4" t="s">
        <v>6394</v>
      </c>
    </row>
    <row r="3769">
      <c r="A3769" s="1">
        <v>3767.0</v>
      </c>
      <c r="B3769" s="4" t="s">
        <v>6372</v>
      </c>
      <c r="C3769" s="4" t="str">
        <f>IFERROR(__xludf.DUMMYFUNCTION("GOOGLETRANSLATE(D:D,""auto"",""en"")"),"Room bright family ties")</f>
        <v>Room bright family ties</v>
      </c>
      <c r="D3769" s="4" t="s">
        <v>6395</v>
      </c>
      <c r="E3769" s="4">
        <v>8055499.0</v>
      </c>
      <c r="F3769" s="4">
        <v>18.0</v>
      </c>
      <c r="G3769" s="4" t="s">
        <v>6396</v>
      </c>
    </row>
    <row r="3770">
      <c r="A3770" s="1">
        <v>3768.0</v>
      </c>
      <c r="B3770" s="4" t="s">
        <v>6372</v>
      </c>
      <c r="C3770" s="4" t="str">
        <f>IFERROR(__xludf.DUMMYFUNCTION("GOOGLETRANSLATE(D:D,""auto"",""en"")"),"Time with you sweet finale")</f>
        <v>Time with you sweet finale</v>
      </c>
      <c r="D3770" s="4" t="s">
        <v>6397</v>
      </c>
      <c r="E3770" s="4">
        <v>8019884.0</v>
      </c>
      <c r="F3770" s="4">
        <v>19.0</v>
      </c>
      <c r="G3770" s="4" t="s">
        <v>6398</v>
      </c>
    </row>
    <row r="3771">
      <c r="A3771" s="1">
        <v>3769.0</v>
      </c>
      <c r="B3771" s="4" t="s">
        <v>6372</v>
      </c>
      <c r="C3771" s="4" t="str">
        <f>IFERROR(__xludf.DUMMYFUNCTION("GOOGLETRANSLATE(D:D,""auto"",""en"")"),"How fast mouth Guocong Ming high fire fire")</f>
        <v>How fast mouth Guocong Ming high fire fire</v>
      </c>
      <c r="D3771" s="4" t="s">
        <v>6399</v>
      </c>
      <c r="E3771" s="4">
        <v>7911244.0</v>
      </c>
      <c r="F3771" s="4">
        <v>20.0</v>
      </c>
      <c r="G3771" s="4" t="s">
        <v>6400</v>
      </c>
    </row>
    <row r="3772">
      <c r="A3772" s="1">
        <v>3770.0</v>
      </c>
      <c r="B3772" s="4" t="s">
        <v>6372</v>
      </c>
      <c r="C3772" s="4" t="str">
        <f>IFERROR(__xludf.DUMMYFUNCTION("GOOGLETRANSLATE(D:D,""auto"",""en"")"),"Italian mayor apologized shame China")</f>
        <v>Italian mayor apologized shame China</v>
      </c>
      <c r="D3772" s="4" t="s">
        <v>6401</v>
      </c>
      <c r="E3772" s="4">
        <v>7906371.0</v>
      </c>
      <c r="F3772" s="4">
        <v>21.0</v>
      </c>
      <c r="G3772" s="4" t="s">
        <v>6402</v>
      </c>
    </row>
    <row r="3773">
      <c r="A3773" s="1">
        <v>3771.0</v>
      </c>
      <c r="B3773" s="4" t="s">
        <v>6372</v>
      </c>
      <c r="C3773" s="4" t="str">
        <f>IFERROR(__xludf.DUMMYFUNCTION("GOOGLETRANSLATE(D:D,""auto"",""en"")"),"US new crown over 3200 cases of confirmed cases of pneumonia")</f>
        <v>US new crown over 3200 cases of confirmed cases of pneumonia</v>
      </c>
      <c r="D3773" s="4" t="s">
        <v>6403</v>
      </c>
      <c r="E3773" s="4">
        <v>7901680.0</v>
      </c>
      <c r="F3773" s="4">
        <v>22.0</v>
      </c>
      <c r="G3773" s="4" t="s">
        <v>6404</v>
      </c>
    </row>
    <row r="3774">
      <c r="A3774" s="1">
        <v>3772.0</v>
      </c>
      <c r="B3774" s="4" t="s">
        <v>6372</v>
      </c>
      <c r="C3774" s="4" t="str">
        <f>IFERROR(__xludf.DUMMYFUNCTION("GOOGLETRANSLATE(D:D,""auto"",""en"")"),"GET health Contagion new posture")</f>
        <v>GET health Contagion new posture</v>
      </c>
      <c r="D3774" s="4" t="s">
        <v>6405</v>
      </c>
      <c r="E3774" s="4">
        <v>7694123.0</v>
      </c>
      <c r="F3774" s="4">
        <v>23.0</v>
      </c>
      <c r="G3774" s="4" t="s">
        <v>6406</v>
      </c>
    </row>
    <row r="3775">
      <c r="A3775" s="1">
        <v>3773.0</v>
      </c>
      <c r="B3775" s="4" t="s">
        <v>6372</v>
      </c>
      <c r="C3775" s="4" t="str">
        <f>IFERROR(__xludf.DUMMYFUNCTION("GOOGLETRANSLATE(D:D,""auto"",""en"")"),"Ace family responded Zhejiang, Hubei medical aid")</f>
        <v>Ace family responded Zhejiang, Hubei medical aid</v>
      </c>
      <c r="D3775" s="4" t="s">
        <v>6407</v>
      </c>
      <c r="E3775" s="4">
        <v>7693673.0</v>
      </c>
      <c r="F3775" s="4">
        <v>24.0</v>
      </c>
      <c r="G3775" s="4" t="s">
        <v>6408</v>
      </c>
    </row>
    <row r="3776">
      <c r="A3776" s="1">
        <v>3774.0</v>
      </c>
      <c r="B3776" s="4" t="s">
        <v>6372</v>
      </c>
      <c r="C3776" s="4" t="str">
        <f>IFERROR(__xludf.DUMMYFUNCTION("GOOGLETRANSLATE(D:D,""auto"",""en"")"),"Nazha contrived performances")</f>
        <v>Nazha contrived performances</v>
      </c>
      <c r="D3776" s="4" t="s">
        <v>6342</v>
      </c>
      <c r="E3776" s="4">
        <v>7551897.0</v>
      </c>
      <c r="F3776" s="4">
        <v>25.0</v>
      </c>
      <c r="G3776" s="4" t="s">
        <v>6343</v>
      </c>
    </row>
    <row r="3777">
      <c r="A3777" s="1">
        <v>3775.0</v>
      </c>
      <c r="B3777" s="4" t="s">
        <v>6372</v>
      </c>
      <c r="C3777" s="4" t="str">
        <f>IFERROR(__xludf.DUMMYFUNCTION("GOOGLETRANSLATE(D:D,""auto"",""en"")"),"Song Yaxuan four years ago with its own chorus")</f>
        <v>Song Yaxuan four years ago with its own chorus</v>
      </c>
      <c r="D3777" s="4" t="s">
        <v>6409</v>
      </c>
      <c r="E3777" s="4">
        <v>7500027.0</v>
      </c>
      <c r="F3777" s="4">
        <v>26.0</v>
      </c>
      <c r="G3777" s="4" t="s">
        <v>6410</v>
      </c>
    </row>
    <row r="3778">
      <c r="A3778" s="1">
        <v>3776.0</v>
      </c>
      <c r="B3778" s="4" t="s">
        <v>6372</v>
      </c>
      <c r="C3778" s="4" t="str">
        <f>IFERROR(__xludf.DUMMYFUNCTION("GOOGLETRANSLATE(D:D,""auto"",""en"")"),"Guangdong a mixer rollover car crushed")</f>
        <v>Guangdong a mixer rollover car crushed</v>
      </c>
      <c r="D3778" s="4" t="s">
        <v>6354</v>
      </c>
      <c r="E3778" s="4">
        <v>7289909.0</v>
      </c>
      <c r="F3778" s="4">
        <v>27.0</v>
      </c>
      <c r="G3778" s="4" t="s">
        <v>6355</v>
      </c>
    </row>
    <row r="3779">
      <c r="A3779" s="1">
        <v>3777.0</v>
      </c>
      <c r="B3779" s="4" t="s">
        <v>6372</v>
      </c>
      <c r="C3779" s="4" t="str">
        <f>IFERROR(__xludf.DUMMYFUNCTION("GOOGLETRANSLATE(D:D,""auto"",""en"")"),"Camp officials declared 2020 the creation of Song Qian")</f>
        <v>Camp officials declared 2020 the creation of Song Qian</v>
      </c>
      <c r="D3779" s="4" t="s">
        <v>6411</v>
      </c>
      <c r="E3779" s="4">
        <v>7231932.0</v>
      </c>
      <c r="F3779" s="4">
        <v>28.0</v>
      </c>
      <c r="G3779" s="4" t="s">
        <v>6412</v>
      </c>
    </row>
    <row r="3780">
      <c r="A3780" s="1">
        <v>3778.0</v>
      </c>
      <c r="B3780" s="4" t="s">
        <v>6372</v>
      </c>
      <c r="C3780" s="4" t="str">
        <f>IFERROR(__xludf.DUMMYFUNCTION("GOOGLETRANSLATE(D:D,""auto"",""en"")"),"Jin Jing exercise vs Kim Kardashian exercise")</f>
        <v>Jin Jing exercise vs Kim Kardashian exercise</v>
      </c>
      <c r="D3780" s="4" t="s">
        <v>6413</v>
      </c>
      <c r="E3780" s="4">
        <v>6937295.0</v>
      </c>
      <c r="F3780" s="4">
        <v>29.0</v>
      </c>
      <c r="G3780" s="4" t="s">
        <v>6414</v>
      </c>
    </row>
    <row r="3781">
      <c r="A3781" s="1">
        <v>3779.0</v>
      </c>
      <c r="B3781" s="4" t="s">
        <v>6372</v>
      </c>
      <c r="C3781" s="4" t="str">
        <f>IFERROR(__xludf.DUMMYFUNCTION("GOOGLETRANSLATE(D:D,""auto"",""en"")"),"Zhang Weili talk Joanna plastic")</f>
        <v>Zhang Weili talk Joanna plastic</v>
      </c>
      <c r="D3781" s="4" t="s">
        <v>6352</v>
      </c>
      <c r="E3781" s="4">
        <v>6899668.0</v>
      </c>
      <c r="F3781" s="4">
        <v>30.0</v>
      </c>
      <c r="G3781" s="4" t="s">
        <v>6353</v>
      </c>
    </row>
    <row r="3782">
      <c r="A3782" s="1">
        <v>3780.0</v>
      </c>
      <c r="B3782" s="4" t="s">
        <v>6372</v>
      </c>
      <c r="C3782" s="4" t="str">
        <f>IFERROR(__xludf.DUMMYFUNCTION("GOOGLETRANSLATE(D:D,""auto"",""en"")"),"Luo watch live brush airplane")</f>
        <v>Luo watch live brush airplane</v>
      </c>
      <c r="D3782" s="4" t="s">
        <v>6298</v>
      </c>
      <c r="E3782" s="4">
        <v>6835963.0</v>
      </c>
      <c r="F3782" s="4">
        <v>31.0</v>
      </c>
      <c r="G3782" s="4" t="s">
        <v>6299</v>
      </c>
    </row>
    <row r="3783">
      <c r="A3783" s="1">
        <v>3781.0</v>
      </c>
      <c r="B3783" s="4" t="s">
        <v>6372</v>
      </c>
      <c r="C3783" s="4" t="str">
        <f>IFERROR(__xludf.DUMMYFUNCTION("GOOGLETRANSLATE(D:D,""auto"",""en"")"),"Zhang Weili water intoxication defending ago")</f>
        <v>Zhang Weili water intoxication defending ago</v>
      </c>
      <c r="D3783" s="4" t="s">
        <v>6362</v>
      </c>
      <c r="E3783" s="4">
        <v>6716084.0</v>
      </c>
      <c r="F3783" s="4">
        <v>32.0</v>
      </c>
      <c r="G3783" s="4" t="s">
        <v>6363</v>
      </c>
    </row>
    <row r="3784">
      <c r="A3784" s="1">
        <v>3782.0</v>
      </c>
      <c r="B3784" s="4" t="s">
        <v>6372</v>
      </c>
      <c r="C3784" s="4" t="str">
        <f>IFERROR(__xludf.DUMMYFUNCTION("GOOGLETRANSLATE(D:D,""auto"",""en"")"),"Medina was Jiang Chao stunts")</f>
        <v>Medina was Jiang Chao stunts</v>
      </c>
      <c r="D3784" s="4" t="s">
        <v>6314</v>
      </c>
      <c r="E3784" s="4">
        <v>6499017.0</v>
      </c>
      <c r="F3784" s="4">
        <v>33.0</v>
      </c>
      <c r="G3784" s="4" t="s">
        <v>6315</v>
      </c>
    </row>
    <row r="3785">
      <c r="A3785" s="1">
        <v>3783.0</v>
      </c>
      <c r="B3785" s="4" t="s">
        <v>6372</v>
      </c>
      <c r="C3785" s="4" t="str">
        <f>IFERROR(__xludf.DUMMYFUNCTION("GOOGLETRANSLATE(D:D,""auto"",""en"")"),"The new crown new 3590 cases of pneumonia Italy")</f>
        <v>The new crown new 3590 cases of pneumonia Italy</v>
      </c>
      <c r="D3785" s="4" t="s">
        <v>6415</v>
      </c>
      <c r="E3785" s="4">
        <v>6263669.0</v>
      </c>
      <c r="F3785" s="4">
        <v>34.0</v>
      </c>
      <c r="G3785" s="4" t="s">
        <v>6416</v>
      </c>
    </row>
    <row r="3786">
      <c r="A3786" s="1">
        <v>3784.0</v>
      </c>
      <c r="B3786" s="4" t="s">
        <v>6372</v>
      </c>
      <c r="C3786" s="4" t="str">
        <f>IFERROR(__xludf.DUMMYFUNCTION("GOOGLETRANSLATE(D:D,""auto"",""en"")"),"Serbian President can only help China")</f>
        <v>Serbian President can only help China</v>
      </c>
      <c r="D3786" s="4" t="s">
        <v>6417</v>
      </c>
      <c r="E3786" s="4">
        <v>6213680.0</v>
      </c>
      <c r="F3786" s="4">
        <v>35.0</v>
      </c>
      <c r="G3786" s="4" t="s">
        <v>6418</v>
      </c>
    </row>
    <row r="3787">
      <c r="A3787" s="1">
        <v>3785.0</v>
      </c>
      <c r="B3787" s="4" t="s">
        <v>6372</v>
      </c>
      <c r="C3787" s="4" t="str">
        <f>IFERROR(__xludf.DUMMYFUNCTION("GOOGLETRANSLATE(D:D,""auto"",""en"")"),"Lang Yi Jing Ju stomach cents imitate eat bread")</f>
        <v>Lang Yi Jing Ju stomach cents imitate eat bread</v>
      </c>
      <c r="D3787" s="4" t="s">
        <v>6223</v>
      </c>
      <c r="E3787" s="4">
        <v>6015212.0</v>
      </c>
      <c r="F3787" s="4">
        <v>36.0</v>
      </c>
      <c r="G3787" s="4" t="s">
        <v>6224</v>
      </c>
    </row>
    <row r="3788">
      <c r="A3788" s="1">
        <v>3786.0</v>
      </c>
      <c r="B3788" s="4" t="s">
        <v>6372</v>
      </c>
      <c r="C3788" s="4" t="str">
        <f>IFERROR(__xludf.DUMMYFUNCTION("GOOGLETRANSLATE(D:D,""auto"",""en"")"),"Kids Do you have a lot of question marks")</f>
        <v>Kids Do you have a lot of question marks</v>
      </c>
      <c r="D3788" s="4" t="s">
        <v>6358</v>
      </c>
      <c r="E3788" s="4">
        <v>5948055.0</v>
      </c>
      <c r="F3788" s="4">
        <v>37.0</v>
      </c>
      <c r="G3788" s="4" t="s">
        <v>6359</v>
      </c>
    </row>
    <row r="3789">
      <c r="A3789" s="1">
        <v>3787.0</v>
      </c>
      <c r="B3789" s="4" t="s">
        <v>6372</v>
      </c>
      <c r="C3789" s="4" t="str">
        <f>IFERROR(__xludf.DUMMYFUNCTION("GOOGLETRANSLATE(D:D,""auto"",""en"")"),"Zhang Weili respond mouth gun question")</f>
        <v>Zhang Weili respond mouth gun question</v>
      </c>
      <c r="D3789" s="4" t="s">
        <v>6320</v>
      </c>
      <c r="E3789" s="4">
        <v>5935406.0</v>
      </c>
      <c r="F3789" s="4">
        <v>38.0</v>
      </c>
      <c r="G3789" s="4" t="s">
        <v>6321</v>
      </c>
    </row>
    <row r="3790">
      <c r="A3790" s="1">
        <v>3788.0</v>
      </c>
      <c r="B3790" s="4" t="s">
        <v>6372</v>
      </c>
      <c r="C3790" s="4" t="str">
        <f>IFERROR(__xludf.DUMMYFUNCTION("GOOGLETRANSLATE(D:D,""auto"",""en"")"),"Q. Xin Wang sing wall of Tucao wife")</f>
        <v>Q. Xin Wang sing wall of Tucao wife</v>
      </c>
      <c r="D3790" s="4" t="s">
        <v>6356</v>
      </c>
      <c r="E3790" s="4">
        <v>5935333.0</v>
      </c>
      <c r="F3790" s="4">
        <v>39.0</v>
      </c>
      <c r="G3790" s="4" t="s">
        <v>6357</v>
      </c>
    </row>
    <row r="3791">
      <c r="A3791" s="1">
        <v>3789.0</v>
      </c>
      <c r="B3791" s="4" t="s">
        <v>6372</v>
      </c>
      <c r="C3791" s="4" t="str">
        <f>IFERROR(__xludf.DUMMYFUNCTION("GOOGLETRANSLATE(D:D,""auto"",""en"")"),"Li Yi Feng mopping the floor with the money dance")</f>
        <v>Li Yi Feng mopping the floor with the money dance</v>
      </c>
      <c r="D3791" s="4" t="s">
        <v>6249</v>
      </c>
      <c r="E3791" s="4">
        <v>5743377.0</v>
      </c>
      <c r="F3791" s="4">
        <v>40.0</v>
      </c>
      <c r="G3791" s="4" t="s">
        <v>6250</v>
      </c>
    </row>
    <row r="3792">
      <c r="A3792" s="1">
        <v>3790.0</v>
      </c>
      <c r="B3792" s="4" t="s">
        <v>6372</v>
      </c>
      <c r="C3792" s="4" t="str">
        <f>IFERROR(__xludf.DUMMYFUNCTION("GOOGLETRANSLATE(D:D,""auto"",""en"")"),"Zhang Yu Jian said Yu Shuxin crazy")</f>
        <v>Zhang Yu Jian said Yu Shuxin crazy</v>
      </c>
      <c r="D3792" s="4" t="s">
        <v>6419</v>
      </c>
      <c r="E3792" s="4">
        <v>5621468.0</v>
      </c>
      <c r="F3792" s="4">
        <v>41.0</v>
      </c>
      <c r="G3792" s="4" t="s">
        <v>6420</v>
      </c>
    </row>
    <row r="3793">
      <c r="A3793" s="1">
        <v>3791.0</v>
      </c>
      <c r="B3793" s="4" t="s">
        <v>6372</v>
      </c>
      <c r="C3793" s="4" t="str">
        <f>IFERROR(__xludf.DUMMYFUNCTION("GOOGLETRANSLATE(D:D,""auto"",""en"")"),"Foreign confirmed cases exceeds China")</f>
        <v>Foreign confirmed cases exceeds China</v>
      </c>
      <c r="D3793" s="4" t="s">
        <v>6421</v>
      </c>
      <c r="E3793" s="4">
        <v>5450088.0</v>
      </c>
      <c r="F3793" s="4">
        <v>42.0</v>
      </c>
      <c r="G3793" s="4" t="s">
        <v>6422</v>
      </c>
    </row>
    <row r="3794">
      <c r="A3794" s="1">
        <v>3792.0</v>
      </c>
      <c r="B3794" s="4" t="s">
        <v>6372</v>
      </c>
      <c r="C3794" s="4" t="str">
        <f>IFERROR(__xludf.DUMMYFUNCTION("GOOGLETRANSLATE(D:D,""auto"",""en"")"),"US media said, or 100 million Americans will be infected with a new crown")</f>
        <v>US media said, or 100 million Americans will be infected with a new crown</v>
      </c>
      <c r="D3794" s="4" t="s">
        <v>6423</v>
      </c>
      <c r="E3794" s="4">
        <v>5450087.0</v>
      </c>
      <c r="F3794" s="4">
        <v>43.0</v>
      </c>
      <c r="G3794" s="4" t="s">
        <v>6424</v>
      </c>
    </row>
    <row r="3795">
      <c r="A3795" s="1">
        <v>3793.0</v>
      </c>
      <c r="B3795" s="4" t="s">
        <v>6372</v>
      </c>
      <c r="C3795" s="4" t="str">
        <f>IFERROR(__xludf.DUMMYFUNCTION("GOOGLETRANSLATE(D:D,""auto"",""en"")"),"Add 74 cases of new confirmed cases of pneumonia crown Korea")</f>
        <v>Add 74 cases of new confirmed cases of pneumonia crown Korea</v>
      </c>
      <c r="D3795" s="4" t="s">
        <v>6425</v>
      </c>
      <c r="E3795" s="4">
        <v>5450070.0</v>
      </c>
      <c r="F3795" s="4">
        <v>44.0</v>
      </c>
      <c r="G3795" s="4" t="s">
        <v>6426</v>
      </c>
    </row>
    <row r="3796">
      <c r="A3796" s="1">
        <v>3794.0</v>
      </c>
      <c r="B3796" s="4" t="s">
        <v>6372</v>
      </c>
      <c r="C3796" s="4" t="str">
        <f>IFERROR(__xludf.DUMMYFUNCTION("GOOGLETRANSLATE(D:D,""auto"",""en"")"),"There are five hot Huachen Yu world")</f>
        <v>There are five hot Huachen Yu world</v>
      </c>
      <c r="D3796" s="4" t="s">
        <v>6427</v>
      </c>
      <c r="E3796" s="4">
        <v>5224827.0</v>
      </c>
      <c r="F3796" s="4">
        <v>45.0</v>
      </c>
      <c r="G3796" s="4" t="s">
        <v>6428</v>
      </c>
    </row>
    <row r="3797">
      <c r="A3797" s="1">
        <v>3795.0</v>
      </c>
      <c r="B3797" s="4" t="s">
        <v>6372</v>
      </c>
      <c r="C3797" s="4" t="str">
        <f>IFERROR(__xludf.DUMMYFUNCTION("GOOGLETRANSLATE(D:D,""auto"",""en"")"),"Change the wireless network password is asked neighbors")</f>
        <v>Change the wireless network password is asked neighbors</v>
      </c>
      <c r="D3797" s="4" t="s">
        <v>6429</v>
      </c>
      <c r="E3797" s="4">
        <v>5193193.0</v>
      </c>
      <c r="F3797" s="4">
        <v>46.0</v>
      </c>
      <c r="G3797" s="4" t="s">
        <v>6430</v>
      </c>
    </row>
    <row r="3798">
      <c r="A3798" s="1">
        <v>3796.0</v>
      </c>
      <c r="B3798" s="4" t="s">
        <v>6372</v>
      </c>
      <c r="C3798" s="4" t="str">
        <f>IFERROR(__xludf.DUMMYFUNCTION("GOOGLETRANSLATE(D:D,""auto"",""en"")"),"Pan was mad at your rain")</f>
        <v>Pan was mad at your rain</v>
      </c>
      <c r="D3798" s="4" t="s">
        <v>6306</v>
      </c>
      <c r="E3798" s="4">
        <v>5158304.0</v>
      </c>
      <c r="F3798" s="4">
        <v>47.0</v>
      </c>
      <c r="G3798" s="4" t="s">
        <v>6307</v>
      </c>
    </row>
    <row r="3799">
      <c r="A3799" s="1">
        <v>3797.0</v>
      </c>
      <c r="B3799" s="4" t="s">
        <v>6372</v>
      </c>
      <c r="C3799" s="4" t="str">
        <f>IFERROR(__xludf.DUMMYFUNCTION("GOOGLETRANSLATE(D:D,""auto"",""en"")"),"Students pay the concrete floor write operations")</f>
        <v>Students pay the concrete floor write operations</v>
      </c>
      <c r="D3799" s="4" t="s">
        <v>6431</v>
      </c>
      <c r="E3799" s="4">
        <v>5118649.0</v>
      </c>
      <c r="F3799" s="4">
        <v>48.0</v>
      </c>
      <c r="G3799" s="4" t="s">
        <v>6432</v>
      </c>
    </row>
    <row r="3800">
      <c r="A3800" s="1">
        <v>3798.0</v>
      </c>
      <c r="B3800" s="4" t="s">
        <v>6372</v>
      </c>
      <c r="C3800" s="4" t="str">
        <f>IFERROR(__xludf.DUMMYFUNCTION("GOOGLETRANSLATE(D:D,""auto"",""en"")"),"Zhou Zhennan fans of accent")</f>
        <v>Zhou Zhennan fans of accent</v>
      </c>
      <c r="D3800" s="4" t="s">
        <v>6433</v>
      </c>
      <c r="E3800" s="4">
        <v>5113371.0</v>
      </c>
      <c r="F3800" s="4">
        <v>49.0</v>
      </c>
      <c r="G3800" s="4" t="s">
        <v>6434</v>
      </c>
    </row>
    <row r="3801">
      <c r="A3801" s="1">
        <v>3799.0</v>
      </c>
      <c r="B3801" s="4" t="s">
        <v>6372</v>
      </c>
      <c r="C3801" s="4" t="str">
        <f>IFERROR(__xludf.DUMMYFUNCTION("GOOGLETRANSLATE(D:D,""auto"",""en"")"),"Teachers respond to students' written work cross the concrete floor")</f>
        <v>Teachers respond to students' written work cross the concrete floor</v>
      </c>
      <c r="D3801" s="4" t="s">
        <v>6435</v>
      </c>
      <c r="E3801" s="4">
        <v>5109736.0</v>
      </c>
      <c r="F3801" s="4">
        <v>50.0</v>
      </c>
      <c r="G3801" s="4" t="s">
        <v>6436</v>
      </c>
    </row>
    <row r="3802">
      <c r="A3802" s="1">
        <v>3800.0</v>
      </c>
      <c r="B3802" s="4" t="s">
        <v>6437</v>
      </c>
      <c r="C3802" s="4" t="str">
        <f>IFERROR(__xludf.DUMMYFUNCTION("GOOGLETRANSLATE(D:D,""auto"",""en"")"),"Four kinds of voices singing thunder")</f>
        <v>Four kinds of voices singing thunder</v>
      </c>
      <c r="D3802" s="4" t="s">
        <v>6438</v>
      </c>
      <c r="E3802" s="4">
        <v>9194925.0</v>
      </c>
      <c r="F3802" s="4">
        <v>1.0</v>
      </c>
      <c r="G3802" s="4" t="s">
        <v>6439</v>
      </c>
    </row>
    <row r="3803">
      <c r="A3803" s="1">
        <v>3801.0</v>
      </c>
      <c r="B3803" s="4" t="s">
        <v>6437</v>
      </c>
      <c r="C3803" s="4" t="str">
        <f>IFERROR(__xludf.DUMMYFUNCTION("GOOGLETRANSLATE(D:D,""auto"",""en"")"),"Apple was fined 1.1 billion euros")</f>
        <v>Apple was fined 1.1 billion euros</v>
      </c>
      <c r="D3803" s="4" t="s">
        <v>6440</v>
      </c>
      <c r="E3803" s="4">
        <v>9093903.0</v>
      </c>
      <c r="F3803" s="4">
        <v>2.0</v>
      </c>
      <c r="G3803" s="4" t="s">
        <v>6441</v>
      </c>
    </row>
    <row r="3804">
      <c r="A3804" s="1">
        <v>3802.0</v>
      </c>
      <c r="B3804" s="4" t="s">
        <v>6437</v>
      </c>
      <c r="C3804" s="4" t="str">
        <f>IFERROR(__xludf.DUMMYFUNCTION("GOOGLETRANSLATE(D:D,""auto"",""en"")"),"People's Daily commentary Qiu Chen")</f>
        <v>People's Daily commentary Qiu Chen</v>
      </c>
      <c r="D3804" s="4" t="s">
        <v>6442</v>
      </c>
      <c r="E3804" s="4">
        <v>8967249.0</v>
      </c>
      <c r="F3804" s="4">
        <v>3.0</v>
      </c>
      <c r="G3804" s="4" t="s">
        <v>6443</v>
      </c>
    </row>
    <row r="3805">
      <c r="A3805" s="1">
        <v>3803.0</v>
      </c>
      <c r="B3805" s="4" t="s">
        <v>6437</v>
      </c>
      <c r="C3805" s="4" t="str">
        <f>IFERROR(__xludf.DUMMYFUNCTION("GOOGLETRANSLATE(D:D,""auto"",""en"")"),"Ms Lin Zai Yu small range of leisure")</f>
        <v>Ms Lin Zai Yu small range of leisure</v>
      </c>
      <c r="D3805" s="4" t="s">
        <v>6383</v>
      </c>
      <c r="E3805" s="4">
        <v>8899901.0</v>
      </c>
      <c r="F3805" s="4">
        <v>4.0</v>
      </c>
      <c r="G3805" s="4" t="s">
        <v>6384</v>
      </c>
    </row>
    <row r="3806">
      <c r="A3806" s="1">
        <v>3804.0</v>
      </c>
      <c r="B3806" s="4" t="s">
        <v>6437</v>
      </c>
      <c r="C3806" s="4" t="str">
        <f>IFERROR(__xludf.DUMMYFUNCTION("GOOGLETRANSLATE(D:D,""auto"",""en"")"),"Zhao Liying defamation case in favor of First Instance")</f>
        <v>Zhao Liying defamation case in favor of First Instance</v>
      </c>
      <c r="D3806" s="4" t="s">
        <v>6444</v>
      </c>
      <c r="E3806" s="4">
        <v>8764540.0</v>
      </c>
      <c r="F3806" s="4">
        <v>5.0</v>
      </c>
      <c r="G3806" s="4" t="s">
        <v>6445</v>
      </c>
    </row>
    <row r="3807">
      <c r="A3807" s="1">
        <v>3805.0</v>
      </c>
      <c r="B3807" s="4" t="s">
        <v>6437</v>
      </c>
      <c r="C3807" s="4" t="str">
        <f>IFERROR(__xludf.DUMMYFUNCTION("GOOGLETRANSLATE(D:D,""auto"",""en"")"),"Thunder")</f>
        <v>Thunder</v>
      </c>
      <c r="D3807" s="4" t="s">
        <v>6446</v>
      </c>
      <c r="E3807" s="4">
        <v>8690102.0</v>
      </c>
      <c r="F3807" s="4">
        <v>6.0</v>
      </c>
      <c r="G3807" s="4" t="s">
        <v>6447</v>
      </c>
    </row>
    <row r="3808">
      <c r="A3808" s="1">
        <v>3806.0</v>
      </c>
      <c r="B3808" s="4" t="s">
        <v>6437</v>
      </c>
      <c r="C3808" s="4" t="str">
        <f>IFERROR(__xludf.DUMMYFUNCTION("GOOGLETRANSLATE(D:D,""auto"",""en"")"),"He first sun Chan family of four")</f>
        <v>He first sun Chan family of four</v>
      </c>
      <c r="D3808" s="4" t="s">
        <v>6448</v>
      </c>
      <c r="E3808" s="4">
        <v>8487186.0</v>
      </c>
      <c r="F3808" s="4">
        <v>7.0</v>
      </c>
      <c r="G3808" s="4" t="s">
        <v>6449</v>
      </c>
    </row>
    <row r="3809">
      <c r="A3809" s="1">
        <v>3807.0</v>
      </c>
      <c r="B3809" s="4" t="s">
        <v>6437</v>
      </c>
      <c r="C3809" s="4" t="str">
        <f>IFERROR(__xludf.DUMMYFUNCTION("GOOGLETRANSLATE(D:D,""auto"",""en"")"),"GET health Contagion new posture")</f>
        <v>GET health Contagion new posture</v>
      </c>
      <c r="D3809" s="4" t="s">
        <v>6405</v>
      </c>
      <c r="E3809" s="4">
        <v>8360762.0</v>
      </c>
      <c r="F3809" s="4">
        <v>8.0</v>
      </c>
      <c r="G3809" s="4" t="s">
        <v>6406</v>
      </c>
    </row>
    <row r="3810">
      <c r="A3810" s="1">
        <v>3808.0</v>
      </c>
      <c r="B3810" s="4" t="s">
        <v>6437</v>
      </c>
      <c r="C3810" s="4" t="str">
        <f>IFERROR(__xludf.DUMMYFUNCTION("GOOGLETRANSLATE(D:D,""auto"",""en"")"),"Isolated woman adhere to drink mineral water")</f>
        <v>Isolated woman adhere to drink mineral water</v>
      </c>
      <c r="D3810" s="4" t="s">
        <v>6385</v>
      </c>
      <c r="E3810" s="4">
        <v>8332875.0</v>
      </c>
      <c r="F3810" s="4">
        <v>9.0</v>
      </c>
      <c r="G3810" s="4" t="s">
        <v>6386</v>
      </c>
    </row>
    <row r="3811">
      <c r="A3811" s="1">
        <v>3809.0</v>
      </c>
      <c r="B3811" s="4" t="s">
        <v>6437</v>
      </c>
      <c r="C3811" s="4" t="str">
        <f>IFERROR(__xludf.DUMMYFUNCTION("GOOGLETRANSLATE(D:D,""auto"",""en"")"),"How fast mouth Guocong Ming high fire fire")</f>
        <v>How fast mouth Guocong Ming high fire fire</v>
      </c>
      <c r="D3811" s="4" t="s">
        <v>6399</v>
      </c>
      <c r="E3811" s="4">
        <v>8297768.0</v>
      </c>
      <c r="F3811" s="4">
        <v>10.0</v>
      </c>
      <c r="G3811" s="4" t="s">
        <v>6400</v>
      </c>
    </row>
    <row r="3812">
      <c r="A3812" s="1">
        <v>3810.0</v>
      </c>
      <c r="B3812" s="4" t="s">
        <v>6437</v>
      </c>
      <c r="C3812" s="4" t="str">
        <f>IFERROR(__xludf.DUMMYFUNCTION("GOOGLETRANSLATE(D:D,""auto"",""en"")"),"Qin Xiao Yin also difficult home late")</f>
        <v>Qin Xiao Yin also difficult home late</v>
      </c>
      <c r="D3812" s="4" t="s">
        <v>6379</v>
      </c>
      <c r="E3812" s="4">
        <v>8258825.0</v>
      </c>
      <c r="F3812" s="4">
        <v>11.0</v>
      </c>
      <c r="G3812" s="4" t="s">
        <v>6380</v>
      </c>
    </row>
    <row r="3813">
      <c r="A3813" s="1">
        <v>3811.0</v>
      </c>
      <c r="B3813" s="4" t="s">
        <v>6437</v>
      </c>
      <c r="C3813" s="4" t="str">
        <f>IFERROR(__xludf.DUMMYFUNCTION("GOOGLETRANSLATE(D:D,""auto"",""en"")"),"Zhang Weili ISOLATED drink mineral water'm angry")</f>
        <v>Zhang Weili ISOLATED drink mineral water'm angry</v>
      </c>
      <c r="D3813" s="4" t="s">
        <v>6450</v>
      </c>
      <c r="E3813" s="4">
        <v>8236094.0</v>
      </c>
      <c r="F3813" s="4">
        <v>12.0</v>
      </c>
      <c r="G3813" s="4" t="s">
        <v>6451</v>
      </c>
    </row>
    <row r="3814">
      <c r="A3814" s="1">
        <v>3812.0</v>
      </c>
      <c r="B3814" s="4" t="s">
        <v>6437</v>
      </c>
      <c r="C3814" s="4" t="str">
        <f>IFERROR(__xludf.DUMMYFUNCTION("GOOGLETRANSLATE(D:D,""auto"",""en"")"),"Zhang Weili the United States to respond to stranded")</f>
        <v>Zhang Weili the United States to respond to stranded</v>
      </c>
      <c r="D3814" s="4" t="s">
        <v>6452</v>
      </c>
      <c r="E3814" s="4">
        <v>8132752.0</v>
      </c>
      <c r="F3814" s="4">
        <v>13.0</v>
      </c>
      <c r="G3814" s="4" t="s">
        <v>6453</v>
      </c>
    </row>
    <row r="3815">
      <c r="A3815" s="1">
        <v>3813.0</v>
      </c>
      <c r="B3815" s="4" t="s">
        <v>6437</v>
      </c>
      <c r="C3815" s="4" t="str">
        <f>IFERROR(__xludf.DUMMYFUNCTION("GOOGLETRANSLATE(D:D,""auto"",""en"")"),"Australian Chinese woman refused to return to Beijing dismissed isolation")</f>
        <v>Australian Chinese woman refused to return to Beijing dismissed isolation</v>
      </c>
      <c r="D3815" s="4" t="s">
        <v>6454</v>
      </c>
      <c r="E3815" s="4">
        <v>8072961.0</v>
      </c>
      <c r="F3815" s="4">
        <v>14.0</v>
      </c>
      <c r="G3815" s="4" t="s">
        <v>6455</v>
      </c>
    </row>
    <row r="3816">
      <c r="A3816" s="1">
        <v>3814.0</v>
      </c>
      <c r="B3816" s="4" t="s">
        <v>6437</v>
      </c>
      <c r="C3816" s="4" t="str">
        <f>IFERROR(__xludf.DUMMYFUNCTION("GOOGLETRANSLATE(D:D,""auto"",""en"")"),"Account of the quiet sun respond nationality")</f>
        <v>Account of the quiet sun respond nationality</v>
      </c>
      <c r="D3816" s="4" t="s">
        <v>6387</v>
      </c>
      <c r="E3816" s="4">
        <v>8059600.0</v>
      </c>
      <c r="F3816" s="4">
        <v>15.0</v>
      </c>
      <c r="G3816" s="4" t="s">
        <v>6388</v>
      </c>
    </row>
    <row r="3817">
      <c r="A3817" s="1">
        <v>3815.0</v>
      </c>
      <c r="B3817" s="4" t="s">
        <v>6437</v>
      </c>
      <c r="C3817" s="4" t="str">
        <f>IFERROR(__xludf.DUMMYFUNCTION("GOOGLETRANSLATE(D:D,""auto"",""en"")"),"Song Yaxuan four years ago with its own chorus")</f>
        <v>Song Yaxuan four years ago with its own chorus</v>
      </c>
      <c r="D3817" s="4" t="s">
        <v>6409</v>
      </c>
      <c r="E3817" s="4">
        <v>7968326.0</v>
      </c>
      <c r="F3817" s="4">
        <v>16.0</v>
      </c>
      <c r="G3817" s="4" t="s">
        <v>6410</v>
      </c>
    </row>
    <row r="3818">
      <c r="A3818" s="1">
        <v>3816.0</v>
      </c>
      <c r="B3818" s="4" t="s">
        <v>6437</v>
      </c>
      <c r="C3818" s="4" t="str">
        <f>IFERROR(__xludf.DUMMYFUNCTION("GOOGLETRANSLATE(D:D,""auto"",""en"")"),"Zhang Weili Chinese propaganda in the United States come to my house")</f>
        <v>Zhang Weili Chinese propaganda in the United States come to my house</v>
      </c>
      <c r="D3818" s="4" t="s">
        <v>6456</v>
      </c>
      <c r="E3818" s="4">
        <v>7961353.0</v>
      </c>
      <c r="F3818" s="4">
        <v>17.0</v>
      </c>
      <c r="G3818" s="4" t="s">
        <v>6457</v>
      </c>
    </row>
    <row r="3819">
      <c r="A3819" s="1">
        <v>3817.0</v>
      </c>
      <c r="B3819" s="4" t="s">
        <v>6437</v>
      </c>
      <c r="C3819" s="4" t="str">
        <f>IFERROR(__xludf.DUMMYFUNCTION("GOOGLETRANSLATE(D:D,""auto"",""en"")"),"The new recombinant vaccine approved to start clinical trials crown")</f>
        <v>The new recombinant vaccine approved to start clinical trials crown</v>
      </c>
      <c r="D3819" s="4" t="s">
        <v>6458</v>
      </c>
      <c r="E3819" s="4">
        <v>7897350.0</v>
      </c>
      <c r="F3819" s="4">
        <v>18.0</v>
      </c>
      <c r="G3819" s="4" t="s">
        <v>6459</v>
      </c>
    </row>
    <row r="3820">
      <c r="A3820" s="1">
        <v>3818.0</v>
      </c>
      <c r="B3820" s="4" t="s">
        <v>6437</v>
      </c>
      <c r="C3820" s="4" t="str">
        <f>IFERROR(__xludf.DUMMYFUNCTION("GOOGLETRANSLATE(D:D,""auto"",""en"")"),"Add a new national crown 21 cases of pneumonia")</f>
        <v>Add a new national crown 21 cases of pneumonia</v>
      </c>
      <c r="D3820" s="4" t="s">
        <v>6460</v>
      </c>
      <c r="E3820" s="4">
        <v>7831012.0</v>
      </c>
      <c r="F3820" s="4">
        <v>19.0</v>
      </c>
      <c r="G3820" s="4" t="s">
        <v>6461</v>
      </c>
    </row>
    <row r="3821">
      <c r="A3821" s="1">
        <v>3819.0</v>
      </c>
      <c r="B3821" s="4" t="s">
        <v>6437</v>
      </c>
      <c r="C3821" s="4" t="str">
        <f>IFERROR(__xludf.DUMMYFUNCTION("GOOGLETRANSLATE(D:D,""auto"",""en"")"),"Wang Yibo praised the girls wearing helmets")</f>
        <v>Wang Yibo praised the girls wearing helmets</v>
      </c>
      <c r="D3821" s="4" t="s">
        <v>6391</v>
      </c>
      <c r="E3821" s="4">
        <v>7828008.0</v>
      </c>
      <c r="F3821" s="4">
        <v>20.0</v>
      </c>
      <c r="G3821" s="4" t="s">
        <v>6392</v>
      </c>
    </row>
    <row r="3822">
      <c r="A3822" s="1">
        <v>3820.0</v>
      </c>
      <c r="B3822" s="4" t="s">
        <v>6437</v>
      </c>
      <c r="C3822" s="4" t="str">
        <f>IFERROR(__xludf.DUMMYFUNCTION("GOOGLETRANSLATE(D:D,""auto"",""en"")"),"Tang Yi Xin admitted that pregnancy")</f>
        <v>Tang Yi Xin admitted that pregnancy</v>
      </c>
      <c r="D3822" s="4" t="s">
        <v>6389</v>
      </c>
      <c r="E3822" s="4">
        <v>7806522.0</v>
      </c>
      <c r="F3822" s="4">
        <v>21.0</v>
      </c>
      <c r="G3822" s="4" t="s">
        <v>6390</v>
      </c>
    </row>
    <row r="3823">
      <c r="A3823" s="1">
        <v>3821.0</v>
      </c>
      <c r="B3823" s="4" t="s">
        <v>6437</v>
      </c>
      <c r="C3823" s="4" t="str">
        <f>IFERROR(__xludf.DUMMYFUNCTION("GOOGLETRANSLATE(D:D,""auto"",""en"")"),"Zhang Weili Xu Mita homely chatter")</f>
        <v>Zhang Weili Xu Mita homely chatter</v>
      </c>
      <c r="D3823" s="4" t="s">
        <v>6462</v>
      </c>
      <c r="E3823" s="4">
        <v>7745766.0</v>
      </c>
      <c r="F3823" s="4">
        <v>22.0</v>
      </c>
      <c r="G3823" s="4" t="s">
        <v>6463</v>
      </c>
    </row>
    <row r="3824">
      <c r="A3824" s="1">
        <v>3822.0</v>
      </c>
      <c r="B3824" s="4" t="s">
        <v>6437</v>
      </c>
      <c r="C3824" s="4" t="str">
        <f>IFERROR(__xludf.DUMMYFUNCTION("GOOGLETRANSLATE(D:D,""auto"",""en"")"),"Zhang Weili hate isolation insist on drinking mineral water woman")</f>
        <v>Zhang Weili hate isolation insist on drinking mineral water woman</v>
      </c>
      <c r="D3824" s="4" t="s">
        <v>6464</v>
      </c>
      <c r="E3824" s="4">
        <v>7711608.0</v>
      </c>
      <c r="F3824" s="4">
        <v>23.0</v>
      </c>
      <c r="G3824" s="4" t="s">
        <v>6465</v>
      </c>
    </row>
    <row r="3825">
      <c r="A3825" s="1">
        <v>3823.0</v>
      </c>
      <c r="B3825" s="4" t="s">
        <v>6437</v>
      </c>
      <c r="C3825" s="4" t="str">
        <f>IFERROR(__xludf.DUMMYFUNCTION("GOOGLETRANSLATE(D:D,""auto"",""en"")"),"Ace family responded Zhejiang, Hubei medical aid")</f>
        <v>Ace family responded Zhejiang, Hubei medical aid</v>
      </c>
      <c r="D3825" s="4" t="s">
        <v>6407</v>
      </c>
      <c r="E3825" s="4">
        <v>7656221.0</v>
      </c>
      <c r="F3825" s="4">
        <v>24.0</v>
      </c>
      <c r="G3825" s="4" t="s">
        <v>6408</v>
      </c>
    </row>
    <row r="3826">
      <c r="A3826" s="1">
        <v>3824.0</v>
      </c>
      <c r="B3826" s="4" t="s">
        <v>6437</v>
      </c>
      <c r="C3826" s="4" t="str">
        <f>IFERROR(__xludf.DUMMYFUNCTION("GOOGLETRANSLATE(D:D,""auto"",""en"")"),"Huang Shuhao monk")</f>
        <v>Huang Shuhao monk</v>
      </c>
      <c r="D3826" s="4" t="s">
        <v>6466</v>
      </c>
      <c r="E3826" s="4">
        <v>7420757.0</v>
      </c>
      <c r="F3826" s="4">
        <v>25.0</v>
      </c>
      <c r="G3826" s="4" t="s">
        <v>6467</v>
      </c>
    </row>
    <row r="3827">
      <c r="A3827" s="1">
        <v>3825.0</v>
      </c>
      <c r="B3827" s="4" t="s">
        <v>6437</v>
      </c>
      <c r="C3827" s="4" t="str">
        <f>IFERROR(__xludf.DUMMYFUNCTION("GOOGLETRANSLATE(D:D,""auto"",""en"")"),"Zhang Weili helpless stranded America")</f>
        <v>Zhang Weili helpless stranded America</v>
      </c>
      <c r="D3827" s="4" t="s">
        <v>6468</v>
      </c>
      <c r="E3827" s="4">
        <v>7415690.0</v>
      </c>
      <c r="F3827" s="4">
        <v>26.0</v>
      </c>
      <c r="G3827" s="4" t="s">
        <v>6469</v>
      </c>
    </row>
    <row r="3828">
      <c r="A3828" s="1">
        <v>3826.0</v>
      </c>
      <c r="B3828" s="4" t="s">
        <v>6437</v>
      </c>
      <c r="C3828" s="4" t="str">
        <f>IFERROR(__xludf.DUMMYFUNCTION("GOOGLETRANSLATE(D:D,""auto"",""en"")"),"Wang Yibo elastic pants")</f>
        <v>Wang Yibo elastic pants</v>
      </c>
      <c r="D3828" s="4" t="s">
        <v>6470</v>
      </c>
      <c r="E3828" s="4">
        <v>7393139.0</v>
      </c>
      <c r="F3828" s="4">
        <v>27.0</v>
      </c>
      <c r="G3828" s="4" t="s">
        <v>6471</v>
      </c>
    </row>
    <row r="3829">
      <c r="A3829" s="1">
        <v>3827.0</v>
      </c>
      <c r="B3829" s="4" t="s">
        <v>6437</v>
      </c>
      <c r="C3829" s="4" t="str">
        <f>IFERROR(__xludf.DUMMYFUNCTION("GOOGLETRANSLATE(D:D,""auto"",""en"")"),"Zhang Yu Jian said Yu Shuxin crazy")</f>
        <v>Zhang Yu Jian said Yu Shuxin crazy</v>
      </c>
      <c r="D3829" s="4" t="s">
        <v>6419</v>
      </c>
      <c r="E3829" s="4">
        <v>7378274.0</v>
      </c>
      <c r="F3829" s="4">
        <v>28.0</v>
      </c>
      <c r="G3829" s="4" t="s">
        <v>6420</v>
      </c>
    </row>
    <row r="3830">
      <c r="A3830" s="1">
        <v>3828.0</v>
      </c>
      <c r="B3830" s="4" t="s">
        <v>6437</v>
      </c>
      <c r="C3830" s="4" t="str">
        <f>IFERROR(__xludf.DUMMYFUNCTION("GOOGLETRANSLATE(D:D,""auto"",""en"")"),"Zhang Weili water intoxication defending ago")</f>
        <v>Zhang Weili water intoxication defending ago</v>
      </c>
      <c r="D3830" s="4" t="s">
        <v>6362</v>
      </c>
      <c r="E3830" s="4">
        <v>7315518.0</v>
      </c>
      <c r="F3830" s="4">
        <v>29.0</v>
      </c>
      <c r="G3830" s="4" t="s">
        <v>6363</v>
      </c>
    </row>
    <row r="3831">
      <c r="A3831" s="1">
        <v>3829.0</v>
      </c>
      <c r="B3831" s="4" t="s">
        <v>6437</v>
      </c>
      <c r="C3831" s="4" t="str">
        <f>IFERROR(__xludf.DUMMYFUNCTION("GOOGLETRANSLATE(D:D,""auto"",""en"")"),"Ministry of Education, in response to the college entrance examination postponed")</f>
        <v>Ministry of Education, in response to the college entrance examination postponed</v>
      </c>
      <c r="D3831" s="4" t="s">
        <v>6472</v>
      </c>
      <c r="E3831" s="4">
        <v>7257662.0</v>
      </c>
      <c r="F3831" s="4">
        <v>30.0</v>
      </c>
      <c r="G3831" s="4" t="s">
        <v>6473</v>
      </c>
    </row>
    <row r="3832">
      <c r="A3832" s="1">
        <v>3830.0</v>
      </c>
      <c r="B3832" s="4" t="s">
        <v>6437</v>
      </c>
      <c r="C3832" s="4" t="str">
        <f>IFERROR(__xludf.DUMMYFUNCTION("GOOGLETRANSLATE(D:D,""auto"",""en"")"),"82-year-old suspect at large involved in major criminal cases")</f>
        <v>82-year-old suspect at large involved in major criminal cases</v>
      </c>
      <c r="D3832" s="4" t="s">
        <v>6375</v>
      </c>
      <c r="E3832" s="4">
        <v>7171549.0</v>
      </c>
      <c r="F3832" s="4">
        <v>31.0</v>
      </c>
      <c r="G3832" s="4" t="s">
        <v>6376</v>
      </c>
    </row>
    <row r="3833">
      <c r="A3833" s="1">
        <v>3831.0</v>
      </c>
      <c r="B3833" s="4" t="s">
        <v>6437</v>
      </c>
      <c r="C3833" s="4" t="str">
        <f>IFERROR(__xludf.DUMMYFUNCTION("GOOGLETRANSLATE(D:D,""auto"",""en"")"),"Zhang Weili goal is to fill the gold belt with precious stones")</f>
        <v>Zhang Weili goal is to fill the gold belt with precious stones</v>
      </c>
      <c r="D3833" s="4" t="s">
        <v>6474</v>
      </c>
      <c r="E3833" s="4">
        <v>7120777.0</v>
      </c>
      <c r="F3833" s="4">
        <v>32.0</v>
      </c>
      <c r="G3833" s="4" t="s">
        <v>6475</v>
      </c>
    </row>
    <row r="3834">
      <c r="A3834" s="1">
        <v>3832.0</v>
      </c>
      <c r="B3834" s="4" t="s">
        <v>6437</v>
      </c>
      <c r="C3834" s="4" t="str">
        <f>IFERROR(__xludf.DUMMYFUNCTION("GOOGLETRANSLATE(D:D,""auto"",""en"")"),"Teachers respond to students' written work cross the concrete floor")</f>
        <v>Teachers respond to students' written work cross the concrete floor</v>
      </c>
      <c r="D3834" s="4" t="s">
        <v>6435</v>
      </c>
      <c r="E3834" s="4">
        <v>7056653.0</v>
      </c>
      <c r="F3834" s="4">
        <v>33.0</v>
      </c>
      <c r="G3834" s="4" t="s">
        <v>6436</v>
      </c>
    </row>
    <row r="3835">
      <c r="A3835" s="1">
        <v>3833.0</v>
      </c>
      <c r="B3835" s="4" t="s">
        <v>6437</v>
      </c>
      <c r="C3835" s="4" t="str">
        <f>IFERROR(__xludf.DUMMYFUNCTION("GOOGLETRANSLATE(D:D,""auto"",""en"")"),"Camp officials declared 2020 the creation of Song Qian")</f>
        <v>Camp officials declared 2020 the creation of Song Qian</v>
      </c>
      <c r="D3835" s="4" t="s">
        <v>6411</v>
      </c>
      <c r="E3835" s="4">
        <v>6936253.0</v>
      </c>
      <c r="F3835" s="4">
        <v>34.0</v>
      </c>
      <c r="G3835" s="4" t="s">
        <v>6412</v>
      </c>
    </row>
    <row r="3836">
      <c r="A3836" s="1">
        <v>3834.0</v>
      </c>
      <c r="B3836" s="4" t="s">
        <v>6437</v>
      </c>
      <c r="C3836" s="4" t="str">
        <f>IFERROR(__xludf.DUMMYFUNCTION("GOOGLETRANSLATE(D:D,""auto"",""en"")"),"China does not raise giant baby")</f>
        <v>China does not raise giant baby</v>
      </c>
      <c r="D3836" s="4" t="s">
        <v>6476</v>
      </c>
      <c r="E3836" s="4">
        <v>6866781.0</v>
      </c>
      <c r="F3836" s="4">
        <v>35.0</v>
      </c>
      <c r="G3836" s="4" t="s">
        <v>6477</v>
      </c>
    </row>
    <row r="3837">
      <c r="A3837" s="1">
        <v>3835.0</v>
      </c>
      <c r="B3837" s="4" t="s">
        <v>6437</v>
      </c>
      <c r="C3837" s="4" t="str">
        <f>IFERROR(__xludf.DUMMYFUNCTION("GOOGLETRANSLATE(D:D,""auto"",""en"")"),"Shandong new one case the United States imported cases")</f>
        <v>Shandong new one case the United States imported cases</v>
      </c>
      <c r="D3837" s="4" t="s">
        <v>6478</v>
      </c>
      <c r="E3837" s="4">
        <v>6606729.0</v>
      </c>
      <c r="F3837" s="4">
        <v>36.0</v>
      </c>
      <c r="G3837" s="4" t="s">
        <v>6479</v>
      </c>
    </row>
    <row r="3838">
      <c r="A3838" s="1">
        <v>3836.0</v>
      </c>
      <c r="B3838" s="4" t="s">
        <v>6437</v>
      </c>
      <c r="C3838" s="4" t="str">
        <f>IFERROR(__xludf.DUMMYFUNCTION("GOOGLETRANSLATE(D:D,""auto"",""en"")"),"Zhang Weili live chat stranded America")</f>
        <v>Zhang Weili live chat stranded America</v>
      </c>
      <c r="D3838" s="4" t="s">
        <v>6480</v>
      </c>
      <c r="E3838" s="4">
        <v>6603554.0</v>
      </c>
      <c r="F3838" s="4">
        <v>37.0</v>
      </c>
      <c r="G3838" s="4" t="s">
        <v>6481</v>
      </c>
    </row>
    <row r="3839">
      <c r="A3839" s="1">
        <v>3837.0</v>
      </c>
      <c r="B3839" s="4" t="s">
        <v>6437</v>
      </c>
      <c r="C3839" s="4" t="str">
        <f>IFERROR(__xludf.DUMMYFUNCTION("GOOGLETRANSLATE(D:D,""auto"",""en"")"),"Zhao Zhiwei did not love derailment")</f>
        <v>Zhao Zhiwei did not love derailment</v>
      </c>
      <c r="D3839" s="4" t="s">
        <v>6393</v>
      </c>
      <c r="E3839" s="4">
        <v>6560171.0</v>
      </c>
      <c r="F3839" s="4">
        <v>38.0</v>
      </c>
      <c r="G3839" s="4" t="s">
        <v>6394</v>
      </c>
    </row>
    <row r="3840">
      <c r="A3840" s="1">
        <v>3838.0</v>
      </c>
      <c r="B3840" s="4" t="s">
        <v>6437</v>
      </c>
      <c r="C3840" s="4" t="str">
        <f>IFERROR(__xludf.DUMMYFUNCTION("GOOGLETRANSLATE(D:D,""auto"",""en"")"),"The study said O blood type is relatively easy to infect new crown pneumonia")</f>
        <v>The study said O blood type is relatively easy to infect new crown pneumonia</v>
      </c>
      <c r="D3840" s="4" t="s">
        <v>6482</v>
      </c>
      <c r="E3840" s="4">
        <v>6536552.0</v>
      </c>
      <c r="F3840" s="4">
        <v>39.0</v>
      </c>
      <c r="G3840" s="4" t="s">
        <v>6483</v>
      </c>
    </row>
    <row r="3841">
      <c r="A3841" s="1">
        <v>3839.0</v>
      </c>
      <c r="B3841" s="4" t="s">
        <v>6437</v>
      </c>
      <c r="C3841" s="4" t="str">
        <f>IFERROR(__xludf.DUMMYFUNCTION("GOOGLETRANSLATE(D:D,""auto"",""en"")"),"Italian officials said the outbreak may be the turning point is coming")</f>
        <v>Italian officials said the outbreak may be the turning point is coming</v>
      </c>
      <c r="D3841" s="4" t="s">
        <v>6484</v>
      </c>
      <c r="E3841" s="4">
        <v>6491004.0</v>
      </c>
      <c r="F3841" s="4">
        <v>40.0</v>
      </c>
      <c r="G3841" s="4" t="s">
        <v>6485</v>
      </c>
    </row>
    <row r="3842">
      <c r="A3842" s="1">
        <v>3840.0</v>
      </c>
      <c r="B3842" s="4" t="s">
        <v>6437</v>
      </c>
      <c r="C3842" s="4" t="str">
        <f>IFERROR(__xludf.DUMMYFUNCTION("GOOGLETRANSLATE(D:D,""auto"",""en"")"),"Australian Chinese woman back to Beijing after the official refused to follow isolation")</f>
        <v>Australian Chinese woman back to Beijing after the official refused to follow isolation</v>
      </c>
      <c r="D3842" s="4" t="s">
        <v>6486</v>
      </c>
      <c r="E3842" s="4">
        <v>6490921.0</v>
      </c>
      <c r="F3842" s="4">
        <v>41.0</v>
      </c>
      <c r="G3842" s="4" t="s">
        <v>6487</v>
      </c>
    </row>
    <row r="3843">
      <c r="A3843" s="1">
        <v>3841.0</v>
      </c>
      <c r="B3843" s="4" t="s">
        <v>6437</v>
      </c>
      <c r="C3843" s="4" t="str">
        <f>IFERROR(__xludf.DUMMYFUNCTION("GOOGLETRANSLATE(D:D,""auto"",""en"")"),"Firefighters broke the early morning rescue was too noisy neighbors")</f>
        <v>Firefighters broke the early morning rescue was too noisy neighbors</v>
      </c>
      <c r="D3843" s="4" t="s">
        <v>6488</v>
      </c>
      <c r="E3843" s="4">
        <v>6490916.0</v>
      </c>
      <c r="F3843" s="4">
        <v>42.0</v>
      </c>
      <c r="G3843" s="4" t="s">
        <v>6489</v>
      </c>
    </row>
    <row r="3844">
      <c r="A3844" s="1">
        <v>3842.0</v>
      </c>
      <c r="B3844" s="4" t="s">
        <v>6437</v>
      </c>
      <c r="C3844" s="4" t="str">
        <f>IFERROR(__xludf.DUMMYFUNCTION("GOOGLETRANSLATE(D:D,""auto"",""en"")"),"Students returning to Italy was removed 28 hours")</f>
        <v>Students returning to Italy was removed 28 hours</v>
      </c>
      <c r="D3844" s="4" t="s">
        <v>6490</v>
      </c>
      <c r="E3844" s="4">
        <v>6490911.0</v>
      </c>
      <c r="F3844" s="4">
        <v>43.0</v>
      </c>
      <c r="G3844" s="4" t="s">
        <v>6491</v>
      </c>
    </row>
    <row r="3845">
      <c r="A3845" s="1">
        <v>3843.0</v>
      </c>
      <c r="B3845" s="4" t="s">
        <v>6437</v>
      </c>
      <c r="C3845" s="4" t="str">
        <f>IFERROR(__xludf.DUMMYFUNCTION("GOOGLETRANSLATE(D:D,""auto"",""en"")"),"Beijing Capital International Airport Terminal tumbled immigration officers")</f>
        <v>Beijing Capital International Airport Terminal tumbled immigration officers</v>
      </c>
      <c r="D3845" s="4" t="s">
        <v>6492</v>
      </c>
      <c r="E3845" s="4">
        <v>6490908.0</v>
      </c>
      <c r="F3845" s="4">
        <v>44.0</v>
      </c>
      <c r="G3845" s="4" t="s">
        <v>6493</v>
      </c>
    </row>
    <row r="3846">
      <c r="A3846" s="1">
        <v>3844.0</v>
      </c>
      <c r="B3846" s="4" t="s">
        <v>6437</v>
      </c>
      <c r="C3846" s="4" t="str">
        <f>IFERROR(__xludf.DUMMYFUNCTION("GOOGLETRANSLATE(D:D,""auto"",""en"")"),"Wu Chun introduced to Calvin girlfriend")</f>
        <v>Wu Chun introduced to Calvin girlfriend</v>
      </c>
      <c r="D3846" s="4" t="s">
        <v>6494</v>
      </c>
      <c r="E3846" s="4">
        <v>6490905.0</v>
      </c>
      <c r="F3846" s="4">
        <v>45.0</v>
      </c>
      <c r="G3846" s="4" t="s">
        <v>6495</v>
      </c>
    </row>
    <row r="3847">
      <c r="A3847" s="1">
        <v>3845.0</v>
      </c>
      <c r="B3847" s="4" t="s">
        <v>6437</v>
      </c>
      <c r="C3847" s="4" t="str">
        <f>IFERROR(__xludf.DUMMYFUNCTION("GOOGLETRANSLATE(D:D,""auto"",""en"")"),"Shaanxi National Medical Emergency Rescue Team returned from Wuhan")</f>
        <v>Shaanxi National Medical Emergency Rescue Team returned from Wuhan</v>
      </c>
      <c r="D3847" s="4" t="s">
        <v>6496</v>
      </c>
      <c r="E3847" s="4">
        <v>6355383.0</v>
      </c>
      <c r="F3847" s="4">
        <v>46.0</v>
      </c>
      <c r="G3847" s="4" t="s">
        <v>6497</v>
      </c>
    </row>
    <row r="3848">
      <c r="A3848" s="1">
        <v>3846.0</v>
      </c>
      <c r="B3848" s="4" t="s">
        <v>6437</v>
      </c>
      <c r="C3848" s="4" t="str">
        <f>IFERROR(__xludf.DUMMYFUNCTION("GOOGLETRANSLATE(D:D,""auto"",""en"")"),"Chengdu allow temporary Jeeves")</f>
        <v>Chengdu allow temporary Jeeves</v>
      </c>
      <c r="D3848" s="4" t="s">
        <v>6498</v>
      </c>
      <c r="E3848" s="4">
        <v>6350118.0</v>
      </c>
      <c r="F3848" s="4">
        <v>47.0</v>
      </c>
      <c r="G3848" s="4" t="s">
        <v>6499</v>
      </c>
    </row>
    <row r="3849">
      <c r="A3849" s="1">
        <v>3847.0</v>
      </c>
      <c r="B3849" s="4" t="s">
        <v>6437</v>
      </c>
      <c r="C3849" s="4" t="str">
        <f>IFERROR(__xludf.DUMMYFUNCTION("GOOGLETRANSLATE(D:D,""auto"",""en"")"),"Guiyang found a foreign enter asymptomatic infection")</f>
        <v>Guiyang found a foreign enter asymptomatic infection</v>
      </c>
      <c r="D3849" s="4" t="s">
        <v>6500</v>
      </c>
      <c r="E3849" s="4">
        <v>6230485.0</v>
      </c>
      <c r="F3849" s="4">
        <v>48.0</v>
      </c>
      <c r="G3849" s="4" t="s">
        <v>6501</v>
      </c>
    </row>
    <row r="3850">
      <c r="A3850" s="1">
        <v>3848.0</v>
      </c>
      <c r="B3850" s="4" t="s">
        <v>6437</v>
      </c>
      <c r="C3850" s="4" t="str">
        <f>IFERROR(__xludf.DUMMYFUNCTION("GOOGLETRANSLATE(D:D,""auto"",""en"")"),"ZHANG Wen-hong students or need to return home")</f>
        <v>ZHANG Wen-hong students or need to return home</v>
      </c>
      <c r="D3850" s="4" t="s">
        <v>6502</v>
      </c>
      <c r="E3850" s="4">
        <v>6041732.0</v>
      </c>
      <c r="F3850" s="4">
        <v>49.0</v>
      </c>
      <c r="G3850" s="4" t="s">
        <v>6503</v>
      </c>
    </row>
    <row r="3851">
      <c r="A3851" s="1">
        <v>3849.0</v>
      </c>
      <c r="B3851" s="4" t="s">
        <v>6437</v>
      </c>
      <c r="C3851" s="4" t="str">
        <f>IFERROR(__xludf.DUMMYFUNCTION("GOOGLETRANSLATE(D:D,""auto"",""en"")"),"Make Long announced that France is in a state of war")</f>
        <v>Make Long announced that France is in a state of war</v>
      </c>
      <c r="D3851" s="4" t="s">
        <v>6504</v>
      </c>
      <c r="E3851" s="4">
        <v>6013344.0</v>
      </c>
      <c r="F3851" s="4">
        <v>50.0</v>
      </c>
      <c r="G3851" s="4" t="s">
        <v>6505</v>
      </c>
    </row>
    <row r="3852">
      <c r="A3852" s="1">
        <v>3850.0</v>
      </c>
      <c r="B3852" s="4" t="s">
        <v>6506</v>
      </c>
      <c r="C3852" s="4" t="str">
        <f>IFERROR(__xludf.DUMMYFUNCTION("GOOGLETRANSLATE(D:D,""auto"",""en"")"),"Lou Yi Xiao collarbone put lipstick")</f>
        <v>Lou Yi Xiao collarbone put lipstick</v>
      </c>
      <c r="D3852" s="4" t="s">
        <v>6507</v>
      </c>
      <c r="E3852" s="4">
        <v>1.4562331E7</v>
      </c>
      <c r="F3852" s="4">
        <v>1.0</v>
      </c>
      <c r="G3852" s="4" t="s">
        <v>6508</v>
      </c>
    </row>
    <row r="3853">
      <c r="A3853" s="1">
        <v>3851.0</v>
      </c>
      <c r="B3853" s="4" t="s">
        <v>6506</v>
      </c>
      <c r="C3853" s="4" t="str">
        <f>IFERROR(__xludf.DUMMYFUNCTION("GOOGLETRANSLATE(D:D,""auto"",""en"")"),"Shenzhen Weather")</f>
        <v>Shenzhen Weather</v>
      </c>
      <c r="D3853" s="4" t="s">
        <v>6509</v>
      </c>
      <c r="E3853" s="4">
        <v>1.4011996E7</v>
      </c>
      <c r="F3853" s="4">
        <v>2.0</v>
      </c>
      <c r="G3853" s="4" t="s">
        <v>6510</v>
      </c>
    </row>
    <row r="3854">
      <c r="A3854" s="1">
        <v>3852.0</v>
      </c>
      <c r="B3854" s="4" t="s">
        <v>6506</v>
      </c>
      <c r="C3854" s="4" t="str">
        <f>IFERROR(__xludf.DUMMYFUNCTION("GOOGLETRANSLATE(D:D,""auto"",""en"")"),"Zhang Meng Zhang Meng response")</f>
        <v>Zhang Meng Zhang Meng response</v>
      </c>
      <c r="D3854" s="4" t="s">
        <v>6511</v>
      </c>
      <c r="E3854" s="4">
        <v>1.3364371E7</v>
      </c>
      <c r="F3854" s="4">
        <v>3.0</v>
      </c>
      <c r="G3854" s="4" t="s">
        <v>6512</v>
      </c>
    </row>
    <row r="3855">
      <c r="A3855" s="1">
        <v>3853.0</v>
      </c>
      <c r="B3855" s="4" t="s">
        <v>6506</v>
      </c>
      <c r="C3855" s="4" t="str">
        <f>IFERROR(__xludf.DUMMYFUNCTION("GOOGLETRANSLATE(D:D,""auto"",""en"")"),"China does not raise giant baby")</f>
        <v>China does not raise giant baby</v>
      </c>
      <c r="D3855" s="4" t="s">
        <v>6476</v>
      </c>
      <c r="E3855" s="4">
        <v>1.1210227E7</v>
      </c>
      <c r="F3855" s="4">
        <v>4.0</v>
      </c>
      <c r="G3855" s="4" t="s">
        <v>6477</v>
      </c>
    </row>
    <row r="3856">
      <c r="A3856" s="1">
        <v>3854.0</v>
      </c>
      <c r="B3856" s="4" t="s">
        <v>6506</v>
      </c>
      <c r="C3856" s="4" t="str">
        <f>IFERROR(__xludf.DUMMYFUNCTION("GOOGLETRANSLATE(D:D,""auto"",""en"")"),"Zhang Meng apology")</f>
        <v>Zhang Meng apology</v>
      </c>
      <c r="D3856" s="4" t="s">
        <v>6513</v>
      </c>
      <c r="E3856" s="4">
        <v>1.1000832E7</v>
      </c>
      <c r="F3856" s="4">
        <v>5.0</v>
      </c>
      <c r="G3856" s="4" t="s">
        <v>6514</v>
      </c>
    </row>
    <row r="3857">
      <c r="A3857" s="1">
        <v>3855.0</v>
      </c>
      <c r="B3857" s="4" t="s">
        <v>6506</v>
      </c>
      <c r="C3857" s="4" t="str">
        <f>IFERROR(__xludf.DUMMYFUNCTION("GOOGLETRANSLATE(D:D,""auto"",""en"")"),"Zhong Nanshan said that the problem can not be solved by so-called collective immunity")</f>
        <v>Zhong Nanshan said that the problem can not be solved by so-called collective immunity</v>
      </c>
      <c r="D3857" s="4" t="s">
        <v>6515</v>
      </c>
      <c r="E3857" s="4">
        <v>1.0174583E7</v>
      </c>
      <c r="F3857" s="4">
        <v>6.0</v>
      </c>
      <c r="G3857" s="4" t="s">
        <v>6516</v>
      </c>
    </row>
    <row r="3858">
      <c r="A3858" s="1">
        <v>3856.0</v>
      </c>
      <c r="B3858" s="4" t="s">
        <v>6506</v>
      </c>
      <c r="C3858" s="4" t="str">
        <f>IFERROR(__xludf.DUMMYFUNCTION("GOOGLETRANSLATE(D:D,""auto"",""en"")"),"Eric Tsang Ling Ye challenge imitate Saipan")</f>
        <v>Eric Tsang Ling Ye challenge imitate Saipan</v>
      </c>
      <c r="D3858" s="4" t="s">
        <v>6517</v>
      </c>
      <c r="E3858" s="4">
        <v>1.0108305E7</v>
      </c>
      <c r="F3858" s="4">
        <v>7.0</v>
      </c>
      <c r="G3858" s="4" t="s">
        <v>6518</v>
      </c>
    </row>
    <row r="3859">
      <c r="A3859" s="1">
        <v>3857.0</v>
      </c>
      <c r="B3859" s="4" t="s">
        <v>6506</v>
      </c>
      <c r="C3859" s="4" t="str">
        <f>IFERROR(__xludf.DUMMYFUNCTION("GOOGLETRANSLATE(D:D,""auto"",""en"")"),"Mainland of China for the first time no new suspected cases of local")</f>
        <v>Mainland of China for the first time no new suspected cases of local</v>
      </c>
      <c r="D3859" s="4" t="s">
        <v>6519</v>
      </c>
      <c r="E3859" s="4">
        <v>9865759.0</v>
      </c>
      <c r="F3859" s="4">
        <v>8.0</v>
      </c>
      <c r="G3859" s="4" t="s">
        <v>6520</v>
      </c>
    </row>
    <row r="3860">
      <c r="A3860" s="1">
        <v>3858.0</v>
      </c>
      <c r="B3860" s="4" t="s">
        <v>6506</v>
      </c>
      <c r="C3860" s="4" t="str">
        <f>IFERROR(__xludf.DUMMYFUNCTION("GOOGLETRANSLATE(D:D,""auto"",""en"")"),"Old driver conscience say luxury car")</f>
        <v>Old driver conscience say luxury car</v>
      </c>
      <c r="D3860" s="4" t="s">
        <v>6521</v>
      </c>
      <c r="E3860" s="4">
        <v>9824298.0</v>
      </c>
      <c r="F3860" s="4">
        <v>9.0</v>
      </c>
      <c r="G3860" s="4" t="s">
        <v>6522</v>
      </c>
    </row>
    <row r="3861">
      <c r="A3861" s="1">
        <v>3859.0</v>
      </c>
      <c r="B3861" s="4" t="s">
        <v>6506</v>
      </c>
      <c r="C3861" s="4" t="str">
        <f>IFERROR(__xludf.DUMMYFUNCTION("GOOGLETRANSLATE(D:D,""auto"",""en"")"),"Zhang Weili response to the invitation of Chinese in the United States")</f>
        <v>Zhang Weili response to the invitation of Chinese in the United States</v>
      </c>
      <c r="D3861" s="4" t="s">
        <v>6523</v>
      </c>
      <c r="E3861" s="4">
        <v>8901068.0</v>
      </c>
      <c r="F3861" s="4">
        <v>10.0</v>
      </c>
      <c r="G3861" s="4" t="s">
        <v>6524</v>
      </c>
    </row>
    <row r="3862">
      <c r="A3862" s="1">
        <v>3860.0</v>
      </c>
      <c r="B3862" s="4" t="s">
        <v>6506</v>
      </c>
      <c r="C3862" s="4" t="str">
        <f>IFERROR(__xludf.DUMMYFUNCTION("GOOGLETRANSLATE(D:D,""auto"",""en"")"),"Li Jiaqi do not buy it")</f>
        <v>Li Jiaqi do not buy it</v>
      </c>
      <c r="D3862" s="4" t="s">
        <v>6525</v>
      </c>
      <c r="E3862" s="4">
        <v>8851535.0</v>
      </c>
      <c r="F3862" s="4">
        <v>11.0</v>
      </c>
      <c r="G3862" s="4" t="s">
        <v>6526</v>
      </c>
    </row>
    <row r="3863">
      <c r="A3863" s="1">
        <v>3861.0</v>
      </c>
      <c r="B3863" s="4" t="s">
        <v>6506</v>
      </c>
      <c r="C3863" s="4" t="str">
        <f>IFERROR(__xludf.DUMMYFUNCTION("GOOGLETRANSLATE(D:D,""auto"",""en"")"),"Durant diagnosed before the final battle against the Lakers")</f>
        <v>Durant diagnosed before the final battle against the Lakers</v>
      </c>
      <c r="D3863" s="4" t="s">
        <v>6527</v>
      </c>
      <c r="E3863" s="4">
        <v>8811278.0</v>
      </c>
      <c r="F3863" s="4">
        <v>12.0</v>
      </c>
      <c r="G3863" s="4" t="s">
        <v>6528</v>
      </c>
    </row>
    <row r="3864">
      <c r="A3864" s="1">
        <v>3862.0</v>
      </c>
      <c r="B3864" s="4" t="s">
        <v>6506</v>
      </c>
      <c r="C3864" s="4" t="str">
        <f>IFERROR(__xludf.DUMMYFUNCTION("GOOGLETRANSLATE(D:D,""auto"",""en"")"),"Italy church filled coffin")</f>
        <v>Italy church filled coffin</v>
      </c>
      <c r="D3864" s="4" t="s">
        <v>6529</v>
      </c>
      <c r="E3864" s="4">
        <v>8762945.0</v>
      </c>
      <c r="F3864" s="4">
        <v>13.0</v>
      </c>
      <c r="G3864" s="4" t="s">
        <v>6530</v>
      </c>
    </row>
    <row r="3865">
      <c r="A3865" s="1">
        <v>3863.0</v>
      </c>
      <c r="B3865" s="4" t="s">
        <v>6506</v>
      </c>
      <c r="C3865" s="4" t="str">
        <f>IFERROR(__xludf.DUMMYFUNCTION("GOOGLETRANSLATE(D:D,""auto"",""en"")"),"Zhang Weili Chinese propaganda in the United States come to my house")</f>
        <v>Zhang Weili Chinese propaganda in the United States come to my house</v>
      </c>
      <c r="D3865" s="4" t="s">
        <v>6456</v>
      </c>
      <c r="E3865" s="4">
        <v>8128167.0</v>
      </c>
      <c r="F3865" s="4">
        <v>14.0</v>
      </c>
      <c r="G3865" s="4" t="s">
        <v>6457</v>
      </c>
    </row>
    <row r="3866">
      <c r="A3866" s="1">
        <v>3864.0</v>
      </c>
      <c r="B3866" s="4" t="s">
        <v>6506</v>
      </c>
      <c r="C3866" s="4" t="str">
        <f>IFERROR(__xludf.DUMMYFUNCTION("GOOGLETRANSLATE(D:D,""auto"",""en"")"),"Beijing Yanqing burst fire")</f>
        <v>Beijing Yanqing burst fire</v>
      </c>
      <c r="D3866" s="4" t="s">
        <v>6531</v>
      </c>
      <c r="E3866" s="4">
        <v>7914170.0</v>
      </c>
      <c r="F3866" s="4">
        <v>15.0</v>
      </c>
      <c r="G3866" s="4" t="s">
        <v>6532</v>
      </c>
    </row>
    <row r="3867">
      <c r="A3867" s="1">
        <v>3865.0</v>
      </c>
      <c r="B3867" s="4" t="s">
        <v>6506</v>
      </c>
      <c r="C3867" s="4" t="str">
        <f>IFERROR(__xludf.DUMMYFUNCTION("GOOGLETRANSLATE(D:D,""auto"",""en"")"),"People's Daily commentary Qiu Chen")</f>
        <v>People's Daily commentary Qiu Chen</v>
      </c>
      <c r="D3867" s="4" t="s">
        <v>6442</v>
      </c>
      <c r="E3867" s="4">
        <v>7875238.0</v>
      </c>
      <c r="F3867" s="4">
        <v>16.0</v>
      </c>
      <c r="G3867" s="4" t="s">
        <v>6443</v>
      </c>
    </row>
    <row r="3868">
      <c r="A3868" s="1">
        <v>3866.0</v>
      </c>
      <c r="B3868" s="4" t="s">
        <v>6506</v>
      </c>
      <c r="C3868" s="4" t="str">
        <f>IFERROR(__xludf.DUMMYFUNCTION("GOOGLETRANSLATE(D:D,""auto"",""en"")"),"Song Yaxuan four years ago with its own chorus")</f>
        <v>Song Yaxuan four years ago with its own chorus</v>
      </c>
      <c r="D3868" s="4" t="s">
        <v>6409</v>
      </c>
      <c r="E3868" s="4">
        <v>7866472.0</v>
      </c>
      <c r="F3868" s="4">
        <v>17.0</v>
      </c>
      <c r="G3868" s="4" t="s">
        <v>6410</v>
      </c>
    </row>
    <row r="3869">
      <c r="A3869" s="1">
        <v>3867.0</v>
      </c>
      <c r="B3869" s="4" t="s">
        <v>6506</v>
      </c>
      <c r="C3869" s="4" t="str">
        <f>IFERROR(__xludf.DUMMYFUNCTION("GOOGLETRANSLATE(D:D,""auto"",""en"")"),"Australian Chinese woman refused to return to Beijing dismissed isolation")</f>
        <v>Australian Chinese woman refused to return to Beijing dismissed isolation</v>
      </c>
      <c r="D3869" s="4" t="s">
        <v>6454</v>
      </c>
      <c r="E3869" s="4">
        <v>7816613.0</v>
      </c>
      <c r="F3869" s="4">
        <v>18.0</v>
      </c>
      <c r="G3869" s="4" t="s">
        <v>6455</v>
      </c>
    </row>
    <row r="3870">
      <c r="A3870" s="1">
        <v>3868.0</v>
      </c>
      <c r="B3870" s="4" t="s">
        <v>6506</v>
      </c>
      <c r="C3870" s="4" t="str">
        <f>IFERROR(__xludf.DUMMYFUNCTION("GOOGLETRANSLATE(D:D,""auto"",""en"")"),"Shaanxi school time")</f>
        <v>Shaanxi school time</v>
      </c>
      <c r="D3870" s="4" t="s">
        <v>6533</v>
      </c>
      <c r="E3870" s="4">
        <v>7720678.0</v>
      </c>
      <c r="F3870" s="4">
        <v>19.0</v>
      </c>
      <c r="G3870" s="4" t="s">
        <v>6534</v>
      </c>
    </row>
    <row r="3871">
      <c r="A3871" s="1">
        <v>3869.0</v>
      </c>
      <c r="B3871" s="4" t="s">
        <v>6506</v>
      </c>
      <c r="C3871" s="4" t="str">
        <f>IFERROR(__xludf.DUMMYFUNCTION("GOOGLETRANSLATE(D:D,""auto"",""en"")"),"Zhao Liying defamation case in favor of First Instance")</f>
        <v>Zhao Liying defamation case in favor of First Instance</v>
      </c>
      <c r="D3871" s="4" t="s">
        <v>6444</v>
      </c>
      <c r="E3871" s="4">
        <v>7707083.0</v>
      </c>
      <c r="F3871" s="4">
        <v>20.0</v>
      </c>
      <c r="G3871" s="4" t="s">
        <v>6445</v>
      </c>
    </row>
    <row r="3872">
      <c r="A3872" s="1">
        <v>3870.0</v>
      </c>
      <c r="B3872" s="4" t="s">
        <v>6506</v>
      </c>
      <c r="C3872" s="4" t="str">
        <f>IFERROR(__xludf.DUMMYFUNCTION("GOOGLETRANSLATE(D:D,""auto"",""en"")"),"Wuhan 32 Thanksgiving Poster")</f>
        <v>Wuhan 32 Thanksgiving Poster</v>
      </c>
      <c r="D3872" s="4" t="s">
        <v>6535</v>
      </c>
      <c r="E3872" s="4">
        <v>7682564.0</v>
      </c>
      <c r="F3872" s="4">
        <v>21.0</v>
      </c>
      <c r="G3872" s="4" t="s">
        <v>6536</v>
      </c>
    </row>
    <row r="3873">
      <c r="A3873" s="1">
        <v>3871.0</v>
      </c>
      <c r="B3873" s="4" t="s">
        <v>6506</v>
      </c>
      <c r="C3873" s="4" t="str">
        <f>IFERROR(__xludf.DUMMYFUNCTION("GOOGLETRANSLATE(D:D,""auto"",""en"")"),"Chen Yao crying scene")</f>
        <v>Chen Yao crying scene</v>
      </c>
      <c r="D3873" s="4" t="s">
        <v>6537</v>
      </c>
      <c r="E3873" s="4">
        <v>7555184.0</v>
      </c>
      <c r="F3873" s="4">
        <v>22.0</v>
      </c>
      <c r="G3873" s="4" t="s">
        <v>6538</v>
      </c>
    </row>
    <row r="3874">
      <c r="A3874" s="1">
        <v>3872.0</v>
      </c>
      <c r="B3874" s="4" t="s">
        <v>6506</v>
      </c>
      <c r="C3874" s="4" t="str">
        <f>IFERROR(__xludf.DUMMYFUNCTION("GOOGLETRANSLATE(D:D,""auto"",""en"")"),"Zhang Weili goal is to fill the gold belt with precious stones")</f>
        <v>Zhang Weili goal is to fill the gold belt with precious stones</v>
      </c>
      <c r="D3874" s="4" t="s">
        <v>6474</v>
      </c>
      <c r="E3874" s="4">
        <v>7518895.0</v>
      </c>
      <c r="F3874" s="4">
        <v>23.0</v>
      </c>
      <c r="G3874" s="4" t="s">
        <v>6475</v>
      </c>
    </row>
    <row r="3875">
      <c r="A3875" s="1">
        <v>3873.0</v>
      </c>
      <c r="B3875" s="4" t="s">
        <v>6506</v>
      </c>
      <c r="C3875" s="4" t="str">
        <f>IFERROR(__xludf.DUMMYFUNCTION("GOOGLETRANSLATE(D:D,""auto"",""en"")"),"The new crown new 3526 cases of pneumonia Italy")</f>
        <v>The new crown new 3526 cases of pneumonia Italy</v>
      </c>
      <c r="D3875" s="4" t="s">
        <v>6539</v>
      </c>
      <c r="E3875" s="4">
        <v>7484694.0</v>
      </c>
      <c r="F3875" s="4">
        <v>24.0</v>
      </c>
      <c r="G3875" s="4" t="s">
        <v>6540</v>
      </c>
    </row>
    <row r="3876">
      <c r="A3876" s="1">
        <v>3874.0</v>
      </c>
      <c r="B3876" s="4" t="s">
        <v>6506</v>
      </c>
      <c r="C3876" s="4" t="str">
        <f>IFERROR(__xludf.DUMMYFUNCTION("GOOGLETRANSLATE(D:D,""auto"",""en"")"),"At least 30 countries worldwide declared a state of emergency")</f>
        <v>At least 30 countries worldwide declared a state of emergency</v>
      </c>
      <c r="D3876" s="4" t="s">
        <v>6541</v>
      </c>
      <c r="E3876" s="4">
        <v>7470556.0</v>
      </c>
      <c r="F3876" s="4">
        <v>25.0</v>
      </c>
      <c r="G3876" s="4" t="s">
        <v>6542</v>
      </c>
    </row>
    <row r="3877">
      <c r="A3877" s="1">
        <v>3875.0</v>
      </c>
      <c r="B3877" s="4" t="s">
        <v>6506</v>
      </c>
      <c r="C3877" s="4" t="str">
        <f>IFERROR(__xludf.DUMMYFUNCTION("GOOGLETRANSLATE(D:D,""auto"",""en"")"),"He first sun Chan family of four")</f>
        <v>He first sun Chan family of four</v>
      </c>
      <c r="D3877" s="4" t="s">
        <v>6448</v>
      </c>
      <c r="E3877" s="4">
        <v>7435893.0</v>
      </c>
      <c r="F3877" s="4">
        <v>26.0</v>
      </c>
      <c r="G3877" s="4" t="s">
        <v>6449</v>
      </c>
    </row>
    <row r="3878">
      <c r="A3878" s="1">
        <v>3876.0</v>
      </c>
      <c r="B3878" s="4" t="s">
        <v>6506</v>
      </c>
      <c r="C3878" s="4" t="str">
        <f>IFERROR(__xludf.DUMMYFUNCTION("GOOGLETRANSLATE(D:D,""auto"",""en"")"),"Zhu Zhengting noodles chew a few")</f>
        <v>Zhu Zhengting noodles chew a few</v>
      </c>
      <c r="D3878" s="4" t="s">
        <v>6543</v>
      </c>
      <c r="E3878" s="4">
        <v>7410952.0</v>
      </c>
      <c r="F3878" s="4">
        <v>27.0</v>
      </c>
      <c r="G3878" s="4" t="s">
        <v>6544</v>
      </c>
    </row>
    <row r="3879">
      <c r="A3879" s="1">
        <v>3877.0</v>
      </c>
      <c r="B3879" s="4" t="s">
        <v>6506</v>
      </c>
      <c r="C3879" s="4" t="str">
        <f>IFERROR(__xludf.DUMMYFUNCTION("GOOGLETRANSLATE(D:D,""auto"",""en"")"),"It recommended that students should be suspended must return home without very")</f>
        <v>It recommended that students should be suspended must return home without very</v>
      </c>
      <c r="D3879" s="4" t="s">
        <v>6545</v>
      </c>
      <c r="E3879" s="4">
        <v>7352767.0</v>
      </c>
      <c r="F3879" s="4">
        <v>28.0</v>
      </c>
      <c r="G3879" s="4" t="s">
        <v>6546</v>
      </c>
    </row>
    <row r="3880">
      <c r="A3880" s="1">
        <v>3878.0</v>
      </c>
      <c r="B3880" s="4" t="s">
        <v>6506</v>
      </c>
      <c r="C3880" s="4" t="str">
        <f>IFERROR(__xludf.DUMMYFUNCTION("GOOGLETRANSLATE(D:D,""auto"",""en"")"),"Li Jia Hang talk about love apartment reputation")</f>
        <v>Li Jia Hang talk about love apartment reputation</v>
      </c>
      <c r="D3880" s="4" t="s">
        <v>6547</v>
      </c>
      <c r="E3880" s="4">
        <v>7282295.0</v>
      </c>
      <c r="F3880" s="4">
        <v>29.0</v>
      </c>
      <c r="G3880" s="4" t="s">
        <v>6548</v>
      </c>
    </row>
    <row r="3881">
      <c r="A3881" s="1">
        <v>3879.0</v>
      </c>
      <c r="B3881" s="4" t="s">
        <v>6506</v>
      </c>
      <c r="C3881" s="4" t="str">
        <f>IFERROR(__xludf.DUMMYFUNCTION("GOOGLETRANSLATE(D:D,""auto"",""en"")"),"How fast mouth Guocong Ming high fire fire")</f>
        <v>How fast mouth Guocong Ming high fire fire</v>
      </c>
      <c r="D3881" s="4" t="s">
        <v>6399</v>
      </c>
      <c r="E3881" s="4">
        <v>7275868.0</v>
      </c>
      <c r="F3881" s="4">
        <v>30.0</v>
      </c>
      <c r="G3881" s="4" t="s">
        <v>6400</v>
      </c>
    </row>
    <row r="3882">
      <c r="A3882" s="1">
        <v>3880.0</v>
      </c>
      <c r="B3882" s="4" t="s">
        <v>6506</v>
      </c>
      <c r="C3882" s="4" t="str">
        <f>IFERROR(__xludf.DUMMYFUNCTION("GOOGLETRANSLATE(D:D,""auto"",""en"")"),"Hebei Baigou fire")</f>
        <v>Hebei Baigou fire</v>
      </c>
      <c r="D3882" s="4" t="s">
        <v>6549</v>
      </c>
      <c r="E3882" s="4">
        <v>7194204.0</v>
      </c>
      <c r="F3882" s="4">
        <v>31.0</v>
      </c>
      <c r="G3882" s="4" t="s">
        <v>6550</v>
      </c>
    </row>
    <row r="3883">
      <c r="A3883" s="1">
        <v>3881.0</v>
      </c>
      <c r="B3883" s="4" t="s">
        <v>6506</v>
      </c>
      <c r="C3883" s="4" t="str">
        <f>IFERROR(__xludf.DUMMYFUNCTION("GOOGLETRANSLATE(D:D,""auto"",""en"")"),"US President Trump said it would close the Canada-US border")</f>
        <v>US President Trump said it would close the Canada-US border</v>
      </c>
      <c r="D3883" s="4" t="s">
        <v>6551</v>
      </c>
      <c r="E3883" s="4">
        <v>7189368.0</v>
      </c>
      <c r="F3883" s="4">
        <v>32.0</v>
      </c>
      <c r="G3883" s="4" t="s">
        <v>6552</v>
      </c>
    </row>
    <row r="3884">
      <c r="A3884" s="1">
        <v>3882.0</v>
      </c>
      <c r="B3884" s="4" t="s">
        <v>6506</v>
      </c>
      <c r="C3884" s="4" t="str">
        <f>IFERROR(__xludf.DUMMYFUNCTION("GOOGLETRANSLATE(D:D,""auto"",""en"")"),"Ms Lin Zai Yu small range of leisure")</f>
        <v>Ms Lin Zai Yu small range of leisure</v>
      </c>
      <c r="D3884" s="4" t="s">
        <v>6383</v>
      </c>
      <c r="E3884" s="4">
        <v>7095960.0</v>
      </c>
      <c r="F3884" s="4">
        <v>33.0</v>
      </c>
      <c r="G3884" s="4" t="s">
        <v>6384</v>
      </c>
    </row>
    <row r="3885">
      <c r="A3885" s="1">
        <v>3883.0</v>
      </c>
      <c r="B3885" s="4" t="s">
        <v>6506</v>
      </c>
      <c r="C3885" s="4" t="str">
        <f>IFERROR(__xludf.DUMMYFUNCTION("GOOGLETRANSLATE(D:D,""auto"",""en"")"),"Beijing new confirmed cases of two cases of foreign input")</f>
        <v>Beijing new confirmed cases of two cases of foreign input</v>
      </c>
      <c r="D3885" s="4" t="s">
        <v>6553</v>
      </c>
      <c r="E3885" s="4">
        <v>7081004.0</v>
      </c>
      <c r="F3885" s="4">
        <v>34.0</v>
      </c>
      <c r="G3885" s="4" t="s">
        <v>6554</v>
      </c>
    </row>
    <row r="3886">
      <c r="A3886" s="1">
        <v>3884.0</v>
      </c>
      <c r="B3886" s="4" t="s">
        <v>6506</v>
      </c>
      <c r="C3886" s="4" t="str">
        <f>IFERROR(__xludf.DUMMYFUNCTION("GOOGLETRANSLATE(D:D,""auto"",""en"")"),"Apple was fined 1.1 billion euros")</f>
        <v>Apple was fined 1.1 billion euros</v>
      </c>
      <c r="D3886" s="4" t="s">
        <v>6440</v>
      </c>
      <c r="E3886" s="4">
        <v>7021238.0</v>
      </c>
      <c r="F3886" s="4">
        <v>35.0</v>
      </c>
      <c r="G3886" s="4" t="s">
        <v>6441</v>
      </c>
    </row>
    <row r="3887">
      <c r="A3887" s="1">
        <v>3885.0</v>
      </c>
      <c r="B3887" s="4" t="s">
        <v>6506</v>
      </c>
      <c r="C3887" s="4" t="str">
        <f>IFERROR(__xludf.DUMMYFUNCTION("GOOGLETRANSLATE(D:D,""auto"",""en"")"),"Zhang Weili hate isolation insist on drinking mineral water woman")</f>
        <v>Zhang Weili hate isolation insist on drinking mineral water woman</v>
      </c>
      <c r="D3887" s="4" t="s">
        <v>6464</v>
      </c>
      <c r="E3887" s="4">
        <v>7007106.0</v>
      </c>
      <c r="F3887" s="4">
        <v>36.0</v>
      </c>
      <c r="G3887" s="4" t="s">
        <v>6465</v>
      </c>
    </row>
    <row r="3888">
      <c r="A3888" s="1">
        <v>3886.0</v>
      </c>
      <c r="B3888" s="4" t="s">
        <v>6506</v>
      </c>
      <c r="C3888" s="4" t="str">
        <f>IFERROR(__xludf.DUMMYFUNCTION("GOOGLETRANSLATE(D:D,""auto"",""en"")"),"Zhang Yu Jian relentless three questions")</f>
        <v>Zhang Yu Jian relentless three questions</v>
      </c>
      <c r="D3888" s="4" t="s">
        <v>6555</v>
      </c>
      <c r="E3888" s="4">
        <v>6982255.0</v>
      </c>
      <c r="F3888" s="4">
        <v>37.0</v>
      </c>
      <c r="G3888" s="4" t="s">
        <v>6556</v>
      </c>
    </row>
    <row r="3889">
      <c r="A3889" s="1">
        <v>3887.0</v>
      </c>
      <c r="B3889" s="4" t="s">
        <v>6506</v>
      </c>
      <c r="C3889" s="4" t="str">
        <f>IFERROR(__xludf.DUMMYFUNCTION("GOOGLETRANSLATE(D:D,""auto"",""en"")"),"Add a new national crown 13 cases of pneumonia")</f>
        <v>Add a new national crown 13 cases of pneumonia</v>
      </c>
      <c r="D3889" s="4" t="s">
        <v>6557</v>
      </c>
      <c r="E3889" s="4">
        <v>6916370.0</v>
      </c>
      <c r="F3889" s="4">
        <v>38.0</v>
      </c>
      <c r="G3889" s="4" t="s">
        <v>6558</v>
      </c>
    </row>
    <row r="3890">
      <c r="A3890" s="1">
        <v>3888.0</v>
      </c>
      <c r="B3890" s="4" t="s">
        <v>6506</v>
      </c>
      <c r="C3890" s="4" t="str">
        <f>IFERROR(__xludf.DUMMYFUNCTION("GOOGLETRANSLATE(D:D,""auto"",""en"")"),"Utah 5.7 earthquake occurred")</f>
        <v>Utah 5.7 earthquake occurred</v>
      </c>
      <c r="D3890" s="4" t="s">
        <v>6559</v>
      </c>
      <c r="E3890" s="4">
        <v>6578382.0</v>
      </c>
      <c r="F3890" s="4">
        <v>39.0</v>
      </c>
      <c r="G3890" s="4" t="s">
        <v>6560</v>
      </c>
    </row>
    <row r="3891">
      <c r="A3891" s="1">
        <v>3889.0</v>
      </c>
      <c r="B3891" s="4" t="s">
        <v>6506</v>
      </c>
      <c r="C3891" s="4" t="str">
        <f>IFERROR(__xludf.DUMMYFUNCTION("GOOGLETRANSLATE(D:D,""auto"",""en"")"),"Three thousand crow kill theme song")</f>
        <v>Three thousand crow kill theme song</v>
      </c>
      <c r="D3891" s="4" t="s">
        <v>6561</v>
      </c>
      <c r="E3891" s="4">
        <v>6482058.0</v>
      </c>
      <c r="F3891" s="4">
        <v>40.0</v>
      </c>
      <c r="G3891" s="4" t="s">
        <v>6562</v>
      </c>
    </row>
    <row r="3892">
      <c r="A3892" s="1">
        <v>3890.0</v>
      </c>
      <c r="B3892" s="4" t="s">
        <v>6506</v>
      </c>
      <c r="C3892" s="4" t="str">
        <f>IFERROR(__xludf.DUMMYFUNCTION("GOOGLETRANSLATE(D:D,""auto"",""en"")"),"When Silvia had met Zhang Yu Jian")</f>
        <v>When Silvia had met Zhang Yu Jian</v>
      </c>
      <c r="D3892" s="4" t="s">
        <v>6563</v>
      </c>
      <c r="E3892" s="4">
        <v>6457104.0</v>
      </c>
      <c r="F3892" s="4">
        <v>41.0</v>
      </c>
      <c r="G3892" s="4" t="s">
        <v>6564</v>
      </c>
    </row>
    <row r="3893">
      <c r="A3893" s="1">
        <v>3891.0</v>
      </c>
      <c r="B3893" s="4" t="s">
        <v>6506</v>
      </c>
      <c r="C3893" s="4" t="str">
        <f>IFERROR(__xludf.DUMMYFUNCTION("GOOGLETRANSLATE(D:D,""auto"",""en"")"),"Chigua eat their suspects")</f>
        <v>Chigua eat their suspects</v>
      </c>
      <c r="D3893" s="4" t="s">
        <v>6565</v>
      </c>
      <c r="E3893" s="4">
        <v>6420590.0</v>
      </c>
      <c r="F3893" s="4">
        <v>42.0</v>
      </c>
      <c r="G3893" s="4" t="s">
        <v>6566</v>
      </c>
    </row>
    <row r="3894">
      <c r="A3894" s="1">
        <v>3892.0</v>
      </c>
      <c r="B3894" s="4" t="s">
        <v>6506</v>
      </c>
      <c r="C3894" s="4" t="str">
        <f>IFERROR(__xludf.DUMMYFUNCTION("GOOGLETRANSLATE(D:D,""auto"",""en"")"),"Hubei existing suspected cases cleared")</f>
        <v>Hubei existing suspected cases cleared</v>
      </c>
      <c r="D3894" s="4" t="s">
        <v>6567</v>
      </c>
      <c r="E3894" s="4">
        <v>6402106.0</v>
      </c>
      <c r="F3894" s="4">
        <v>43.0</v>
      </c>
      <c r="G3894" s="4" t="s">
        <v>6568</v>
      </c>
    </row>
    <row r="3895">
      <c r="A3895" s="1">
        <v>3893.0</v>
      </c>
      <c r="B3895" s="4" t="s">
        <v>6506</v>
      </c>
      <c r="C3895" s="4" t="str">
        <f>IFERROR(__xludf.DUMMYFUNCTION("GOOGLETRANSLATE(D:D,""auto"",""en"")"),"50 states a total of 6331 cases diagnosed")</f>
        <v>50 states a total of 6331 cases diagnosed</v>
      </c>
      <c r="D3895" s="4" t="s">
        <v>6569</v>
      </c>
      <c r="E3895" s="4">
        <v>6373996.0</v>
      </c>
      <c r="F3895" s="4">
        <v>44.0</v>
      </c>
      <c r="G3895" s="4" t="s">
        <v>6570</v>
      </c>
    </row>
    <row r="3896">
      <c r="A3896" s="1">
        <v>3894.0</v>
      </c>
      <c r="B3896" s="4" t="s">
        <v>6506</v>
      </c>
      <c r="C3896" s="4" t="str">
        <f>IFERROR(__xludf.DUMMYFUNCTION("GOOGLETRANSLATE(D:D,""auto"",""en"")"),"Thunder")</f>
        <v>Thunder</v>
      </c>
      <c r="D3896" s="4" t="s">
        <v>6446</v>
      </c>
      <c r="E3896" s="4">
        <v>6365203.0</v>
      </c>
      <c r="F3896" s="4">
        <v>45.0</v>
      </c>
      <c r="G3896" s="4" t="s">
        <v>6447</v>
      </c>
    </row>
    <row r="3897">
      <c r="A3897" s="1">
        <v>3895.0</v>
      </c>
      <c r="B3897" s="4" t="s">
        <v>6506</v>
      </c>
      <c r="C3897" s="4" t="str">
        <f>IFERROR(__xludf.DUMMYFUNCTION("GOOGLETRANSLATE(D:D,""auto"",""en"")"),"The British government changed to say the same as wartime actions")</f>
        <v>The British government changed to say the same as wartime actions</v>
      </c>
      <c r="D3897" s="4" t="s">
        <v>6571</v>
      </c>
      <c r="E3897" s="4">
        <v>6327989.0</v>
      </c>
      <c r="F3897" s="4">
        <v>46.0</v>
      </c>
      <c r="G3897" s="4" t="s">
        <v>6572</v>
      </c>
    </row>
    <row r="3898">
      <c r="A3898" s="1">
        <v>3896.0</v>
      </c>
      <c r="B3898" s="4" t="s">
        <v>6506</v>
      </c>
      <c r="C3898" s="4" t="str">
        <f>IFERROR(__xludf.DUMMYFUNCTION("GOOGLETRANSLATE(D:D,""auto"",""en"")"),"Yi smelt one thousand Xi Huang Zitao scenes")</f>
        <v>Yi smelt one thousand Xi Huang Zitao scenes</v>
      </c>
      <c r="D3898" s="4" t="s">
        <v>6573</v>
      </c>
      <c r="E3898" s="4">
        <v>6072108.0</v>
      </c>
      <c r="F3898" s="4">
        <v>47.0</v>
      </c>
      <c r="G3898" s="4" t="s">
        <v>6574</v>
      </c>
    </row>
    <row r="3899">
      <c r="A3899" s="1">
        <v>3897.0</v>
      </c>
      <c r="B3899" s="4" t="s">
        <v>6506</v>
      </c>
      <c r="C3899" s="4" t="str">
        <f>IFERROR(__xludf.DUMMYFUNCTION("GOOGLETRANSLATE(D:D,""auto"",""en"")"),"One dollar equation too expensive")</f>
        <v>One dollar equation too expensive</v>
      </c>
      <c r="D3899" s="4" t="s">
        <v>6575</v>
      </c>
      <c r="E3899" s="4">
        <v>5963779.0</v>
      </c>
      <c r="F3899" s="4">
        <v>48.0</v>
      </c>
      <c r="G3899" s="4" t="s">
        <v>6576</v>
      </c>
    </row>
    <row r="3900">
      <c r="A3900" s="1">
        <v>3898.0</v>
      </c>
      <c r="B3900" s="4" t="s">
        <v>6506</v>
      </c>
      <c r="C3900" s="4" t="str">
        <f>IFERROR(__xludf.DUMMYFUNCTION("GOOGLETRANSLATE(D:D,""auto"",""en"")"),"Wuhan, a cell line to prevent the nurses home")</f>
        <v>Wuhan, a cell line to prevent the nurses home</v>
      </c>
      <c r="D3900" s="4" t="s">
        <v>6577</v>
      </c>
      <c r="E3900" s="4">
        <v>5951978.0</v>
      </c>
      <c r="F3900" s="4">
        <v>49.0</v>
      </c>
      <c r="G3900" s="4" t="s">
        <v>6578</v>
      </c>
    </row>
    <row r="3901">
      <c r="A3901" s="1">
        <v>3899.0</v>
      </c>
      <c r="B3901" s="4" t="s">
        <v>6506</v>
      </c>
      <c r="C3901" s="4" t="str">
        <f>IFERROR(__xludf.DUMMYFUNCTION("GOOGLETRANSLATE(D:D,""auto"",""en"")"),"Zhaotong to stop building a coal mine explosion")</f>
        <v>Zhaotong to stop building a coal mine explosion</v>
      </c>
      <c r="D3901" s="4" t="s">
        <v>6579</v>
      </c>
      <c r="E3901" s="4">
        <v>5934798.0</v>
      </c>
      <c r="F3901" s="4">
        <v>50.0</v>
      </c>
      <c r="G3901" s="4" t="s">
        <v>6580</v>
      </c>
    </row>
    <row r="3902">
      <c r="A3902" s="1">
        <v>3900.0</v>
      </c>
      <c r="B3902" s="4" t="s">
        <v>6581</v>
      </c>
      <c r="C3902" s="4" t="str">
        <f>IFERROR(__xludf.DUMMYFUNCTION("GOOGLETRANSLATE(D:D,""auto"",""en"")"),"Zhang Meng King St. announcement romance")</f>
        <v>Zhang Meng King St. announcement romance</v>
      </c>
      <c r="D3902" s="4" t="s">
        <v>6582</v>
      </c>
      <c r="E3902" s="4">
        <v>9691499.0</v>
      </c>
      <c r="F3902" s="4">
        <v>1.0</v>
      </c>
      <c r="G3902" s="4" t="s">
        <v>6583</v>
      </c>
    </row>
    <row r="3903">
      <c r="A3903" s="1">
        <v>3901.0</v>
      </c>
      <c r="B3903" s="4" t="s">
        <v>6581</v>
      </c>
      <c r="C3903" s="4" t="str">
        <f>IFERROR(__xludf.DUMMYFUNCTION("GOOGLETRANSLATE(D:D,""auto"",""en"")"),"Yi Xi smelt one thousand lost to the pencil pants")</f>
        <v>Yi Xi smelt one thousand lost to the pencil pants</v>
      </c>
      <c r="D3903" s="4" t="s">
        <v>6584</v>
      </c>
      <c r="E3903" s="4">
        <v>9542597.0</v>
      </c>
      <c r="F3903" s="4">
        <v>2.0</v>
      </c>
      <c r="G3903" s="4" t="s">
        <v>6585</v>
      </c>
    </row>
    <row r="3904">
      <c r="A3904" s="1">
        <v>3902.0</v>
      </c>
      <c r="B3904" s="4" t="s">
        <v>6581</v>
      </c>
      <c r="C3904" s="4" t="str">
        <f>IFERROR(__xludf.DUMMYFUNCTION("GOOGLETRANSLATE(D:D,""auto"",""en"")"),"When the kid never met")</f>
        <v>When the kid never met</v>
      </c>
      <c r="D3904" s="4" t="s">
        <v>6586</v>
      </c>
      <c r="E3904" s="4">
        <v>9435802.0</v>
      </c>
      <c r="F3904" s="4">
        <v>3.0</v>
      </c>
      <c r="G3904" s="4" t="s">
        <v>6587</v>
      </c>
    </row>
    <row r="3905">
      <c r="A3905" s="1">
        <v>3903.0</v>
      </c>
      <c r="B3905" s="4" t="s">
        <v>6581</v>
      </c>
      <c r="C3905" s="4" t="str">
        <f>IFERROR(__xludf.DUMMYFUNCTION("GOOGLETRANSLATE(D:D,""auto"",""en"")"),"US President Trump said it would close the Canada-US border")</f>
        <v>US President Trump said it would close the Canada-US border</v>
      </c>
      <c r="D3905" s="4" t="s">
        <v>6551</v>
      </c>
      <c r="E3905" s="4">
        <v>8530407.0</v>
      </c>
      <c r="F3905" s="4">
        <v>4.0</v>
      </c>
      <c r="G3905" s="4" t="s">
        <v>6552</v>
      </c>
    </row>
    <row r="3906">
      <c r="A3906" s="1">
        <v>3904.0</v>
      </c>
      <c r="B3906" s="4" t="s">
        <v>6581</v>
      </c>
      <c r="C3906" s="4" t="str">
        <f>IFERROR(__xludf.DUMMYFUNCTION("GOOGLETRANSLATE(D:D,""auto"",""en"")"),"34 cases of new confirmed cases nationwide")</f>
        <v>34 cases of new confirmed cases nationwide</v>
      </c>
      <c r="D3906" s="4" t="s">
        <v>6588</v>
      </c>
      <c r="E3906" s="4">
        <v>8056545.0</v>
      </c>
      <c r="F3906" s="4">
        <v>5.0</v>
      </c>
      <c r="G3906" s="4" t="s">
        <v>6589</v>
      </c>
    </row>
    <row r="3907">
      <c r="A3907" s="1">
        <v>3905.0</v>
      </c>
      <c r="B3907" s="4" t="s">
        <v>6581</v>
      </c>
      <c r="C3907" s="4" t="str">
        <f>IFERROR(__xludf.DUMMYFUNCTION("GOOGLETRANSLATE(D:D,""auto"",""en"")"),"Zhang Meng apology")</f>
        <v>Zhang Meng apology</v>
      </c>
      <c r="D3907" s="4" t="s">
        <v>6513</v>
      </c>
      <c r="E3907" s="4">
        <v>7733420.0</v>
      </c>
      <c r="F3907" s="4">
        <v>6.0</v>
      </c>
      <c r="G3907" s="4" t="s">
        <v>6514</v>
      </c>
    </row>
    <row r="3908">
      <c r="A3908" s="1">
        <v>3906.0</v>
      </c>
      <c r="B3908" s="4" t="s">
        <v>6581</v>
      </c>
      <c r="C3908" s="4" t="str">
        <f>IFERROR(__xludf.DUMMYFUNCTION("GOOGLETRANSLATE(D:D,""auto"",""en"")"),"Antarctica is no snow")</f>
        <v>Antarctica is no snow</v>
      </c>
      <c r="D3908" s="4" t="s">
        <v>6590</v>
      </c>
      <c r="E3908" s="4">
        <v>7728059.0</v>
      </c>
      <c r="F3908" s="4">
        <v>7.0</v>
      </c>
      <c r="G3908" s="4" t="s">
        <v>6591</v>
      </c>
    </row>
    <row r="3909">
      <c r="A3909" s="1">
        <v>3907.0</v>
      </c>
      <c r="B3909" s="4" t="s">
        <v>6581</v>
      </c>
      <c r="C3909" s="4" t="str">
        <f>IFERROR(__xludf.DUMMYFUNCTION("GOOGLETRANSLATE(D:D,""auto"",""en"")"),"Wuhan 32 Thanksgiving Poster")</f>
        <v>Wuhan 32 Thanksgiving Poster</v>
      </c>
      <c r="D3909" s="4" t="s">
        <v>6535</v>
      </c>
      <c r="E3909" s="4">
        <v>7704884.0</v>
      </c>
      <c r="F3909" s="4">
        <v>8.0</v>
      </c>
      <c r="G3909" s="4" t="s">
        <v>6536</v>
      </c>
    </row>
    <row r="3910">
      <c r="A3910" s="1">
        <v>3908.0</v>
      </c>
      <c r="B3910" s="4" t="s">
        <v>6581</v>
      </c>
      <c r="C3910" s="4" t="str">
        <f>IFERROR(__xludf.DUMMYFUNCTION("GOOGLETRANSLATE(D:D,""auto"",""en"")"),"WHO responded Trump said the new virus is China virus crown")</f>
        <v>WHO responded Trump said the new virus is China virus crown</v>
      </c>
      <c r="D3910" s="4" t="s">
        <v>6592</v>
      </c>
      <c r="E3910" s="4">
        <v>7685831.0</v>
      </c>
      <c r="F3910" s="4">
        <v>9.0</v>
      </c>
      <c r="G3910" s="4" t="s">
        <v>6593</v>
      </c>
    </row>
    <row r="3911">
      <c r="A3911" s="1">
        <v>3909.0</v>
      </c>
      <c r="B3911" s="4" t="s">
        <v>6581</v>
      </c>
      <c r="C3911" s="4" t="str">
        <f>IFERROR(__xludf.DUMMYFUNCTION("GOOGLETRANSLATE(D:D,""auto"",""en"")"),"Discovery of large oil field in Bohai")</f>
        <v>Discovery of large oil field in Bohai</v>
      </c>
      <c r="D3911" s="4" t="s">
        <v>6594</v>
      </c>
      <c r="E3911" s="4">
        <v>7656346.0</v>
      </c>
      <c r="F3911" s="4">
        <v>10.0</v>
      </c>
      <c r="G3911" s="4" t="s">
        <v>6595</v>
      </c>
    </row>
    <row r="3912">
      <c r="A3912" s="1">
        <v>3910.0</v>
      </c>
      <c r="B3912" s="4" t="s">
        <v>6581</v>
      </c>
      <c r="C3912" s="4" t="str">
        <f>IFERROR(__xludf.DUMMYFUNCTION("GOOGLETRANSLATE(D:D,""auto"",""en"")"),"Zhu Zhengting noodles chew a few")</f>
        <v>Zhu Zhengting noodles chew a few</v>
      </c>
      <c r="D3912" s="4" t="s">
        <v>6543</v>
      </c>
      <c r="E3912" s="4">
        <v>7587757.0</v>
      </c>
      <c r="F3912" s="4">
        <v>11.0</v>
      </c>
      <c r="G3912" s="4" t="s">
        <v>6544</v>
      </c>
    </row>
    <row r="3913">
      <c r="A3913" s="1">
        <v>3911.0</v>
      </c>
      <c r="B3913" s="4" t="s">
        <v>6581</v>
      </c>
      <c r="C3913" s="4" t="str">
        <f>IFERROR(__xludf.DUMMYFUNCTION("GOOGLETRANSLATE(D:D,""auto"",""en"")"),"Li Wenliang event survey results")</f>
        <v>Li Wenliang event survey results</v>
      </c>
      <c r="D3913" s="4" t="s">
        <v>6596</v>
      </c>
      <c r="E3913" s="4">
        <v>7571560.0</v>
      </c>
      <c r="F3913" s="4">
        <v>12.0</v>
      </c>
      <c r="G3913" s="4" t="s">
        <v>6597</v>
      </c>
    </row>
    <row r="3914">
      <c r="A3914" s="1">
        <v>3912.0</v>
      </c>
      <c r="B3914" s="4" t="s">
        <v>6581</v>
      </c>
      <c r="C3914" s="4" t="str">
        <f>IFERROR(__xludf.DUMMYFUNCTION("GOOGLETRANSLATE(D:D,""auto"",""en"")"),"Lou Yi Xiao collarbone put lipstick")</f>
        <v>Lou Yi Xiao collarbone put lipstick</v>
      </c>
      <c r="D3914" s="4" t="s">
        <v>6507</v>
      </c>
      <c r="E3914" s="4">
        <v>7522248.0</v>
      </c>
      <c r="F3914" s="4">
        <v>13.0</v>
      </c>
      <c r="G3914" s="4" t="s">
        <v>6508</v>
      </c>
    </row>
    <row r="3915">
      <c r="A3915" s="1">
        <v>3913.0</v>
      </c>
      <c r="B3915" s="4" t="s">
        <v>6581</v>
      </c>
      <c r="C3915" s="4" t="str">
        <f>IFERROR(__xludf.DUMMYFUNCTION("GOOGLETRANSLATE(D:D,""auto"",""en"")"),"Shenzhen Weather")</f>
        <v>Shenzhen Weather</v>
      </c>
      <c r="D3915" s="4" t="s">
        <v>6509</v>
      </c>
      <c r="E3915" s="4">
        <v>7508340.0</v>
      </c>
      <c r="F3915" s="4">
        <v>14.0</v>
      </c>
      <c r="G3915" s="4" t="s">
        <v>6510</v>
      </c>
    </row>
    <row r="3916">
      <c r="A3916" s="1">
        <v>3914.0</v>
      </c>
      <c r="B3916" s="4" t="s">
        <v>6581</v>
      </c>
      <c r="C3916" s="4" t="str">
        <f>IFERROR(__xludf.DUMMYFUNCTION("GOOGLETRANSLATE(D:D,""auto"",""en"")"),"Wuhan, a cell line to prevent the nurses home")</f>
        <v>Wuhan, a cell line to prevent the nurses home</v>
      </c>
      <c r="D3916" s="4" t="s">
        <v>6577</v>
      </c>
      <c r="E3916" s="4">
        <v>7456310.0</v>
      </c>
      <c r="F3916" s="4">
        <v>15.0</v>
      </c>
      <c r="G3916" s="4" t="s">
        <v>6578</v>
      </c>
    </row>
    <row r="3917">
      <c r="A3917" s="1">
        <v>3915.0</v>
      </c>
      <c r="B3917" s="4" t="s">
        <v>6581</v>
      </c>
      <c r="C3917" s="4" t="str">
        <f>IFERROR(__xludf.DUMMYFUNCTION("GOOGLETRANSLATE(D:D,""auto"",""en"")"),"Pakistan Pakistan to China undefended border")</f>
        <v>Pakistan Pakistan to China undefended border</v>
      </c>
      <c r="D3917" s="4" t="s">
        <v>6598</v>
      </c>
      <c r="E3917" s="4">
        <v>7443417.0</v>
      </c>
      <c r="F3917" s="4">
        <v>16.0</v>
      </c>
      <c r="G3917" s="4" t="s">
        <v>6599</v>
      </c>
    </row>
    <row r="3918">
      <c r="A3918" s="1">
        <v>3916.0</v>
      </c>
      <c r="B3918" s="4" t="s">
        <v>6581</v>
      </c>
      <c r="C3918" s="4" t="str">
        <f>IFERROR(__xludf.DUMMYFUNCTION("GOOGLETRANSLATE(D:D,""auto"",""en"")"),"Hubei no new confirmed cases")</f>
        <v>Hubei no new confirmed cases</v>
      </c>
      <c r="D3918" s="4" t="s">
        <v>6600</v>
      </c>
      <c r="E3918" s="4">
        <v>7357725.0</v>
      </c>
      <c r="F3918" s="4">
        <v>17.0</v>
      </c>
      <c r="G3918" s="4" t="s">
        <v>6601</v>
      </c>
    </row>
    <row r="3919">
      <c r="A3919" s="1">
        <v>3917.0</v>
      </c>
      <c r="B3919" s="4" t="s">
        <v>6581</v>
      </c>
      <c r="C3919" s="4" t="str">
        <f>IFERROR(__xludf.DUMMYFUNCTION("GOOGLETRANSLATE(D:D,""auto"",""en"")"),"Chen Yao crying scene")</f>
        <v>Chen Yao crying scene</v>
      </c>
      <c r="D3919" s="4" t="s">
        <v>6537</v>
      </c>
      <c r="E3919" s="4">
        <v>7303648.0</v>
      </c>
      <c r="F3919" s="4">
        <v>18.0</v>
      </c>
      <c r="G3919" s="4" t="s">
        <v>6538</v>
      </c>
    </row>
    <row r="3920">
      <c r="A3920" s="1">
        <v>3918.0</v>
      </c>
      <c r="B3920" s="4" t="s">
        <v>6581</v>
      </c>
      <c r="C3920" s="4" t="str">
        <f>IFERROR(__xludf.DUMMYFUNCTION("GOOGLETRANSLATE(D:D,""auto"",""en"")"),"When the dogs seen isolation back trainer")</f>
        <v>When the dogs seen isolation back trainer</v>
      </c>
      <c r="D3920" s="4" t="s">
        <v>6602</v>
      </c>
      <c r="E3920" s="4">
        <v>7296564.0</v>
      </c>
      <c r="F3920" s="4">
        <v>19.0</v>
      </c>
      <c r="G3920" s="4" t="s">
        <v>6603</v>
      </c>
    </row>
    <row r="3921">
      <c r="A3921" s="1">
        <v>3919.0</v>
      </c>
      <c r="B3921" s="4" t="s">
        <v>6581</v>
      </c>
      <c r="C3921" s="4" t="str">
        <f>IFERROR(__xludf.DUMMYFUNCTION("GOOGLETRANSLATE(D:D,""auto"",""en"")"),"Positive energy started to spread love")</f>
        <v>Positive energy started to spread love</v>
      </c>
      <c r="D3921" s="4" t="s">
        <v>6604</v>
      </c>
      <c r="E3921" s="4">
        <v>7256547.0</v>
      </c>
      <c r="F3921" s="4">
        <v>20.0</v>
      </c>
      <c r="G3921" s="4" t="s">
        <v>6605</v>
      </c>
    </row>
    <row r="3922">
      <c r="A3922" s="1">
        <v>3920.0</v>
      </c>
      <c r="B3922" s="4" t="s">
        <v>6581</v>
      </c>
      <c r="C3922" s="4" t="str">
        <f>IFERROR(__xludf.DUMMYFUNCTION("GOOGLETRANSLATE(D:D,""auto"",""en"")"),"Eric Tsang Ling Ye challenge imitate Saipan")</f>
        <v>Eric Tsang Ling Ye challenge imitate Saipan</v>
      </c>
      <c r="D3922" s="4" t="s">
        <v>6517</v>
      </c>
      <c r="E3922" s="4">
        <v>7103982.0</v>
      </c>
      <c r="F3922" s="4">
        <v>21.0</v>
      </c>
      <c r="G3922" s="4" t="s">
        <v>6518</v>
      </c>
    </row>
    <row r="3923">
      <c r="A3923" s="1">
        <v>3921.0</v>
      </c>
      <c r="B3923" s="4" t="s">
        <v>6581</v>
      </c>
      <c r="C3923" s="4" t="str">
        <f>IFERROR(__xludf.DUMMYFUNCTION("GOOGLETRANSLATE(D:D,""auto"",""en"")"),"Old driver conscience say luxury car")</f>
        <v>Old driver conscience say luxury car</v>
      </c>
      <c r="D3923" s="4" t="s">
        <v>6521</v>
      </c>
      <c r="E3923" s="4">
        <v>7084388.0</v>
      </c>
      <c r="F3923" s="4">
        <v>22.0</v>
      </c>
      <c r="G3923" s="4" t="s">
        <v>6522</v>
      </c>
    </row>
    <row r="3924">
      <c r="A3924" s="1">
        <v>3922.0</v>
      </c>
      <c r="B3924" s="4" t="s">
        <v>6581</v>
      </c>
      <c r="C3924" s="4" t="str">
        <f>IFERROR(__xludf.DUMMYFUNCTION("GOOGLETRANSLATE(D:D,""auto"",""en"")"),"One person said to share the experience of other expansion Contagion")</f>
        <v>One person said to share the experience of other expansion Contagion</v>
      </c>
      <c r="D3924" s="4" t="s">
        <v>6606</v>
      </c>
      <c r="E3924" s="4">
        <v>7053526.0</v>
      </c>
      <c r="F3924" s="4">
        <v>23.0</v>
      </c>
      <c r="G3924" s="4" t="s">
        <v>6607</v>
      </c>
    </row>
    <row r="3925">
      <c r="A3925" s="1">
        <v>3923.0</v>
      </c>
      <c r="B3925" s="4" t="s">
        <v>6581</v>
      </c>
      <c r="C3925" s="4" t="str">
        <f>IFERROR(__xludf.DUMMYFUNCTION("GOOGLETRANSLATE(D:D,""auto"",""en"")"),"Zhang Weili response to the invitation of Chinese in the United States")</f>
        <v>Zhang Weili response to the invitation of Chinese in the United States</v>
      </c>
      <c r="D3925" s="4" t="s">
        <v>6523</v>
      </c>
      <c r="E3925" s="4">
        <v>6928773.0</v>
      </c>
      <c r="F3925" s="4">
        <v>24.0</v>
      </c>
      <c r="G3925" s="4" t="s">
        <v>6524</v>
      </c>
    </row>
    <row r="3926">
      <c r="A3926" s="1">
        <v>3924.0</v>
      </c>
      <c r="B3926" s="4" t="s">
        <v>6581</v>
      </c>
      <c r="C3926" s="4" t="str">
        <f>IFERROR(__xludf.DUMMYFUNCTION("GOOGLETRANSLATE(D:D,""auto"",""en"")"),"Li Jia Hang talk about love apartment reputation")</f>
        <v>Li Jia Hang talk about love apartment reputation</v>
      </c>
      <c r="D3926" s="4" t="s">
        <v>6547</v>
      </c>
      <c r="E3926" s="4">
        <v>6906194.0</v>
      </c>
      <c r="F3926" s="4">
        <v>25.0</v>
      </c>
      <c r="G3926" s="4" t="s">
        <v>6548</v>
      </c>
    </row>
    <row r="3927">
      <c r="A3927" s="1">
        <v>3925.0</v>
      </c>
      <c r="B3927" s="4" t="s">
        <v>6581</v>
      </c>
      <c r="C3927" s="4" t="str">
        <f>IFERROR(__xludf.DUMMYFUNCTION("GOOGLETRANSLATE(D:D,""auto"",""en"")"),"He first sun Chan family of four")</f>
        <v>He first sun Chan family of four</v>
      </c>
      <c r="D3927" s="4" t="s">
        <v>6448</v>
      </c>
      <c r="E3927" s="4">
        <v>6884472.0</v>
      </c>
      <c r="F3927" s="4">
        <v>26.0</v>
      </c>
      <c r="G3927" s="4" t="s">
        <v>6449</v>
      </c>
    </row>
    <row r="3928">
      <c r="A3928" s="1">
        <v>3926.0</v>
      </c>
      <c r="B3928" s="4" t="s">
        <v>6581</v>
      </c>
      <c r="C3928" s="4" t="str">
        <f>IFERROR(__xludf.DUMMYFUNCTION("GOOGLETRANSLATE(D:D,""auto"",""en"")"),"Langweixianzhao wig wholesale plush sister")</f>
        <v>Langweixianzhao wig wholesale plush sister</v>
      </c>
      <c r="D3928" s="4" t="s">
        <v>6608</v>
      </c>
      <c r="E3928" s="4">
        <v>6842769.0</v>
      </c>
      <c r="F3928" s="4">
        <v>27.0</v>
      </c>
      <c r="G3928" s="4" t="s">
        <v>6609</v>
      </c>
    </row>
    <row r="3929">
      <c r="A3929" s="1">
        <v>3927.0</v>
      </c>
      <c r="B3929" s="4" t="s">
        <v>6581</v>
      </c>
      <c r="C3929" s="4" t="str">
        <f>IFERROR(__xludf.DUMMYFUNCTION("GOOGLETRANSLATE(D:D,""auto"",""en"")"),"Zhang Meng Zhang Meng response")</f>
        <v>Zhang Meng Zhang Meng response</v>
      </c>
      <c r="D3929" s="4" t="s">
        <v>6511</v>
      </c>
      <c r="E3929" s="4">
        <v>6807901.0</v>
      </c>
      <c r="F3929" s="4">
        <v>28.0</v>
      </c>
      <c r="G3929" s="4" t="s">
        <v>6512</v>
      </c>
    </row>
    <row r="3930">
      <c r="A3930" s="1">
        <v>3928.0</v>
      </c>
      <c r="B3930" s="4" t="s">
        <v>6581</v>
      </c>
      <c r="C3930" s="4" t="str">
        <f>IFERROR(__xludf.DUMMYFUNCTION("GOOGLETRANSLATE(D:D,""auto"",""en"")"),"Los Angeles Chinese bun invited Zhang Weili")</f>
        <v>Los Angeles Chinese bun invited Zhang Weili</v>
      </c>
      <c r="D3930" s="4" t="s">
        <v>6610</v>
      </c>
      <c r="E3930" s="4">
        <v>6794793.0</v>
      </c>
      <c r="F3930" s="4">
        <v>29.0</v>
      </c>
      <c r="G3930" s="4" t="s">
        <v>6611</v>
      </c>
    </row>
    <row r="3931">
      <c r="A3931" s="1">
        <v>3929.0</v>
      </c>
      <c r="B3931" s="4" t="s">
        <v>6581</v>
      </c>
      <c r="C3931" s="4" t="str">
        <f>IFERROR(__xludf.DUMMYFUNCTION("GOOGLETRANSLATE(D:D,""auto"",""en"")"),"Zhang Weili hate isolation insist on drinking mineral water woman")</f>
        <v>Zhang Weili hate isolation insist on drinking mineral water woman</v>
      </c>
      <c r="D3931" s="4" t="s">
        <v>6464</v>
      </c>
      <c r="E3931" s="4">
        <v>6626787.0</v>
      </c>
      <c r="F3931" s="4">
        <v>30.0</v>
      </c>
      <c r="G3931" s="4" t="s">
        <v>6465</v>
      </c>
    </row>
    <row r="3932">
      <c r="A3932" s="1">
        <v>3930.0</v>
      </c>
      <c r="B3932" s="4" t="s">
        <v>6581</v>
      </c>
      <c r="C3932" s="4" t="str">
        <f>IFERROR(__xludf.DUMMYFUNCTION("GOOGLETRANSLATE(D:D,""auto"",""en"")"),"Three thousand crow kill transvestites ID")</f>
        <v>Three thousand crow kill transvestites ID</v>
      </c>
      <c r="D3932" s="4" t="s">
        <v>6612</v>
      </c>
      <c r="E3932" s="4">
        <v>6613151.0</v>
      </c>
      <c r="F3932" s="4">
        <v>31.0</v>
      </c>
      <c r="G3932" s="4" t="s">
        <v>6613</v>
      </c>
    </row>
    <row r="3933">
      <c r="A3933" s="1">
        <v>3931.0</v>
      </c>
      <c r="B3933" s="4" t="s">
        <v>6581</v>
      </c>
      <c r="C3933" s="4" t="str">
        <f>IFERROR(__xludf.DUMMYFUNCTION("GOOGLETRANSLATE(D:D,""auto"",""en"")"),"Too sweet candy stew Sydney")</f>
        <v>Too sweet candy stew Sydney</v>
      </c>
      <c r="D3933" s="4" t="s">
        <v>6614</v>
      </c>
      <c r="E3933" s="4">
        <v>6606065.0</v>
      </c>
      <c r="F3933" s="4">
        <v>32.0</v>
      </c>
      <c r="G3933" s="4" t="s">
        <v>6615</v>
      </c>
    </row>
    <row r="3934">
      <c r="A3934" s="1">
        <v>3932.0</v>
      </c>
      <c r="B3934" s="4" t="s">
        <v>6581</v>
      </c>
      <c r="C3934" s="4" t="str">
        <f>IFERROR(__xludf.DUMMYFUNCTION("GOOGLETRANSLATE(D:D,""auto"",""en"")"),"High Yunxiang alleged sexual assault sentencing")</f>
        <v>High Yunxiang alleged sexual assault sentencing</v>
      </c>
      <c r="D3934" s="4" t="s">
        <v>6616</v>
      </c>
      <c r="E3934" s="4">
        <v>6523089.0</v>
      </c>
      <c r="F3934" s="4">
        <v>33.0</v>
      </c>
      <c r="G3934" s="4" t="s">
        <v>6617</v>
      </c>
    </row>
    <row r="3935">
      <c r="A3935" s="1">
        <v>3933.0</v>
      </c>
      <c r="B3935" s="4" t="s">
        <v>6581</v>
      </c>
      <c r="C3935" s="4" t="str">
        <f>IFERROR(__xludf.DUMMYFUNCTION("GOOGLETRANSLATE(D:D,""auto"",""en"")"),"Wang Yibo elastic pants")</f>
        <v>Wang Yibo elastic pants</v>
      </c>
      <c r="D3935" s="4" t="s">
        <v>6470</v>
      </c>
      <c r="E3935" s="4">
        <v>6498249.0</v>
      </c>
      <c r="F3935" s="4">
        <v>34.0</v>
      </c>
      <c r="G3935" s="4" t="s">
        <v>6471</v>
      </c>
    </row>
    <row r="3936">
      <c r="A3936" s="1">
        <v>3934.0</v>
      </c>
      <c r="B3936" s="4" t="s">
        <v>6581</v>
      </c>
      <c r="C3936" s="4" t="str">
        <f>IFERROR(__xludf.DUMMYFUNCTION("GOOGLETRANSLATE(D:D,""auto"",""en"")"),"Italy has a mayor died of pneumonia because of the new crown")</f>
        <v>Italy has a mayor died of pneumonia because of the new crown</v>
      </c>
      <c r="D3936" s="4" t="s">
        <v>6618</v>
      </c>
      <c r="E3936" s="4">
        <v>6372470.0</v>
      </c>
      <c r="F3936" s="4">
        <v>35.0</v>
      </c>
      <c r="G3936" s="4" t="s">
        <v>6619</v>
      </c>
    </row>
    <row r="3937">
      <c r="A3937" s="1">
        <v>3935.0</v>
      </c>
      <c r="B3937" s="4" t="s">
        <v>6581</v>
      </c>
      <c r="C3937" s="4" t="str">
        <f>IFERROR(__xludf.DUMMYFUNCTION("GOOGLETRANSLATE(D:D,""auto"",""en"")"),"Hubei first trip originating out of high-speed rail train workers")</f>
        <v>Hubei first trip originating out of high-speed rail train workers</v>
      </c>
      <c r="D3937" s="4" t="s">
        <v>6620</v>
      </c>
      <c r="E3937" s="4">
        <v>6288165.0</v>
      </c>
      <c r="F3937" s="4">
        <v>36.0</v>
      </c>
      <c r="G3937" s="4" t="s">
        <v>6621</v>
      </c>
    </row>
    <row r="3938">
      <c r="A3938" s="1">
        <v>3936.0</v>
      </c>
      <c r="B3938" s="4" t="s">
        <v>6581</v>
      </c>
      <c r="C3938" s="4" t="str">
        <f>IFERROR(__xludf.DUMMYFUNCTION("GOOGLETRANSLATE(D:D,""auto"",""en"")"),"US stocks fifth blown")</f>
        <v>US stocks fifth blown</v>
      </c>
      <c r="D3938" s="4" t="s">
        <v>6622</v>
      </c>
      <c r="E3938" s="4">
        <v>6244495.0</v>
      </c>
      <c r="F3938" s="4">
        <v>37.0</v>
      </c>
      <c r="G3938" s="4" t="s">
        <v>6623</v>
      </c>
    </row>
    <row r="3939">
      <c r="A3939" s="1">
        <v>3937.0</v>
      </c>
      <c r="B3939" s="4" t="s">
        <v>6581</v>
      </c>
      <c r="C3939" s="4" t="str">
        <f>IFERROR(__xludf.DUMMYFUNCTION("GOOGLETRANSLATE(D:D,""auto"",""en"")"),"Beijing, Tianjin and fires occur more")</f>
        <v>Beijing, Tianjin and fires occur more</v>
      </c>
      <c r="D3939" s="4" t="s">
        <v>6624</v>
      </c>
      <c r="E3939" s="4">
        <v>6237777.0</v>
      </c>
      <c r="F3939" s="4">
        <v>38.0</v>
      </c>
      <c r="G3939" s="4" t="s">
        <v>6625</v>
      </c>
    </row>
    <row r="3940">
      <c r="A3940" s="1">
        <v>3938.0</v>
      </c>
      <c r="B3940" s="4" t="s">
        <v>6581</v>
      </c>
      <c r="C3940" s="4" t="str">
        <f>IFERROR(__xludf.DUMMYFUNCTION("GOOGLETRANSLATE(D:D,""auto"",""en"")"),"Beijing no longer accept immigrants who apply for home quarantine")</f>
        <v>Beijing no longer accept immigrants who apply for home quarantine</v>
      </c>
      <c r="D3940" s="4" t="s">
        <v>6626</v>
      </c>
      <c r="E3940" s="4">
        <v>6227946.0</v>
      </c>
      <c r="F3940" s="4">
        <v>39.0</v>
      </c>
      <c r="G3940" s="4" t="s">
        <v>6627</v>
      </c>
    </row>
    <row r="3941">
      <c r="A3941" s="1">
        <v>3939.0</v>
      </c>
      <c r="B3941" s="4" t="s">
        <v>6581</v>
      </c>
      <c r="C3941" s="4" t="str">
        <f>IFERROR(__xludf.DUMMYFUNCTION("GOOGLETRANSLATE(D:D,""auto"",""en"")"),"Live Antarctic expedition")</f>
        <v>Live Antarctic expedition</v>
      </c>
      <c r="D3941" s="4" t="s">
        <v>6628</v>
      </c>
      <c r="E3941" s="4">
        <v>6221823.0</v>
      </c>
      <c r="F3941" s="4">
        <v>40.0</v>
      </c>
      <c r="G3941" s="4" t="s">
        <v>6629</v>
      </c>
    </row>
    <row r="3942">
      <c r="A3942" s="1">
        <v>3940.0</v>
      </c>
      <c r="B3942" s="4" t="s">
        <v>6581</v>
      </c>
      <c r="C3942" s="4" t="str">
        <f>IFERROR(__xludf.DUMMYFUNCTION("GOOGLETRANSLATE(D:D,""auto"",""en"")"),"Beijing Beijing released outside strict control measures 3")</f>
        <v>Beijing Beijing released outside strict control measures 3</v>
      </c>
      <c r="D3942" s="4" t="s">
        <v>6630</v>
      </c>
      <c r="E3942" s="4">
        <v>6167330.0</v>
      </c>
      <c r="F3942" s="4">
        <v>41.0</v>
      </c>
      <c r="G3942" s="4" t="s">
        <v>6631</v>
      </c>
    </row>
    <row r="3943">
      <c r="A3943" s="1">
        <v>3941.0</v>
      </c>
      <c r="B3943" s="4" t="s">
        <v>6581</v>
      </c>
      <c r="C3943" s="4" t="str">
        <f>IFERROR(__xludf.DUMMYFUNCTION("GOOGLETRANSLATE(D:D,""auto"",""en"")"),"The new crown new 4207 cases of pneumonia Italy")</f>
        <v>The new crown new 4207 cases of pneumonia Italy</v>
      </c>
      <c r="D3943" s="4" t="s">
        <v>6632</v>
      </c>
      <c r="E3943" s="4">
        <v>6158204.0</v>
      </c>
      <c r="F3943" s="4">
        <v>42.0</v>
      </c>
      <c r="G3943" s="4" t="s">
        <v>6633</v>
      </c>
    </row>
    <row r="3944">
      <c r="A3944" s="1">
        <v>3942.0</v>
      </c>
      <c r="B3944" s="4" t="s">
        <v>6581</v>
      </c>
      <c r="C3944" s="4" t="str">
        <f>IFERROR(__xludf.DUMMYFUNCTION("GOOGLETRANSLATE(D:D,""auto"",""en"")"),"Germany's new crown diagnosed pneumonia cumulative break ten thousand cases")</f>
        <v>Germany's new crown diagnosed pneumonia cumulative break ten thousand cases</v>
      </c>
      <c r="D3944" s="4" t="s">
        <v>6634</v>
      </c>
      <c r="E3944" s="4">
        <v>6146029.0</v>
      </c>
      <c r="F3944" s="4">
        <v>43.0</v>
      </c>
      <c r="G3944" s="4" t="s">
        <v>6635</v>
      </c>
    </row>
    <row r="3945">
      <c r="A3945" s="1">
        <v>3943.0</v>
      </c>
      <c r="B3945" s="4" t="s">
        <v>6581</v>
      </c>
      <c r="C3945" s="4" t="str">
        <f>IFERROR(__xludf.DUMMYFUNCTION("GOOGLETRANSLATE(D:D,""auto"",""en"")"),"Oil Stick to sell his son Andy marriage room to medical treatment")</f>
        <v>Oil Stick to sell his son Andy marriage room to medical treatment</v>
      </c>
      <c r="D3945" s="4" t="s">
        <v>6636</v>
      </c>
      <c r="E3945" s="4">
        <v>6122821.0</v>
      </c>
      <c r="F3945" s="4">
        <v>44.0</v>
      </c>
      <c r="G3945" s="4" t="s">
        <v>6637</v>
      </c>
    </row>
    <row r="3946">
      <c r="A3946" s="1">
        <v>3944.0</v>
      </c>
      <c r="B3946" s="4" t="s">
        <v>6581</v>
      </c>
      <c r="C3946" s="4" t="str">
        <f>IFERROR(__xludf.DUMMYFUNCTION("GOOGLETRANSLATE(D:D,""auto"",""en"")"),"Foreign Ministry remind Chinese citizens not to go to this country 15")</f>
        <v>Foreign Ministry remind Chinese citizens not to go to this country 15</v>
      </c>
      <c r="D3946" s="4" t="s">
        <v>6638</v>
      </c>
      <c r="E3946" s="4">
        <v>6122545.0</v>
      </c>
      <c r="F3946" s="4">
        <v>45.0</v>
      </c>
      <c r="G3946" s="4" t="s">
        <v>6639</v>
      </c>
    </row>
    <row r="3947">
      <c r="A3947" s="1">
        <v>3945.0</v>
      </c>
      <c r="B3947" s="4" t="s">
        <v>6581</v>
      </c>
      <c r="C3947" s="4" t="str">
        <f>IFERROR(__xludf.DUMMYFUNCTION("GOOGLETRANSLATE(D:D,""auto"",""en"")"),"After returning women to resist isolation hospital row")</f>
        <v>After returning women to resist isolation hospital row</v>
      </c>
      <c r="D3947" s="4" t="s">
        <v>6640</v>
      </c>
      <c r="E3947" s="4">
        <v>6121697.0</v>
      </c>
      <c r="F3947" s="4">
        <v>46.0</v>
      </c>
      <c r="G3947" s="4" t="s">
        <v>6641</v>
      </c>
    </row>
    <row r="3948">
      <c r="A3948" s="1">
        <v>3946.0</v>
      </c>
      <c r="B3948" s="4" t="s">
        <v>6581</v>
      </c>
      <c r="C3948" s="4" t="str">
        <f>IFERROR(__xludf.DUMMYFUNCTION("GOOGLETRANSLATE(D:D,""auto"",""en"")"),"Beijing new cases of 10 cases of foreign input")</f>
        <v>Beijing new cases of 10 cases of foreign input</v>
      </c>
      <c r="D3948" s="4" t="s">
        <v>6642</v>
      </c>
      <c r="E3948" s="4">
        <v>6120690.0</v>
      </c>
      <c r="F3948" s="4">
        <v>47.0</v>
      </c>
      <c r="G3948" s="4" t="s">
        <v>6643</v>
      </c>
    </row>
    <row r="3949">
      <c r="A3949" s="1">
        <v>3947.0</v>
      </c>
      <c r="B3949" s="4" t="s">
        <v>6581</v>
      </c>
      <c r="C3949" s="4" t="str">
        <f>IFERROR(__xludf.DUMMYFUNCTION("GOOGLETRANSLATE(D:D,""auto"",""en"")"),"Wuhan university students Code knocked cherry tree blooms")</f>
        <v>Wuhan university students Code knocked cherry tree blooms</v>
      </c>
      <c r="D3949" s="4" t="s">
        <v>6644</v>
      </c>
      <c r="E3949" s="4">
        <v>6120447.0</v>
      </c>
      <c r="F3949" s="4">
        <v>48.0</v>
      </c>
      <c r="G3949" s="4" t="s">
        <v>6645</v>
      </c>
    </row>
    <row r="3950">
      <c r="A3950" s="1">
        <v>3948.0</v>
      </c>
      <c r="B3950" s="4" t="s">
        <v>6581</v>
      </c>
      <c r="C3950" s="4" t="str">
        <f>IFERROR(__xludf.DUMMYFUNCTION("GOOGLETRANSLATE(D:D,""auto"",""en"")"),"British Prime Minister father went to the bar despite vaccination ban")</f>
        <v>British Prime Minister father went to the bar despite vaccination ban</v>
      </c>
      <c r="D3950" s="4" t="s">
        <v>6646</v>
      </c>
      <c r="E3950" s="4">
        <v>6120447.0</v>
      </c>
      <c r="F3950" s="4">
        <v>49.0</v>
      </c>
      <c r="G3950" s="4" t="s">
        <v>6647</v>
      </c>
    </row>
    <row r="3951">
      <c r="A3951" s="1">
        <v>3949.0</v>
      </c>
      <c r="B3951" s="4" t="s">
        <v>6581</v>
      </c>
      <c r="C3951" s="4" t="str">
        <f>IFERROR(__xludf.DUMMYFUNCTION("GOOGLETRANSLATE(D:D,""auto"",""en"")"),"Takuya Kimura eldest daughter will debut")</f>
        <v>Takuya Kimura eldest daughter will debut</v>
      </c>
      <c r="D3951" s="4" t="s">
        <v>6648</v>
      </c>
      <c r="E3951" s="4">
        <v>6120312.0</v>
      </c>
      <c r="F3951" s="4">
        <v>50.0</v>
      </c>
      <c r="G3951" s="4" t="s">
        <v>6649</v>
      </c>
    </row>
    <row r="3952">
      <c r="A3952" s="1">
        <v>3950.0</v>
      </c>
      <c r="B3952" s="4" t="s">
        <v>6650</v>
      </c>
      <c r="C3952" s="4" t="str">
        <f>IFERROR(__xludf.DUMMYFUNCTION("GOOGLETRANSLATE(D:D,""auto"",""en"")"),"Hop dance to summon the backing Luo")</f>
        <v>Hop dance to summon the backing Luo</v>
      </c>
      <c r="D3952" s="4" t="s">
        <v>6651</v>
      </c>
      <c r="E3952" s="4">
        <v>1.6983269E7</v>
      </c>
      <c r="F3952" s="4">
        <v>1.0</v>
      </c>
      <c r="G3952" s="4" t="s">
        <v>6652</v>
      </c>
    </row>
    <row r="3953">
      <c r="A3953" s="1">
        <v>3951.0</v>
      </c>
      <c r="B3953" s="4" t="s">
        <v>6650</v>
      </c>
      <c r="C3953" s="4" t="str">
        <f>IFERROR(__xludf.DUMMYFUNCTION("GOOGLETRANSLATE(D:D,""auto"",""en"")"),"Chongqing loud noise")</f>
        <v>Chongqing loud noise</v>
      </c>
      <c r="D3953" s="4" t="s">
        <v>6653</v>
      </c>
      <c r="E3953" s="4">
        <v>1.6854988E7</v>
      </c>
      <c r="F3953" s="4">
        <v>2.0</v>
      </c>
      <c r="G3953" s="4" t="s">
        <v>6654</v>
      </c>
    </row>
    <row r="3954">
      <c r="A3954" s="1">
        <v>3952.0</v>
      </c>
      <c r="B3954" s="4" t="s">
        <v>6650</v>
      </c>
      <c r="C3954" s="4" t="str">
        <f>IFERROR(__xludf.DUMMYFUNCTION("GOOGLETRANSLATE(D:D,""auto"",""en"")"),"Northeast sauce unexpected live show his face")</f>
        <v>Northeast sauce unexpected live show his face</v>
      </c>
      <c r="D3954" s="4" t="s">
        <v>6655</v>
      </c>
      <c r="E3954" s="4">
        <v>1.4789717E7</v>
      </c>
      <c r="F3954" s="4">
        <v>3.0</v>
      </c>
      <c r="G3954" s="4" t="s">
        <v>6656</v>
      </c>
    </row>
    <row r="3955">
      <c r="A3955" s="1">
        <v>3953.0</v>
      </c>
      <c r="B3955" s="4" t="s">
        <v>6650</v>
      </c>
      <c r="C3955" s="4" t="str">
        <f>IFERROR(__xludf.DUMMYFUNCTION("GOOGLETRANSLATE(D:D,""auto"",""en"")"),"Vibrato you watch movies free big winner")</f>
        <v>Vibrato you watch movies free big winner</v>
      </c>
      <c r="D3955" s="4" t="s">
        <v>6657</v>
      </c>
      <c r="E3955" s="4">
        <v>1.4382168E7</v>
      </c>
      <c r="F3955" s="4">
        <v>4.0</v>
      </c>
      <c r="G3955" s="4" t="s">
        <v>6658</v>
      </c>
    </row>
    <row r="3956">
      <c r="A3956" s="1">
        <v>3954.0</v>
      </c>
      <c r="B3956" s="4" t="s">
        <v>6650</v>
      </c>
      <c r="C3956" s="4" t="str">
        <f>IFERROR(__xludf.DUMMYFUNCTION("GOOGLETRANSLATE(D:D,""auto"",""en"")"),"Inter vegetarian vine")</f>
        <v>Inter vegetarian vine</v>
      </c>
      <c r="D3956" s="4" t="s">
        <v>6659</v>
      </c>
      <c r="E3956" s="4">
        <v>1.1425481E7</v>
      </c>
      <c r="F3956" s="4">
        <v>5.0</v>
      </c>
      <c r="G3956" s="4" t="s">
        <v>6660</v>
      </c>
    </row>
    <row r="3957">
      <c r="A3957" s="1">
        <v>3955.0</v>
      </c>
      <c r="B3957" s="4" t="s">
        <v>6650</v>
      </c>
      <c r="C3957" s="4" t="str">
        <f>IFERROR(__xludf.DUMMYFUNCTION("GOOGLETRANSLATE(D:D,""auto"",""en"")"),"Ren Jialun heart-warming responses care Fans")</f>
        <v>Ren Jialun heart-warming responses care Fans</v>
      </c>
      <c r="D3957" s="4" t="s">
        <v>6661</v>
      </c>
      <c r="E3957" s="4">
        <v>1.1238322E7</v>
      </c>
      <c r="F3957" s="4">
        <v>6.0</v>
      </c>
      <c r="G3957" s="4" t="s">
        <v>6662</v>
      </c>
    </row>
    <row r="3958">
      <c r="A3958" s="1">
        <v>3956.0</v>
      </c>
      <c r="B3958" s="4" t="s">
        <v>6650</v>
      </c>
      <c r="C3958" s="4" t="str">
        <f>IFERROR(__xludf.DUMMYFUNCTION("GOOGLETRANSLATE(D:D,""auto"",""en"")"),"Julian Cheung Anita son")</f>
        <v>Julian Cheung Anita son</v>
      </c>
      <c r="D3958" s="4" t="s">
        <v>6663</v>
      </c>
      <c r="E3958" s="4">
        <v>8220321.0</v>
      </c>
      <c r="F3958" s="4">
        <v>7.0</v>
      </c>
      <c r="G3958" s="4" t="s">
        <v>6664</v>
      </c>
    </row>
    <row r="3959">
      <c r="A3959" s="1">
        <v>3957.0</v>
      </c>
      <c r="B3959" s="4" t="s">
        <v>6650</v>
      </c>
      <c r="C3959" s="4" t="str">
        <f>IFERROR(__xludf.DUMMYFUNCTION("GOOGLETRANSLATE(D:D,""auto"",""en"")"),"That is the pinnacle of a debut")</f>
        <v>That is the pinnacle of a debut</v>
      </c>
      <c r="D3959" s="4" t="s">
        <v>6665</v>
      </c>
      <c r="E3959" s="4">
        <v>8056645.0</v>
      </c>
      <c r="F3959" s="4">
        <v>8.0</v>
      </c>
      <c r="G3959" s="4" t="s">
        <v>6666</v>
      </c>
    </row>
    <row r="3960">
      <c r="A3960" s="1">
        <v>3958.0</v>
      </c>
      <c r="B3960" s="4" t="s">
        <v>6650</v>
      </c>
      <c r="C3960" s="4" t="str">
        <f>IFERROR(__xludf.DUMMYFUNCTION("GOOGLETRANSLATE(D:D,""auto"",""en"")"),"James open live at home")</f>
        <v>James open live at home</v>
      </c>
      <c r="D3960" s="4" t="s">
        <v>6667</v>
      </c>
      <c r="E3960" s="4">
        <v>7923221.0</v>
      </c>
      <c r="F3960" s="4">
        <v>9.0</v>
      </c>
      <c r="G3960" s="4" t="s">
        <v>6668</v>
      </c>
    </row>
    <row r="3961">
      <c r="A3961" s="1">
        <v>3959.0</v>
      </c>
      <c r="B3961" s="4" t="s">
        <v>6650</v>
      </c>
      <c r="C3961" s="4" t="str">
        <f>IFERROR(__xludf.DUMMYFUNCTION("GOOGLETRANSLATE(D:D,""auto"",""en"")"),"Positive energy started to spread love")</f>
        <v>Positive energy started to spread love</v>
      </c>
      <c r="D3961" s="4" t="s">
        <v>6604</v>
      </c>
      <c r="E3961" s="4">
        <v>7701887.0</v>
      </c>
      <c r="F3961" s="4">
        <v>10.0</v>
      </c>
      <c r="G3961" s="4" t="s">
        <v>6605</v>
      </c>
    </row>
    <row r="3962">
      <c r="A3962" s="1">
        <v>3960.0</v>
      </c>
      <c r="B3962" s="4" t="s">
        <v>6650</v>
      </c>
      <c r="C3962" s="4" t="str">
        <f>IFERROR(__xludf.DUMMYFUNCTION("GOOGLETRANSLATE(D:D,""auto"",""en"")"),"Antarctica is no snow")</f>
        <v>Antarctica is no snow</v>
      </c>
      <c r="D3962" s="4" t="s">
        <v>6590</v>
      </c>
      <c r="E3962" s="4">
        <v>7538541.0</v>
      </c>
      <c r="F3962" s="4">
        <v>11.0</v>
      </c>
      <c r="G3962" s="4" t="s">
        <v>6591</v>
      </c>
    </row>
    <row r="3963">
      <c r="A3963" s="1">
        <v>3961.0</v>
      </c>
      <c r="B3963" s="4" t="s">
        <v>6650</v>
      </c>
      <c r="C3963" s="4" t="str">
        <f>IFERROR(__xludf.DUMMYFUNCTION("GOOGLETRANSLATE(D:D,""auto"",""en"")"),"Trump said the new crown had known pneumonia is the pandemic")</f>
        <v>Trump said the new crown had known pneumonia is the pandemic</v>
      </c>
      <c r="D3963" s="4" t="s">
        <v>6669</v>
      </c>
      <c r="E3963" s="4">
        <v>7475078.0</v>
      </c>
      <c r="F3963" s="4">
        <v>12.0</v>
      </c>
      <c r="G3963" s="4" t="s">
        <v>6670</v>
      </c>
    </row>
    <row r="3964">
      <c r="A3964" s="1">
        <v>3962.0</v>
      </c>
      <c r="B3964" s="4" t="s">
        <v>6650</v>
      </c>
      <c r="C3964" s="4" t="str">
        <f>IFERROR(__xludf.DUMMYFUNCTION("GOOGLETRANSLATE(D:D,""auto"",""en"")"),"Three thousand crow kill transvestites ID")</f>
        <v>Three thousand crow kill transvestites ID</v>
      </c>
      <c r="D3964" s="4" t="s">
        <v>6612</v>
      </c>
      <c r="E3964" s="4">
        <v>7293807.0</v>
      </c>
      <c r="F3964" s="4">
        <v>13.0</v>
      </c>
      <c r="G3964" s="4" t="s">
        <v>6613</v>
      </c>
    </row>
    <row r="3965">
      <c r="A3965" s="1">
        <v>3963.0</v>
      </c>
      <c r="B3965" s="4" t="s">
        <v>6650</v>
      </c>
      <c r="C3965" s="4" t="str">
        <f>IFERROR(__xludf.DUMMYFUNCTION("GOOGLETRANSLATE(D:D,""auto"",""en"")"),"Pakistan Pakistan to China undefended border")</f>
        <v>Pakistan Pakistan to China undefended border</v>
      </c>
      <c r="D3965" s="4" t="s">
        <v>6598</v>
      </c>
      <c r="E3965" s="4">
        <v>7279782.0</v>
      </c>
      <c r="F3965" s="4">
        <v>14.0</v>
      </c>
      <c r="G3965" s="4" t="s">
        <v>6599</v>
      </c>
    </row>
    <row r="3966">
      <c r="A3966" s="1">
        <v>3964.0</v>
      </c>
      <c r="B3966" s="4" t="s">
        <v>6650</v>
      </c>
      <c r="C3966" s="4" t="str">
        <f>IFERROR(__xludf.DUMMYFUNCTION("GOOGLETRANSLATE(D:D,""auto"",""en"")"),"Yi Xi smelt one thousand lost to the pencil pants")</f>
        <v>Yi Xi smelt one thousand lost to the pencil pants</v>
      </c>
      <c r="D3966" s="4" t="s">
        <v>6584</v>
      </c>
      <c r="E3966" s="4">
        <v>7259139.0</v>
      </c>
      <c r="F3966" s="4">
        <v>15.0</v>
      </c>
      <c r="G3966" s="4" t="s">
        <v>6585</v>
      </c>
    </row>
    <row r="3967">
      <c r="A3967" s="1">
        <v>3965.0</v>
      </c>
      <c r="B3967" s="4" t="s">
        <v>6650</v>
      </c>
      <c r="C3967" s="4" t="str">
        <f>IFERROR(__xludf.DUMMYFUNCTION("GOOGLETRANSLATE(D:D,""auto"",""en"")"),"High Yunxiang alleged sexual assault sentencing")</f>
        <v>High Yunxiang alleged sexual assault sentencing</v>
      </c>
      <c r="D3967" s="4" t="s">
        <v>6616</v>
      </c>
      <c r="E3967" s="4">
        <v>7211003.0</v>
      </c>
      <c r="F3967" s="4">
        <v>16.0</v>
      </c>
      <c r="G3967" s="4" t="s">
        <v>6617</v>
      </c>
    </row>
    <row r="3968">
      <c r="A3968" s="1">
        <v>3966.0</v>
      </c>
      <c r="B3968" s="4" t="s">
        <v>6650</v>
      </c>
      <c r="C3968" s="4" t="str">
        <f>IFERROR(__xludf.DUMMYFUNCTION("GOOGLETRANSLATE(D:D,""auto"",""en"")"),"Zhang Weili response to the invitation of Chinese in the United States")</f>
        <v>Zhang Weili response to the invitation of Chinese in the United States</v>
      </c>
      <c r="D3968" s="4" t="s">
        <v>6523</v>
      </c>
      <c r="E3968" s="4">
        <v>7042644.0</v>
      </c>
      <c r="F3968" s="4">
        <v>17.0</v>
      </c>
      <c r="G3968" s="4" t="s">
        <v>6524</v>
      </c>
    </row>
    <row r="3969">
      <c r="A3969" s="1">
        <v>3967.0</v>
      </c>
      <c r="B3969" s="4" t="s">
        <v>6650</v>
      </c>
      <c r="C3969" s="4" t="str">
        <f>IFERROR(__xludf.DUMMYFUNCTION("GOOGLETRANSLATE(D:D,""auto"",""en"")"),"Hubei public roadside farewell teams")</f>
        <v>Hubei public roadside farewell teams</v>
      </c>
      <c r="D3969" s="4" t="s">
        <v>6671</v>
      </c>
      <c r="E3969" s="4">
        <v>6951651.0</v>
      </c>
      <c r="F3969" s="4">
        <v>18.0</v>
      </c>
      <c r="G3969" s="4" t="s">
        <v>6672</v>
      </c>
    </row>
    <row r="3970">
      <c r="A3970" s="1">
        <v>3968.0</v>
      </c>
      <c r="B3970" s="4" t="s">
        <v>6650</v>
      </c>
      <c r="C3970" s="4" t="str">
        <f>IFERROR(__xludf.DUMMYFUNCTION("GOOGLETRANSLATE(D:D,""auto"",""en"")"),"When the kid never met")</f>
        <v>When the kid never met</v>
      </c>
      <c r="D3970" s="4" t="s">
        <v>6586</v>
      </c>
      <c r="E3970" s="4">
        <v>6927523.0</v>
      </c>
      <c r="F3970" s="4">
        <v>19.0</v>
      </c>
      <c r="G3970" s="4" t="s">
        <v>6587</v>
      </c>
    </row>
    <row r="3971">
      <c r="A3971" s="1">
        <v>3969.0</v>
      </c>
      <c r="B3971" s="4" t="s">
        <v>6650</v>
      </c>
      <c r="C3971" s="4" t="str">
        <f>IFERROR(__xludf.DUMMYFUNCTION("GOOGLETRANSLATE(D:D,""auto"",""en"")"),"US lawmakers appear first confirmed infection")</f>
        <v>US lawmakers appear first confirmed infection</v>
      </c>
      <c r="D3971" s="4" t="s">
        <v>6673</v>
      </c>
      <c r="E3971" s="4">
        <v>6912981.0</v>
      </c>
      <c r="F3971" s="4">
        <v>20.0</v>
      </c>
      <c r="G3971" s="4" t="s">
        <v>6674</v>
      </c>
    </row>
    <row r="3972">
      <c r="A3972" s="1">
        <v>3970.0</v>
      </c>
      <c r="B3972" s="4" t="s">
        <v>6650</v>
      </c>
      <c r="C3972" s="4" t="str">
        <f>IFERROR(__xludf.DUMMYFUNCTION("GOOGLETRANSLATE(D:D,""auto"",""en"")"),"Dapeng respond Menghe Tang called his uncle reasons")</f>
        <v>Dapeng respond Menghe Tang called his uncle reasons</v>
      </c>
      <c r="D3972" s="4" t="s">
        <v>6675</v>
      </c>
      <c r="E3972" s="4">
        <v>6902861.0</v>
      </c>
      <c r="F3972" s="4">
        <v>21.0</v>
      </c>
      <c r="G3972" s="4" t="s">
        <v>6676</v>
      </c>
    </row>
    <row r="3973">
      <c r="A3973" s="1">
        <v>3971.0</v>
      </c>
      <c r="B3973" s="4" t="s">
        <v>6650</v>
      </c>
      <c r="C3973" s="4" t="str">
        <f>IFERROR(__xludf.DUMMYFUNCTION("GOOGLETRANSLATE(D:D,""auto"",""en"")"),"Changshan Zhao Zilong")</f>
        <v>Changshan Zhao Zilong</v>
      </c>
      <c r="D3973" s="4" t="s">
        <v>6677</v>
      </c>
      <c r="E3973" s="4">
        <v>6818255.0</v>
      </c>
      <c r="F3973" s="4">
        <v>22.0</v>
      </c>
      <c r="G3973" s="4" t="s">
        <v>6678</v>
      </c>
    </row>
    <row r="3974">
      <c r="A3974" s="1">
        <v>3972.0</v>
      </c>
      <c r="B3974" s="4" t="s">
        <v>6650</v>
      </c>
      <c r="C3974" s="4" t="str">
        <f>IFERROR(__xludf.DUMMYFUNCTION("GOOGLETRANSLATE(D:D,""auto"",""en"")"),"US President Trump said it would close the Canada-US border")</f>
        <v>US President Trump said it would close the Canada-US border</v>
      </c>
      <c r="D3974" s="4" t="s">
        <v>6551</v>
      </c>
      <c r="E3974" s="4">
        <v>6689960.0</v>
      </c>
      <c r="F3974" s="4">
        <v>23.0</v>
      </c>
      <c r="G3974" s="4" t="s">
        <v>6552</v>
      </c>
    </row>
    <row r="3975">
      <c r="A3975" s="1">
        <v>3973.0</v>
      </c>
      <c r="B3975" s="4" t="s">
        <v>6650</v>
      </c>
      <c r="C3975" s="4" t="str">
        <f>IFERROR(__xludf.DUMMYFUNCTION("GOOGLETRANSLATE(D:D,""auto"",""en"")"),"0 new WHO China is a remarkable achievement")</f>
        <v>0 new WHO China is a remarkable achievement</v>
      </c>
      <c r="D3975" s="4" t="s">
        <v>6679</v>
      </c>
      <c r="E3975" s="4">
        <v>6596271.0</v>
      </c>
      <c r="F3975" s="4">
        <v>24.0</v>
      </c>
      <c r="G3975" s="4" t="s">
        <v>6680</v>
      </c>
    </row>
    <row r="3976">
      <c r="A3976" s="1">
        <v>3974.0</v>
      </c>
      <c r="B3976" s="4" t="s">
        <v>6650</v>
      </c>
      <c r="C3976" s="4" t="str">
        <f>IFERROR(__xludf.DUMMYFUNCTION("GOOGLETRANSLATE(D:D,""auto"",""en"")"),"Chinese fencing team three players diagnosed with pneumonia new crown")</f>
        <v>Chinese fencing team three players diagnosed with pneumonia new crown</v>
      </c>
      <c r="D3976" s="4" t="s">
        <v>6681</v>
      </c>
      <c r="E3976" s="4">
        <v>6595518.0</v>
      </c>
      <c r="F3976" s="4">
        <v>25.0</v>
      </c>
      <c r="G3976" s="4" t="s">
        <v>6682</v>
      </c>
    </row>
    <row r="3977">
      <c r="A3977" s="1">
        <v>3975.0</v>
      </c>
      <c r="B3977" s="4" t="s">
        <v>6650</v>
      </c>
      <c r="C3977" s="4" t="str">
        <f>IFERROR(__xludf.DUMMYFUNCTION("GOOGLETRANSLATE(D:D,""auto"",""en"")"),"Zhang Meng King St. announcement romance")</f>
        <v>Zhang Meng King St. announcement romance</v>
      </c>
      <c r="D3977" s="4" t="s">
        <v>6582</v>
      </c>
      <c r="E3977" s="4">
        <v>6542500.0</v>
      </c>
      <c r="F3977" s="4">
        <v>26.0</v>
      </c>
      <c r="G3977" s="4" t="s">
        <v>6583</v>
      </c>
    </row>
    <row r="3978">
      <c r="A3978" s="1">
        <v>3976.0</v>
      </c>
      <c r="B3978" s="4" t="s">
        <v>6650</v>
      </c>
      <c r="C3978" s="4" t="str">
        <f>IFERROR(__xludf.DUMMYFUNCTION("GOOGLETRANSLATE(D:D,""auto"",""en"")"),"Too sweet candy stew Sydney")</f>
        <v>Too sweet candy stew Sydney</v>
      </c>
      <c r="D3978" s="4" t="s">
        <v>6614</v>
      </c>
      <c r="E3978" s="4">
        <v>6536119.0</v>
      </c>
      <c r="F3978" s="4">
        <v>27.0</v>
      </c>
      <c r="G3978" s="4" t="s">
        <v>6615</v>
      </c>
    </row>
    <row r="3979">
      <c r="A3979" s="1">
        <v>3977.0</v>
      </c>
      <c r="B3979" s="4" t="s">
        <v>6650</v>
      </c>
      <c r="C3979" s="4" t="str">
        <f>IFERROR(__xludf.DUMMYFUNCTION("GOOGLETRANSLATE(D:D,""auto"",""en"")"),"Los Angeles Chinese bun invited Zhang Weili")</f>
        <v>Los Angeles Chinese bun invited Zhang Weili</v>
      </c>
      <c r="D3979" s="4" t="s">
        <v>6610</v>
      </c>
      <c r="E3979" s="4">
        <v>6530340.0</v>
      </c>
      <c r="F3979" s="4">
        <v>28.0</v>
      </c>
      <c r="G3979" s="4" t="s">
        <v>6611</v>
      </c>
    </row>
    <row r="3980">
      <c r="A3980" s="1">
        <v>3978.0</v>
      </c>
      <c r="B3980" s="4" t="s">
        <v>6650</v>
      </c>
      <c r="C3980" s="4" t="str">
        <f>IFERROR(__xludf.DUMMYFUNCTION("GOOGLETRANSLATE(D:D,""auto"",""en"")"),"When the dogs seen isolation back trainer")</f>
        <v>When the dogs seen isolation back trainer</v>
      </c>
      <c r="D3980" s="4" t="s">
        <v>6602</v>
      </c>
      <c r="E3980" s="4">
        <v>6529414.0</v>
      </c>
      <c r="F3980" s="4">
        <v>29.0</v>
      </c>
      <c r="G3980" s="4" t="s">
        <v>6603</v>
      </c>
    </row>
    <row r="3981">
      <c r="A3981" s="1">
        <v>3979.0</v>
      </c>
      <c r="B3981" s="4" t="s">
        <v>6650</v>
      </c>
      <c r="C3981" s="4" t="str">
        <f>IFERROR(__xludf.DUMMYFUNCTION("GOOGLETRANSLATE(D:D,""auto"",""en"")"),"Stewardess cry broadcast teams take home")</f>
        <v>Stewardess cry broadcast teams take home</v>
      </c>
      <c r="D3981" s="4" t="s">
        <v>6683</v>
      </c>
      <c r="E3981" s="4">
        <v>6475474.0</v>
      </c>
      <c r="F3981" s="4">
        <v>30.0</v>
      </c>
      <c r="G3981" s="4" t="s">
        <v>6684</v>
      </c>
    </row>
    <row r="3982">
      <c r="A3982" s="1">
        <v>3980.0</v>
      </c>
      <c r="B3982" s="4" t="s">
        <v>6650</v>
      </c>
      <c r="C3982" s="4" t="str">
        <f>IFERROR(__xludf.DUMMYFUNCTION("GOOGLETRANSLATE(D:D,""auto"",""en"")"),"Eric Tsang Ling Ye challenge imitate Saipan")</f>
        <v>Eric Tsang Ling Ye challenge imitate Saipan</v>
      </c>
      <c r="D3982" s="4" t="s">
        <v>6517</v>
      </c>
      <c r="E3982" s="4">
        <v>6416518.0</v>
      </c>
      <c r="F3982" s="4">
        <v>31.0</v>
      </c>
      <c r="G3982" s="4" t="s">
        <v>6518</v>
      </c>
    </row>
    <row r="3983">
      <c r="A3983" s="1">
        <v>3981.0</v>
      </c>
      <c r="B3983" s="4" t="s">
        <v>6650</v>
      </c>
      <c r="C3983" s="4" t="str">
        <f>IFERROR(__xludf.DUMMYFUNCTION("GOOGLETRANSLATE(D:D,""auto"",""en"")"),"There bandit new stills")</f>
        <v>There bandit new stills</v>
      </c>
      <c r="D3983" s="4" t="s">
        <v>6685</v>
      </c>
      <c r="E3983" s="4">
        <v>6296672.0</v>
      </c>
      <c r="F3983" s="4">
        <v>32.0</v>
      </c>
      <c r="G3983" s="4" t="s">
        <v>6686</v>
      </c>
    </row>
    <row r="3984">
      <c r="A3984" s="1">
        <v>3982.0</v>
      </c>
      <c r="B3984" s="4" t="s">
        <v>6650</v>
      </c>
      <c r="C3984" s="4" t="str">
        <f>IFERROR(__xludf.DUMMYFUNCTION("GOOGLETRANSLATE(D:D,""auto"",""en"")"),"Xu Mita northeast sauce was pressed romance")</f>
        <v>Xu Mita northeast sauce was pressed romance</v>
      </c>
      <c r="D3984" s="4" t="s">
        <v>6687</v>
      </c>
      <c r="E3984" s="4">
        <v>6259107.0</v>
      </c>
      <c r="F3984" s="4">
        <v>33.0</v>
      </c>
      <c r="G3984" s="4" t="s">
        <v>6688</v>
      </c>
    </row>
    <row r="3985">
      <c r="A3985" s="1">
        <v>3983.0</v>
      </c>
      <c r="B3985" s="4" t="s">
        <v>6650</v>
      </c>
      <c r="C3985" s="4" t="str">
        <f>IFERROR(__xludf.DUMMYFUNCTION("GOOGLETRANSLATE(D:D,""auto"",""en"")"),"Stankovic's death")</f>
        <v>Stankovic's death</v>
      </c>
      <c r="D3985" s="4" t="s">
        <v>6689</v>
      </c>
      <c r="E3985" s="4">
        <v>6227042.0</v>
      </c>
      <c r="F3985" s="4">
        <v>34.0</v>
      </c>
      <c r="G3985" s="4" t="s">
        <v>6690</v>
      </c>
    </row>
    <row r="3986">
      <c r="A3986" s="1">
        <v>3984.0</v>
      </c>
      <c r="B3986" s="4" t="s">
        <v>6650</v>
      </c>
      <c r="C3986" s="4" t="str">
        <f>IFERROR(__xludf.DUMMYFUNCTION("GOOGLETRANSLATE(D:D,""auto"",""en"")"),"Beijing new confirmed cases 5 cases of foreign input")</f>
        <v>Beijing new confirmed cases 5 cases of foreign input</v>
      </c>
      <c r="D3986" s="4" t="s">
        <v>6691</v>
      </c>
      <c r="E3986" s="4">
        <v>6222499.0</v>
      </c>
      <c r="F3986" s="4">
        <v>35.0</v>
      </c>
      <c r="G3986" s="4" t="s">
        <v>6692</v>
      </c>
    </row>
    <row r="3987">
      <c r="A3987" s="1">
        <v>3985.0</v>
      </c>
      <c r="B3987" s="4" t="s">
        <v>6650</v>
      </c>
      <c r="C3987" s="4" t="str">
        <f>IFERROR(__xludf.DUMMYFUNCTION("GOOGLETRANSLATE(D:D,""auto"",""en"")"),"Tibet Shigatse 5.9 earthquake occurred in the city")</f>
        <v>Tibet Shigatse 5.9 earthquake occurred in the city</v>
      </c>
      <c r="D3987" s="4" t="s">
        <v>6693</v>
      </c>
      <c r="E3987" s="4">
        <v>6222498.0</v>
      </c>
      <c r="F3987" s="4">
        <v>36.0</v>
      </c>
      <c r="G3987" s="4" t="s">
        <v>6694</v>
      </c>
    </row>
    <row r="3988">
      <c r="A3988" s="1">
        <v>3986.0</v>
      </c>
      <c r="B3988" s="4" t="s">
        <v>6650</v>
      </c>
      <c r="C3988" s="4" t="str">
        <f>IFERROR(__xludf.DUMMYFUNCTION("GOOGLETRANSLATE(D:D,""auto"",""en"")"),"Three thousand crow kill theme song")</f>
        <v>Three thousand crow kill theme song</v>
      </c>
      <c r="D3988" s="4" t="s">
        <v>6561</v>
      </c>
      <c r="E3988" s="4">
        <v>6222494.0</v>
      </c>
      <c r="F3988" s="4">
        <v>37.0</v>
      </c>
      <c r="G3988" s="4" t="s">
        <v>6562</v>
      </c>
    </row>
    <row r="3989">
      <c r="A3989" s="1">
        <v>3987.0</v>
      </c>
      <c r="B3989" s="4" t="s">
        <v>6650</v>
      </c>
      <c r="C3989" s="4" t="str">
        <f>IFERROR(__xludf.DUMMYFUNCTION("GOOGLETRANSLATE(D:D,""auto"",""en"")"),"Qingdao Laoshan burst fire")</f>
        <v>Qingdao Laoshan burst fire</v>
      </c>
      <c r="D3989" s="4" t="s">
        <v>6695</v>
      </c>
      <c r="E3989" s="4">
        <v>6076165.0</v>
      </c>
      <c r="F3989" s="4">
        <v>38.0</v>
      </c>
      <c r="G3989" s="4" t="s">
        <v>6696</v>
      </c>
    </row>
    <row r="3990">
      <c r="A3990" s="1">
        <v>3988.0</v>
      </c>
      <c r="B3990" s="4" t="s">
        <v>6650</v>
      </c>
      <c r="C3990" s="4" t="str">
        <f>IFERROR(__xludf.DUMMYFUNCTION("GOOGLETRANSLATE(D:D,""auto"",""en"")"),"Zhang Meng Zhang Meng response")</f>
        <v>Zhang Meng Zhang Meng response</v>
      </c>
      <c r="D3990" s="4" t="s">
        <v>6511</v>
      </c>
      <c r="E3990" s="4">
        <v>6076157.0</v>
      </c>
      <c r="F3990" s="4">
        <v>39.0</v>
      </c>
      <c r="G3990" s="4" t="s">
        <v>6512</v>
      </c>
    </row>
    <row r="3991">
      <c r="A3991" s="1">
        <v>3989.0</v>
      </c>
      <c r="B3991" s="4" t="s">
        <v>6650</v>
      </c>
      <c r="C3991" s="4" t="str">
        <f>IFERROR(__xludf.DUMMYFUNCTION("GOOGLETRANSLATE(D:D,""auto"",""en"")"),"Small building was expelled")</f>
        <v>Small building was expelled</v>
      </c>
      <c r="D3991" s="4" t="s">
        <v>6697</v>
      </c>
      <c r="E3991" s="4">
        <v>6076121.0</v>
      </c>
      <c r="F3991" s="4">
        <v>40.0</v>
      </c>
      <c r="G3991" s="4" t="s">
        <v>6698</v>
      </c>
    </row>
    <row r="3992">
      <c r="A3992" s="1">
        <v>3990.0</v>
      </c>
      <c r="B3992" s="4" t="s">
        <v>6650</v>
      </c>
      <c r="C3992" s="4" t="str">
        <f>IFERROR(__xludf.DUMMYFUNCTION("GOOGLETRANSLATE(D:D,""auto"",""en"")"),"Wuhan 32 Thanksgiving Poster")</f>
        <v>Wuhan 32 Thanksgiving Poster</v>
      </c>
      <c r="D3992" s="4" t="s">
        <v>6535</v>
      </c>
      <c r="E3992" s="4">
        <v>5756681.0</v>
      </c>
      <c r="F3992" s="4">
        <v>41.0</v>
      </c>
      <c r="G3992" s="4" t="s">
        <v>6536</v>
      </c>
    </row>
    <row r="3993">
      <c r="A3993" s="1">
        <v>3991.0</v>
      </c>
      <c r="B3993" s="4" t="s">
        <v>6650</v>
      </c>
      <c r="C3993" s="4" t="str">
        <f>IFERROR(__xludf.DUMMYFUNCTION("GOOGLETRANSLATE(D:D,""auto"",""en"")"),"Zhong Nanshan no seat tickets")</f>
        <v>Zhong Nanshan no seat tickets</v>
      </c>
      <c r="D3993" s="4" t="s">
        <v>6699</v>
      </c>
      <c r="E3993" s="4">
        <v>5734471.0</v>
      </c>
      <c r="F3993" s="4">
        <v>42.0</v>
      </c>
      <c r="G3993" s="4" t="s">
        <v>6700</v>
      </c>
    </row>
    <row r="3994">
      <c r="A3994" s="1">
        <v>3992.0</v>
      </c>
      <c r="B3994" s="4" t="s">
        <v>6650</v>
      </c>
      <c r="C3994" s="4" t="str">
        <f>IFERROR(__xludf.DUMMYFUNCTION("GOOGLETRANSLATE(D:D,""auto"",""en"")"),"US cumulative confirmed the new crown rose to 13,350 cases of pneumonia")</f>
        <v>US cumulative confirmed the new crown rose to 13,350 cases of pneumonia</v>
      </c>
      <c r="D3994" s="4" t="s">
        <v>6701</v>
      </c>
      <c r="E3994" s="4">
        <v>5713025.0</v>
      </c>
      <c r="F3994" s="4">
        <v>43.0</v>
      </c>
      <c r="G3994" s="4" t="s">
        <v>6702</v>
      </c>
    </row>
    <row r="3995">
      <c r="A3995" s="1">
        <v>3993.0</v>
      </c>
      <c r="B3995" s="4" t="s">
        <v>6650</v>
      </c>
      <c r="C3995" s="4" t="str">
        <f>IFERROR(__xludf.DUMMYFUNCTION("GOOGLETRANSLATE(D:D,""auto"",""en"")"),"James sun with his wife at home exercise selfie")</f>
        <v>James sun with his wife at home exercise selfie</v>
      </c>
      <c r="D3995" s="4" t="s">
        <v>6703</v>
      </c>
      <c r="E3995" s="4">
        <v>5691139.0</v>
      </c>
      <c r="F3995" s="4">
        <v>44.0</v>
      </c>
      <c r="G3995" s="4" t="s">
        <v>6704</v>
      </c>
    </row>
    <row r="3996">
      <c r="A3996" s="1">
        <v>3994.0</v>
      </c>
      <c r="B3996" s="4" t="s">
        <v>6650</v>
      </c>
      <c r="C3996" s="4" t="str">
        <f>IFERROR(__xludf.DUMMYFUNCTION("GOOGLETRANSLATE(D:D,""auto"",""en"")"),"Mayor Italian online hate people")</f>
        <v>Mayor Italian online hate people</v>
      </c>
      <c r="D3996" s="4" t="s">
        <v>6705</v>
      </c>
      <c r="E3996" s="4">
        <v>5626124.0</v>
      </c>
      <c r="F3996" s="4">
        <v>45.0</v>
      </c>
      <c r="G3996" s="4" t="s">
        <v>6706</v>
      </c>
    </row>
    <row r="3997">
      <c r="A3997" s="1">
        <v>3995.0</v>
      </c>
      <c r="B3997" s="4" t="s">
        <v>6650</v>
      </c>
      <c r="C3997" s="4" t="str">
        <f>IFERROR(__xludf.DUMMYFUNCTION("GOOGLETRANSLATE(D:D,""auto"",""en"")"),"Charmaine's first vibrato")</f>
        <v>Charmaine's first vibrato</v>
      </c>
      <c r="D3997" s="4" t="s">
        <v>6707</v>
      </c>
      <c r="E3997" s="4">
        <v>5612669.0</v>
      </c>
      <c r="F3997" s="4">
        <v>46.0</v>
      </c>
      <c r="G3997" s="4" t="s">
        <v>6708</v>
      </c>
    </row>
    <row r="3998">
      <c r="A3998" s="1">
        <v>3996.0</v>
      </c>
      <c r="B3998" s="4" t="s">
        <v>6650</v>
      </c>
      <c r="C3998" s="4" t="str">
        <f>IFERROR(__xludf.DUMMYFUNCTION("GOOGLETRANSLATE(D:D,""auto"",""en"")"),"Beijing woman diagnosed with a family to be dismissed US companies")</f>
        <v>Beijing woman diagnosed with a family to be dismissed US companies</v>
      </c>
      <c r="D3998" s="4" t="s">
        <v>6709</v>
      </c>
      <c r="E3998" s="4">
        <v>5609253.0</v>
      </c>
      <c r="F3998" s="4">
        <v>47.0</v>
      </c>
      <c r="G3998" s="4" t="s">
        <v>6710</v>
      </c>
    </row>
    <row r="3999">
      <c r="A3999" s="1">
        <v>3997.0</v>
      </c>
      <c r="B3999" s="4" t="s">
        <v>6650</v>
      </c>
      <c r="C3999" s="4" t="str">
        <f>IFERROR(__xludf.DUMMYFUNCTION("GOOGLETRANSLATE(D:D,""auto"",""en"")"),"Guangzhou is now building a continuous drop objects from high altitude")</f>
        <v>Guangzhou is now building a continuous drop objects from high altitude</v>
      </c>
      <c r="D3999" s="4" t="s">
        <v>6711</v>
      </c>
      <c r="E3999" s="4">
        <v>5608650.0</v>
      </c>
      <c r="F3999" s="4">
        <v>48.0</v>
      </c>
      <c r="G3999" s="4" t="s">
        <v>6712</v>
      </c>
    </row>
    <row r="4000">
      <c r="A4000" s="1">
        <v>3998.0</v>
      </c>
      <c r="B4000" s="4" t="s">
        <v>6650</v>
      </c>
      <c r="C4000" s="4" t="str">
        <f>IFERROR(__xludf.DUMMYFUNCTION("GOOGLETRANSLATE(D:D,""auto"",""en"")"),"Lakers two players infected with the new virus crown")</f>
        <v>Lakers two players infected with the new virus crown</v>
      </c>
      <c r="D4000" s="4" t="s">
        <v>6713</v>
      </c>
      <c r="E4000" s="4">
        <v>5397190.0</v>
      </c>
      <c r="F4000" s="4">
        <v>49.0</v>
      </c>
      <c r="G4000" s="4" t="s">
        <v>6714</v>
      </c>
    </row>
    <row r="4001">
      <c r="A4001" s="1">
        <v>3999.0</v>
      </c>
      <c r="B4001" s="4" t="s">
        <v>6650</v>
      </c>
      <c r="C4001" s="4" t="str">
        <f>IFERROR(__xludf.DUMMYFUNCTION("GOOGLETRANSLATE(D:D,""auto"",""en"")"),"39 cases of new confirmed cases nationwide")</f>
        <v>39 cases of new confirmed cases nationwide</v>
      </c>
      <c r="D4001" s="4" t="s">
        <v>6715</v>
      </c>
      <c r="E4001" s="4">
        <v>5074110.0</v>
      </c>
      <c r="F4001" s="4">
        <v>50.0</v>
      </c>
      <c r="G4001" s="4" t="s">
        <v>6716</v>
      </c>
    </row>
    <row r="4002">
      <c r="A4002" s="1">
        <v>4000.0</v>
      </c>
      <c r="B4002" s="4" t="s">
        <v>6717</v>
      </c>
      <c r="C4002" s="4" t="str">
        <f>IFERROR(__xludf.DUMMYFUNCTION("GOOGLETRANSLATE(D:D,""auto"",""en"")"),"Guan Xiaotong Qing style snake")</f>
        <v>Guan Xiaotong Qing style snake</v>
      </c>
      <c r="D4002" s="4" t="s">
        <v>6718</v>
      </c>
      <c r="E4002" s="4">
        <v>1.3682008E7</v>
      </c>
      <c r="F4002" s="4">
        <v>1.0</v>
      </c>
      <c r="G4002" s="4" t="s">
        <v>6719</v>
      </c>
    </row>
    <row r="4003">
      <c r="A4003" s="1">
        <v>4001.0</v>
      </c>
      <c r="B4003" s="4" t="s">
        <v>6717</v>
      </c>
      <c r="C4003" s="4" t="str">
        <f>IFERROR(__xludf.DUMMYFUNCTION("GOOGLETRANSLATE(D:D,""auto"",""en"")"),"Menghe Tang Dapeng than the heart overturned")</f>
        <v>Menghe Tang Dapeng than the heart overturned</v>
      </c>
      <c r="D4003" s="4" t="s">
        <v>6720</v>
      </c>
      <c r="E4003" s="4">
        <v>1.3076986E7</v>
      </c>
      <c r="F4003" s="4">
        <v>2.0</v>
      </c>
      <c r="G4003" s="4" t="s">
        <v>6721</v>
      </c>
    </row>
    <row r="4004">
      <c r="A4004" s="1">
        <v>4002.0</v>
      </c>
      <c r="B4004" s="4" t="s">
        <v>6717</v>
      </c>
      <c r="C4004" s="4" t="str">
        <f>IFERROR(__xludf.DUMMYFUNCTION("GOOGLETRANSLATE(D:D,""auto"",""en"")"),"Vibrato you watch movies free big winner")</f>
        <v>Vibrato you watch movies free big winner</v>
      </c>
      <c r="D4004" s="4" t="s">
        <v>6657</v>
      </c>
      <c r="E4004" s="4">
        <v>1.1949349E7</v>
      </c>
      <c r="F4004" s="4">
        <v>3.0</v>
      </c>
      <c r="G4004" s="4" t="s">
        <v>6658</v>
      </c>
    </row>
    <row r="4005">
      <c r="A4005" s="1">
        <v>4003.0</v>
      </c>
      <c r="B4005" s="4" t="s">
        <v>6717</v>
      </c>
      <c r="C4005" s="4" t="str">
        <f>IFERROR(__xludf.DUMMYFUNCTION("GOOGLETRANSLATE(D:D,""auto"",""en"")"),"Chongqing loud noise")</f>
        <v>Chongqing loud noise</v>
      </c>
      <c r="D4005" s="4" t="s">
        <v>6653</v>
      </c>
      <c r="E4005" s="4">
        <v>1.1836358E7</v>
      </c>
      <c r="F4005" s="4">
        <v>4.0</v>
      </c>
      <c r="G4005" s="4" t="s">
        <v>6654</v>
      </c>
    </row>
    <row r="4006">
      <c r="A4006" s="1">
        <v>4004.0</v>
      </c>
      <c r="B4006" s="4" t="s">
        <v>6717</v>
      </c>
      <c r="C4006" s="4" t="str">
        <f>IFERROR(__xludf.DUMMYFUNCTION("GOOGLETRANSLATE(D:D,""auto"",""en"")"),"Foreign embassies and consulates in the diagnosis can be reported to China")</f>
        <v>Foreign embassies and consulates in the diagnosis can be reported to China</v>
      </c>
      <c r="D4006" s="4" t="s">
        <v>6722</v>
      </c>
      <c r="E4006" s="4">
        <v>1.1598746E7</v>
      </c>
      <c r="F4006" s="4">
        <v>5.0</v>
      </c>
      <c r="G4006" s="4" t="s">
        <v>6723</v>
      </c>
    </row>
    <row r="4007">
      <c r="A4007" s="1">
        <v>4005.0</v>
      </c>
      <c r="B4007" s="4" t="s">
        <v>6717</v>
      </c>
      <c r="C4007" s="4" t="str">
        <f>IFERROR(__xludf.DUMMYFUNCTION("GOOGLETRANSLATE(D:D,""auto"",""en"")"),"Trump announced that New York State is a major epidemic disaster area")</f>
        <v>Trump announced that New York State is a major epidemic disaster area</v>
      </c>
      <c r="D4007" s="4" t="s">
        <v>6724</v>
      </c>
      <c r="E4007" s="4">
        <v>1.138264E7</v>
      </c>
      <c r="F4007" s="4">
        <v>6.0</v>
      </c>
      <c r="G4007" s="4" t="s">
        <v>6725</v>
      </c>
    </row>
    <row r="4008">
      <c r="A4008" s="1">
        <v>4006.0</v>
      </c>
      <c r="B4008" s="4" t="s">
        <v>6717</v>
      </c>
      <c r="C4008" s="4" t="str">
        <f>IFERROR(__xludf.DUMMYFUNCTION("GOOGLETRANSLATE(D:D,""auto"",""en"")"),"China's new crown vaccine has been injected into the human body")</f>
        <v>China's new crown vaccine has been injected into the human body</v>
      </c>
      <c r="D4008" s="4" t="s">
        <v>6726</v>
      </c>
      <c r="E4008" s="4">
        <v>1.083051E7</v>
      </c>
      <c r="F4008" s="4">
        <v>7.0</v>
      </c>
      <c r="G4008" s="4" t="s">
        <v>6727</v>
      </c>
    </row>
    <row r="4009">
      <c r="A4009" s="1">
        <v>4007.0</v>
      </c>
      <c r="B4009" s="4" t="s">
        <v>6717</v>
      </c>
      <c r="C4009" s="4" t="str">
        <f>IFERROR(__xludf.DUMMYFUNCTION("GOOGLETRANSLATE(D:D,""auto"",""en"")"),"Yi Xi smelt one thousand porters had asked to go to Wuhan")</f>
        <v>Yi Xi smelt one thousand porters had asked to go to Wuhan</v>
      </c>
      <c r="D4009" s="4" t="s">
        <v>6728</v>
      </c>
      <c r="E4009" s="4">
        <v>1.0548103E7</v>
      </c>
      <c r="F4009" s="4">
        <v>8.0</v>
      </c>
      <c r="G4009" s="4" t="s">
        <v>6729</v>
      </c>
    </row>
    <row r="4010">
      <c r="A4010" s="1">
        <v>4008.0</v>
      </c>
      <c r="B4010" s="4" t="s">
        <v>6717</v>
      </c>
      <c r="C4010" s="4" t="str">
        <f>IFERROR(__xludf.DUMMYFUNCTION("GOOGLETRANSLATE(D:D,""auto"",""en"")"),"Northeast sauce unexpected live show his face")</f>
        <v>Northeast sauce unexpected live show his face</v>
      </c>
      <c r="D4010" s="4" t="s">
        <v>6655</v>
      </c>
      <c r="E4010" s="4">
        <v>9894829.0</v>
      </c>
      <c r="F4010" s="4">
        <v>9.0</v>
      </c>
      <c r="G4010" s="4" t="s">
        <v>6656</v>
      </c>
    </row>
    <row r="4011">
      <c r="A4011" s="1">
        <v>4009.0</v>
      </c>
      <c r="B4011" s="4" t="s">
        <v>6717</v>
      </c>
      <c r="C4011" s="4" t="str">
        <f>IFERROR(__xludf.DUMMYFUNCTION("GOOGLETRANSLATE(D:D,""auto"",""en"")"),"Guards makeup")</f>
        <v>Guards makeup</v>
      </c>
      <c r="D4011" s="4" t="s">
        <v>6730</v>
      </c>
      <c r="E4011" s="4">
        <v>9879159.0</v>
      </c>
      <c r="F4011" s="4">
        <v>10.0</v>
      </c>
      <c r="G4011" s="4" t="s">
        <v>6731</v>
      </c>
    </row>
    <row r="4012">
      <c r="A4012" s="1">
        <v>4010.0</v>
      </c>
      <c r="B4012" s="4" t="s">
        <v>6717</v>
      </c>
      <c r="C4012" s="4" t="str">
        <f>IFERROR(__xludf.DUMMYFUNCTION("GOOGLETRANSLATE(D:D,""auto"",""en"")"),"Trump acknowledged the relationship people can detect priority")</f>
        <v>Trump acknowledged the relationship people can detect priority</v>
      </c>
      <c r="D4012" s="4" t="s">
        <v>6732</v>
      </c>
      <c r="E4012" s="4">
        <v>9792171.0</v>
      </c>
      <c r="F4012" s="4">
        <v>11.0</v>
      </c>
      <c r="G4012" s="4" t="s">
        <v>6733</v>
      </c>
    </row>
    <row r="4013">
      <c r="A4013" s="1">
        <v>4011.0</v>
      </c>
      <c r="B4013" s="4" t="s">
        <v>6717</v>
      </c>
      <c r="C4013" s="4" t="str">
        <f>IFERROR(__xludf.DUMMYFUNCTION("GOOGLETRANSLATE(D:D,""auto"",""en"")"),"Liu Yan Tian was reprimanded point fondue")</f>
        <v>Liu Yan Tian was reprimanded point fondue</v>
      </c>
      <c r="D4013" s="4" t="s">
        <v>6734</v>
      </c>
      <c r="E4013" s="4">
        <v>9565444.0</v>
      </c>
      <c r="F4013" s="4">
        <v>12.0</v>
      </c>
      <c r="G4013" s="4" t="s">
        <v>6735</v>
      </c>
    </row>
    <row r="4014">
      <c r="A4014" s="1">
        <v>4012.0</v>
      </c>
      <c r="B4014" s="4" t="s">
        <v>6717</v>
      </c>
      <c r="C4014" s="4" t="str">
        <f>IFERROR(__xludf.DUMMYFUNCTION("GOOGLETRANSLATE(D:D,""auto"",""en"")"),"National new cases of 41 cases")</f>
        <v>National new cases of 41 cases</v>
      </c>
      <c r="D4014" s="4" t="s">
        <v>6736</v>
      </c>
      <c r="E4014" s="4">
        <v>9288794.0</v>
      </c>
      <c r="F4014" s="4">
        <v>13.0</v>
      </c>
      <c r="G4014" s="4" t="s">
        <v>6737</v>
      </c>
    </row>
    <row r="4015">
      <c r="A4015" s="1">
        <v>4013.0</v>
      </c>
      <c r="B4015" s="4" t="s">
        <v>6717</v>
      </c>
      <c r="C4015" s="4" t="str">
        <f>IFERROR(__xludf.DUMMYFUNCTION("GOOGLETRANSLATE(D:D,""auto"",""en"")"),"Half-face clown makeup")</f>
        <v>Half-face clown makeup</v>
      </c>
      <c r="D4015" s="4" t="s">
        <v>6738</v>
      </c>
      <c r="E4015" s="4">
        <v>8999173.0</v>
      </c>
      <c r="F4015" s="4">
        <v>14.0</v>
      </c>
      <c r="G4015" s="4" t="s">
        <v>6739</v>
      </c>
    </row>
    <row r="4016">
      <c r="A4016" s="1">
        <v>4014.0</v>
      </c>
      <c r="B4016" s="4" t="s">
        <v>6717</v>
      </c>
      <c r="C4016" s="4" t="str">
        <f>IFERROR(__xludf.DUMMYFUNCTION("GOOGLETRANSLATE(D:D,""auto"",""en"")"),"Trump epidemic briefing doze")</f>
        <v>Trump epidemic briefing doze</v>
      </c>
      <c r="D4016" s="4" t="s">
        <v>6740</v>
      </c>
      <c r="E4016" s="4">
        <v>8867466.0</v>
      </c>
      <c r="F4016" s="4">
        <v>15.0</v>
      </c>
      <c r="G4016" s="4" t="s">
        <v>6741</v>
      </c>
    </row>
    <row r="4017">
      <c r="A4017" s="1">
        <v>4015.0</v>
      </c>
      <c r="B4017" s="4" t="s">
        <v>6717</v>
      </c>
      <c r="C4017" s="4" t="str">
        <f>IFERROR(__xludf.DUMMYFUNCTION("GOOGLETRANSLATE(D:D,""auto"",""en"")"),"Dong Xuan live response")</f>
        <v>Dong Xuan live response</v>
      </c>
      <c r="D4017" s="4" t="s">
        <v>6742</v>
      </c>
      <c r="E4017" s="4">
        <v>8295648.0</v>
      </c>
      <c r="F4017" s="4">
        <v>16.0</v>
      </c>
      <c r="G4017" s="4" t="s">
        <v>6743</v>
      </c>
    </row>
    <row r="4018">
      <c r="A4018" s="1">
        <v>4016.0</v>
      </c>
      <c r="B4018" s="4" t="s">
        <v>6717</v>
      </c>
      <c r="C4018" s="4" t="str">
        <f>IFERROR(__xludf.DUMMYFUNCTION("GOOGLETRANSLATE(D:D,""auto"",""en"")"),"Yoon Beijing Opera")</f>
        <v>Yoon Beijing Opera</v>
      </c>
      <c r="D4018" s="4" t="s">
        <v>6744</v>
      </c>
      <c r="E4018" s="4">
        <v>8227803.0</v>
      </c>
      <c r="F4018" s="4">
        <v>17.0</v>
      </c>
      <c r="G4018" s="4" t="s">
        <v>6745</v>
      </c>
    </row>
    <row r="4019">
      <c r="A4019" s="1">
        <v>4017.0</v>
      </c>
      <c r="B4019" s="4" t="s">
        <v>6717</v>
      </c>
      <c r="C4019" s="4" t="str">
        <f>IFERROR(__xludf.DUMMYFUNCTION("GOOGLETRANSLATE(D:D,""auto"",""en"")"),"Li Jiaqi when live dog into chaos")</f>
        <v>Li Jiaqi when live dog into chaos</v>
      </c>
      <c r="D4019" s="4" t="s">
        <v>6746</v>
      </c>
      <c r="E4019" s="4">
        <v>7987311.0</v>
      </c>
      <c r="F4019" s="4">
        <v>18.0</v>
      </c>
      <c r="G4019" s="4" t="s">
        <v>6747</v>
      </c>
    </row>
    <row r="4020">
      <c r="A4020" s="1">
        <v>4018.0</v>
      </c>
      <c r="B4020" s="4" t="s">
        <v>6717</v>
      </c>
      <c r="C4020" s="4" t="str">
        <f>IFERROR(__xludf.DUMMYFUNCTION("GOOGLETRANSLATE(D:D,""auto"",""en"")"),"Huachen Yu falls")</f>
        <v>Huachen Yu falls</v>
      </c>
      <c r="D4020" s="4" t="s">
        <v>6748</v>
      </c>
      <c r="E4020" s="4">
        <v>7948805.0</v>
      </c>
      <c r="F4020" s="4">
        <v>19.0</v>
      </c>
      <c r="G4020" s="4" t="s">
        <v>6749</v>
      </c>
    </row>
    <row r="4021">
      <c r="A4021" s="1">
        <v>4019.0</v>
      </c>
      <c r="B4021" s="4" t="s">
        <v>6717</v>
      </c>
      <c r="C4021" s="4" t="str">
        <f>IFERROR(__xludf.DUMMYFUNCTION("GOOGLETRANSLATE(D:D,""auto"",""en"")"),"Lin Yun Zhang Xincheng Naicha")</f>
        <v>Lin Yun Zhang Xincheng Naicha</v>
      </c>
      <c r="D4021" s="4" t="s">
        <v>6750</v>
      </c>
      <c r="E4021" s="4">
        <v>7852488.0</v>
      </c>
      <c r="F4021" s="4">
        <v>20.0</v>
      </c>
      <c r="G4021" s="4" t="s">
        <v>6751</v>
      </c>
    </row>
    <row r="4022">
      <c r="A4022" s="1">
        <v>4020.0</v>
      </c>
      <c r="B4022" s="4" t="s">
        <v>6717</v>
      </c>
      <c r="C4022" s="4" t="str">
        <f>IFERROR(__xludf.DUMMYFUNCTION("GOOGLETRANSLATE(D:D,""auto"",""en"")"),"Italian hospital internal screen")</f>
        <v>Italian hospital internal screen</v>
      </c>
      <c r="D4022" s="4" t="s">
        <v>6752</v>
      </c>
      <c r="E4022" s="4">
        <v>7851505.0</v>
      </c>
      <c r="F4022" s="4">
        <v>21.0</v>
      </c>
      <c r="G4022" s="4" t="s">
        <v>6753</v>
      </c>
    </row>
    <row r="4023">
      <c r="A4023" s="1">
        <v>4021.0</v>
      </c>
      <c r="B4023" s="4" t="s">
        <v>6717</v>
      </c>
      <c r="C4023" s="4" t="str">
        <f>IFERROR(__xludf.DUMMYFUNCTION("GOOGLETRANSLATE(D:D,""auto"",""en"")"),"Mayor Italian online hate people")</f>
        <v>Mayor Italian online hate people</v>
      </c>
      <c r="D4023" s="4" t="s">
        <v>6705</v>
      </c>
      <c r="E4023" s="4">
        <v>7849568.0</v>
      </c>
      <c r="F4023" s="4">
        <v>22.0</v>
      </c>
      <c r="G4023" s="4" t="s">
        <v>6706</v>
      </c>
    </row>
    <row r="4024">
      <c r="A4024" s="1">
        <v>4022.0</v>
      </c>
      <c r="B4024" s="4" t="s">
        <v>6717</v>
      </c>
      <c r="C4024" s="4" t="str">
        <f>IFERROR(__xludf.DUMMYFUNCTION("GOOGLETRANSLATE(D:D,""auto"",""en"")"),"Julian Cheung Anita son")</f>
        <v>Julian Cheung Anita son</v>
      </c>
      <c r="D4024" s="4" t="s">
        <v>6663</v>
      </c>
      <c r="E4024" s="4">
        <v>7709998.0</v>
      </c>
      <c r="F4024" s="4">
        <v>23.0</v>
      </c>
      <c r="G4024" s="4" t="s">
        <v>6664</v>
      </c>
    </row>
    <row r="4025">
      <c r="A4025" s="1">
        <v>4023.0</v>
      </c>
      <c r="B4025" s="4" t="s">
        <v>6717</v>
      </c>
      <c r="C4025" s="4" t="str">
        <f>IFERROR(__xludf.DUMMYFUNCTION("GOOGLETRANSLATE(D:D,""auto"",""en"")"),"Dapeng school mom marriage")</f>
        <v>Dapeng school mom marriage</v>
      </c>
      <c r="D4025" s="4" t="s">
        <v>6754</v>
      </c>
      <c r="E4025" s="4">
        <v>7600858.0</v>
      </c>
      <c r="F4025" s="4">
        <v>24.0</v>
      </c>
      <c r="G4025" s="4" t="s">
        <v>6755</v>
      </c>
    </row>
    <row r="4026">
      <c r="A4026" s="1">
        <v>4024.0</v>
      </c>
      <c r="B4026" s="4" t="s">
        <v>6717</v>
      </c>
      <c r="C4026" s="4" t="str">
        <f>IFERROR(__xludf.DUMMYFUNCTION("GOOGLETRANSLATE(D:D,""auto"",""en"")"),"Party secretary Ezhou mayor bowed to thank the medical team")</f>
        <v>Party secretary Ezhou mayor bowed to thank the medical team</v>
      </c>
      <c r="D4026" s="4" t="s">
        <v>6756</v>
      </c>
      <c r="E4026" s="4">
        <v>7593112.0</v>
      </c>
      <c r="F4026" s="4">
        <v>25.0</v>
      </c>
      <c r="G4026" s="4" t="s">
        <v>6757</v>
      </c>
    </row>
    <row r="4027">
      <c r="A4027" s="1">
        <v>4025.0</v>
      </c>
      <c r="B4027" s="4" t="s">
        <v>6717</v>
      </c>
      <c r="C4027" s="4" t="str">
        <f>IFERROR(__xludf.DUMMYFUNCTION("GOOGLETRANSLATE(D:D,""auto"",""en"")"),"Lou Yi Xiao home-made ice cream roll")</f>
        <v>Lou Yi Xiao home-made ice cream roll</v>
      </c>
      <c r="D4027" s="4" t="s">
        <v>6758</v>
      </c>
      <c r="E4027" s="4">
        <v>7582037.0</v>
      </c>
      <c r="F4027" s="4">
        <v>26.0</v>
      </c>
      <c r="G4027" s="4" t="s">
        <v>6759</v>
      </c>
    </row>
    <row r="4028">
      <c r="A4028" s="1">
        <v>4026.0</v>
      </c>
      <c r="B4028" s="4" t="s">
        <v>6717</v>
      </c>
      <c r="C4028" s="4" t="str">
        <f>IFERROR(__xludf.DUMMYFUNCTION("GOOGLETRANSLATE(D:D,""auto"",""en"")"),"Five evaporation technology giant $ 1.3 trillion")</f>
        <v>Five evaporation technology giant $ 1.3 trillion</v>
      </c>
      <c r="D4028" s="4" t="s">
        <v>6760</v>
      </c>
      <c r="E4028" s="4">
        <v>7510120.0</v>
      </c>
      <c r="F4028" s="4">
        <v>27.0</v>
      </c>
      <c r="G4028" s="4" t="s">
        <v>6761</v>
      </c>
    </row>
    <row r="4029">
      <c r="A4029" s="1">
        <v>4027.0</v>
      </c>
      <c r="B4029" s="4" t="s">
        <v>6717</v>
      </c>
      <c r="C4029" s="4" t="str">
        <f>IFERROR(__xludf.DUMMYFUNCTION("GOOGLETRANSLATE(D:D,""auto"",""en"")"),"Kanye")</f>
        <v>Kanye</v>
      </c>
      <c r="D4029" s="4" t="s">
        <v>6762</v>
      </c>
      <c r="E4029" s="4">
        <v>7468641.0</v>
      </c>
      <c r="F4029" s="4">
        <v>28.0</v>
      </c>
      <c r="G4029" s="4" t="s">
        <v>6763</v>
      </c>
    </row>
    <row r="4030">
      <c r="A4030" s="1">
        <v>4028.0</v>
      </c>
      <c r="B4030" s="4" t="s">
        <v>6717</v>
      </c>
      <c r="C4030" s="4" t="str">
        <f>IFERROR(__xludf.DUMMYFUNCTION("GOOGLETRANSLATE(D:D,""auto"",""en"")"),"James sun with his wife at home exercise selfie")</f>
        <v>James sun with his wife at home exercise selfie</v>
      </c>
      <c r="D4030" s="4" t="s">
        <v>6703</v>
      </c>
      <c r="E4030" s="4">
        <v>7398933.0</v>
      </c>
      <c r="F4030" s="4">
        <v>29.0</v>
      </c>
      <c r="G4030" s="4" t="s">
        <v>6704</v>
      </c>
    </row>
    <row r="4031">
      <c r="A4031" s="1">
        <v>4029.0</v>
      </c>
      <c r="B4031" s="4" t="s">
        <v>6717</v>
      </c>
      <c r="C4031" s="4" t="str">
        <f>IFERROR(__xludf.DUMMYFUNCTION("GOOGLETRANSLATE(D:D,""auto"",""en"")"),"China has announced to provide assistance to 82 countries")</f>
        <v>China has announced to provide assistance to 82 countries</v>
      </c>
      <c r="D4031" s="4" t="s">
        <v>6764</v>
      </c>
      <c r="E4031" s="4">
        <v>7345385.0</v>
      </c>
      <c r="F4031" s="4">
        <v>30.0</v>
      </c>
      <c r="G4031" s="4" t="s">
        <v>6765</v>
      </c>
    </row>
    <row r="4032">
      <c r="A4032" s="1">
        <v>4030.0</v>
      </c>
      <c r="B4032" s="4" t="s">
        <v>6717</v>
      </c>
      <c r="C4032" s="4" t="str">
        <f>IFERROR(__xludf.DUMMYFUNCTION("GOOGLETRANSLATE(D:D,""auto"",""en"")"),"Inter vegetarian vine")</f>
        <v>Inter vegetarian vine</v>
      </c>
      <c r="D4032" s="4" t="s">
        <v>6659</v>
      </c>
      <c r="E4032" s="4">
        <v>7112699.0</v>
      </c>
      <c r="F4032" s="4">
        <v>31.0</v>
      </c>
      <c r="G4032" s="4" t="s">
        <v>6660</v>
      </c>
    </row>
    <row r="4033">
      <c r="A4033" s="1">
        <v>4031.0</v>
      </c>
      <c r="B4033" s="4" t="s">
        <v>6717</v>
      </c>
      <c r="C4033" s="4" t="str">
        <f>IFERROR(__xludf.DUMMYFUNCTION("GOOGLETRANSLATE(D:D,""auto"",""en"")"),"Wuhan, the official response was a neighbor driving a nurse")</f>
        <v>Wuhan, the official response was a neighbor driving a nurse</v>
      </c>
      <c r="D4033" s="4" t="s">
        <v>6766</v>
      </c>
      <c r="E4033" s="4">
        <v>7108415.0</v>
      </c>
      <c r="F4033" s="4">
        <v>32.0</v>
      </c>
      <c r="G4033" s="4" t="s">
        <v>6767</v>
      </c>
    </row>
    <row r="4034">
      <c r="A4034" s="1">
        <v>4032.0</v>
      </c>
      <c r="B4034" s="4" t="s">
        <v>6717</v>
      </c>
      <c r="C4034" s="4" t="str">
        <f>IFERROR(__xludf.DUMMYFUNCTION("GOOGLETRANSLATE(D:D,""auto"",""en"")"),"Fujian Pingtan blue tears wonders")</f>
        <v>Fujian Pingtan blue tears wonders</v>
      </c>
      <c r="D4034" s="4" t="s">
        <v>6768</v>
      </c>
      <c r="E4034" s="4">
        <v>6922978.0</v>
      </c>
      <c r="F4034" s="4">
        <v>33.0</v>
      </c>
      <c r="G4034" s="4" t="s">
        <v>6769</v>
      </c>
    </row>
    <row r="4035">
      <c r="A4035" s="1">
        <v>4033.0</v>
      </c>
      <c r="B4035" s="4" t="s">
        <v>6717</v>
      </c>
      <c r="C4035" s="4" t="str">
        <f>IFERROR(__xludf.DUMMYFUNCTION("GOOGLETRANSLATE(D:D,""auto"",""en"")"),"Wu Lei diagnosed with pneumonia new crown")</f>
        <v>Wu Lei diagnosed with pneumonia new crown</v>
      </c>
      <c r="D4035" s="4" t="s">
        <v>6770</v>
      </c>
      <c r="E4035" s="4">
        <v>6881182.0</v>
      </c>
      <c r="F4035" s="4">
        <v>34.0</v>
      </c>
      <c r="G4035" s="4" t="s">
        <v>6771</v>
      </c>
    </row>
    <row r="4036">
      <c r="A4036" s="1">
        <v>4034.0</v>
      </c>
      <c r="B4036" s="4" t="s">
        <v>6717</v>
      </c>
      <c r="C4036" s="4" t="str">
        <f>IFERROR(__xludf.DUMMYFUNCTION("GOOGLETRANSLATE(D:D,""auto"",""en"")"),"Too sweet candy stew Sydney")</f>
        <v>Too sweet candy stew Sydney</v>
      </c>
      <c r="D4036" s="4" t="s">
        <v>6614</v>
      </c>
      <c r="E4036" s="4">
        <v>6599837.0</v>
      </c>
      <c r="F4036" s="4">
        <v>35.0</v>
      </c>
      <c r="G4036" s="4" t="s">
        <v>6615</v>
      </c>
    </row>
    <row r="4037">
      <c r="A4037" s="1">
        <v>4035.0</v>
      </c>
      <c r="B4037" s="4" t="s">
        <v>6717</v>
      </c>
      <c r="C4037" s="4" t="str">
        <f>IFERROR(__xludf.DUMMYFUNCTION("GOOGLETRANSLATE(D:D,""auto"",""en"")"),"Glass kiss every female nurse with her boyfriend licensing")</f>
        <v>Glass kiss every female nurse with her boyfriend licensing</v>
      </c>
      <c r="D4037" s="4" t="s">
        <v>6772</v>
      </c>
      <c r="E4037" s="4">
        <v>6596772.0</v>
      </c>
      <c r="F4037" s="4">
        <v>36.0</v>
      </c>
      <c r="G4037" s="4" t="s">
        <v>6773</v>
      </c>
    </row>
    <row r="4038">
      <c r="A4038" s="1">
        <v>4036.0</v>
      </c>
      <c r="B4038" s="4" t="s">
        <v>6717</v>
      </c>
      <c r="C4038" s="4" t="str">
        <f>IFERROR(__xludf.DUMMYFUNCTION("GOOGLETRANSLATE(D:D,""auto"",""en"")"),"Beijing woman diagnosed with a family to be dismissed US companies")</f>
        <v>Beijing woman diagnosed with a family to be dismissed US companies</v>
      </c>
      <c r="D4038" s="4" t="s">
        <v>6709</v>
      </c>
      <c r="E4038" s="4">
        <v>6542318.0</v>
      </c>
      <c r="F4038" s="4">
        <v>37.0</v>
      </c>
      <c r="G4038" s="4" t="s">
        <v>6710</v>
      </c>
    </row>
    <row r="4039">
      <c r="A4039" s="1">
        <v>4037.0</v>
      </c>
      <c r="B4039" s="4" t="s">
        <v>6717</v>
      </c>
      <c r="C4039" s="4" t="str">
        <f>IFERROR(__xludf.DUMMYFUNCTION("GOOGLETRANSLATE(D:D,""auto"",""en"")"),"Hubei green code should isolate it at their own expense")</f>
        <v>Hubei green code should isolate it at their own expense</v>
      </c>
      <c r="D4039" s="4" t="s">
        <v>6774</v>
      </c>
      <c r="E4039" s="4">
        <v>6416111.0</v>
      </c>
      <c r="F4039" s="4">
        <v>38.0</v>
      </c>
      <c r="G4039" s="4" t="s">
        <v>6775</v>
      </c>
    </row>
    <row r="4040">
      <c r="A4040" s="1">
        <v>4038.0</v>
      </c>
      <c r="B4040" s="4" t="s">
        <v>6717</v>
      </c>
      <c r="C4040" s="4" t="str">
        <f>IFERROR(__xludf.DUMMYFUNCTION("GOOGLETRANSLATE(D:D,""auto"",""en"")"),"Tumbler girl wearing a mask to return to work")</f>
        <v>Tumbler girl wearing a mask to return to work</v>
      </c>
      <c r="D4040" s="4" t="s">
        <v>6776</v>
      </c>
      <c r="E4040" s="4">
        <v>6331424.0</v>
      </c>
      <c r="F4040" s="4">
        <v>39.0</v>
      </c>
      <c r="G4040" s="4" t="s">
        <v>6777</v>
      </c>
    </row>
    <row r="4041">
      <c r="A4041" s="1">
        <v>4039.0</v>
      </c>
      <c r="B4041" s="4" t="s">
        <v>6717</v>
      </c>
      <c r="C4041" s="4" t="str">
        <f>IFERROR(__xludf.DUMMYFUNCTION("GOOGLETRANSLATE(D:D,""auto"",""en"")"),"Handong Jun indiscriminate use of face")</f>
        <v>Handong Jun indiscriminate use of face</v>
      </c>
      <c r="D4041" s="4" t="s">
        <v>6778</v>
      </c>
      <c r="E4041" s="4">
        <v>6325952.0</v>
      </c>
      <c r="F4041" s="4">
        <v>40.0</v>
      </c>
      <c r="G4041" s="4" t="s">
        <v>6779</v>
      </c>
    </row>
    <row r="4042">
      <c r="A4042" s="1">
        <v>4040.0</v>
      </c>
      <c r="B4042" s="4" t="s">
        <v>6717</v>
      </c>
      <c r="C4042" s="4" t="str">
        <f>IFERROR(__xludf.DUMMYFUNCTION("GOOGLETRANSLATE(D:D,""auto"",""en"")"),"Please say you often lose three things")</f>
        <v>Please say you often lose three things</v>
      </c>
      <c r="D4042" s="4" t="s">
        <v>6780</v>
      </c>
      <c r="E4042" s="4">
        <v>6311418.0</v>
      </c>
      <c r="F4042" s="4">
        <v>41.0</v>
      </c>
      <c r="G4042" s="4" t="s">
        <v>6781</v>
      </c>
    </row>
    <row r="4043">
      <c r="A4043" s="1">
        <v>4041.0</v>
      </c>
      <c r="B4043" s="4" t="s">
        <v>6717</v>
      </c>
      <c r="C4043" s="4" t="str">
        <f>IFERROR(__xludf.DUMMYFUNCTION("GOOGLETRANSLATE(D:D,""auto"",""en"")"),"Xu Mita northeast sauce was pressed romance")</f>
        <v>Xu Mita northeast sauce was pressed romance</v>
      </c>
      <c r="D4043" s="4" t="s">
        <v>6687</v>
      </c>
      <c r="E4043" s="4">
        <v>6302752.0</v>
      </c>
      <c r="F4043" s="4">
        <v>42.0</v>
      </c>
      <c r="G4043" s="4" t="s">
        <v>6688</v>
      </c>
    </row>
    <row r="4044">
      <c r="A4044" s="1">
        <v>4042.0</v>
      </c>
      <c r="B4044" s="4" t="s">
        <v>6717</v>
      </c>
      <c r="C4044" s="4" t="str">
        <f>IFERROR(__xludf.DUMMYFUNCTION("GOOGLETRANSLATE(D:D,""auto"",""en"")"),"Apple's Chinese official website of each person may purchase two iPhone")</f>
        <v>Apple's Chinese official website of each person may purchase two iPhone</v>
      </c>
      <c r="D4044" s="4" t="s">
        <v>6782</v>
      </c>
      <c r="E4044" s="4">
        <v>6230322.0</v>
      </c>
      <c r="F4044" s="4">
        <v>43.0</v>
      </c>
      <c r="G4044" s="4" t="s">
        <v>6783</v>
      </c>
    </row>
    <row r="4045">
      <c r="A4045" s="1">
        <v>4043.0</v>
      </c>
      <c r="B4045" s="4" t="s">
        <v>6717</v>
      </c>
      <c r="C4045" s="4" t="str">
        <f>IFERROR(__xludf.DUMMYFUNCTION("GOOGLETRANSLATE(D:D,""auto"",""en"")"),"Such information is easy to shoot video identity exposed")</f>
        <v>Such information is easy to shoot video identity exposed</v>
      </c>
      <c r="D4045" s="4" t="s">
        <v>6784</v>
      </c>
      <c r="E4045" s="4">
        <v>6195909.0</v>
      </c>
      <c r="F4045" s="4">
        <v>44.0</v>
      </c>
      <c r="G4045" s="4" t="s">
        <v>6785</v>
      </c>
    </row>
    <row r="4046">
      <c r="A4046" s="1">
        <v>4044.0</v>
      </c>
      <c r="B4046" s="4" t="s">
        <v>6717</v>
      </c>
      <c r="C4046" s="4" t="str">
        <f>IFERROR(__xludf.DUMMYFUNCTION("GOOGLETRANSLATE(D:D,""auto"",""en"")"),"India sixth inscription Chinese Chess")</f>
        <v>India sixth inscription Chinese Chess</v>
      </c>
      <c r="D4046" s="4" t="s">
        <v>6786</v>
      </c>
      <c r="E4046" s="4">
        <v>6130221.0</v>
      </c>
      <c r="F4046" s="4">
        <v>45.0</v>
      </c>
      <c r="G4046" s="4" t="s">
        <v>6787</v>
      </c>
    </row>
    <row r="4047">
      <c r="A4047" s="1">
        <v>4045.0</v>
      </c>
      <c r="B4047" s="4" t="s">
        <v>6717</v>
      </c>
      <c r="C4047" s="4" t="str">
        <f>IFERROR(__xludf.DUMMYFUNCTION("GOOGLETRANSLATE(D:D,""auto"",""en"")"),"Ren Jialun heart-warming responses care Fans")</f>
        <v>Ren Jialun heart-warming responses care Fans</v>
      </c>
      <c r="D4047" s="4" t="s">
        <v>6661</v>
      </c>
      <c r="E4047" s="4">
        <v>5954515.0</v>
      </c>
      <c r="F4047" s="4">
        <v>46.0</v>
      </c>
      <c r="G4047" s="4" t="s">
        <v>6662</v>
      </c>
    </row>
    <row r="4048">
      <c r="A4048" s="1">
        <v>4046.0</v>
      </c>
      <c r="B4048" s="4" t="s">
        <v>6717</v>
      </c>
      <c r="C4048" s="4" t="str">
        <f>IFERROR(__xludf.DUMMYFUNCTION("GOOGLETRANSLATE(D:D,""auto"",""en"")"),"Ecuador mayor sent the aircraft stopped on the runway fleet")</f>
        <v>Ecuador mayor sent the aircraft stopped on the runway fleet</v>
      </c>
      <c r="D4048" s="4" t="s">
        <v>6788</v>
      </c>
      <c r="E4048" s="4">
        <v>5911306.0</v>
      </c>
      <c r="F4048" s="4">
        <v>47.0</v>
      </c>
      <c r="G4048" s="4" t="s">
        <v>6789</v>
      </c>
    </row>
    <row r="4049">
      <c r="A4049" s="1">
        <v>4047.0</v>
      </c>
      <c r="B4049" s="4" t="s">
        <v>6717</v>
      </c>
      <c r="C4049" s="4" t="str">
        <f>IFERROR(__xludf.DUMMYFUNCTION("GOOGLETRANSLATE(D:D,""auto"",""en"")"),"India black bus gang rape culprits were executed")</f>
        <v>India black bus gang rape culprits were executed</v>
      </c>
      <c r="D4049" s="4" t="s">
        <v>6790</v>
      </c>
      <c r="E4049" s="4">
        <v>5906705.0</v>
      </c>
      <c r="F4049" s="4">
        <v>48.0</v>
      </c>
      <c r="G4049" s="4" t="s">
        <v>6791</v>
      </c>
    </row>
    <row r="4050">
      <c r="A4050" s="1">
        <v>4048.0</v>
      </c>
      <c r="B4050" s="4" t="s">
        <v>6717</v>
      </c>
      <c r="C4050" s="4" t="str">
        <f>IFERROR(__xludf.DUMMYFUNCTION("GOOGLETRANSLATE(D:D,""auto"",""en"")"),"Zhang take a ride on a live cell phone fell in the pot")</f>
        <v>Zhang take a ride on a live cell phone fell in the pot</v>
      </c>
      <c r="D4050" s="4" t="s">
        <v>6792</v>
      </c>
      <c r="E4050" s="4">
        <v>5899165.0</v>
      </c>
      <c r="F4050" s="4">
        <v>49.0</v>
      </c>
      <c r="G4050" s="4" t="s">
        <v>6793</v>
      </c>
    </row>
    <row r="4051">
      <c r="A4051" s="1">
        <v>4049.0</v>
      </c>
      <c r="B4051" s="4" t="s">
        <v>6717</v>
      </c>
      <c r="C4051" s="4" t="str">
        <f>IFERROR(__xludf.DUMMYFUNCTION("GOOGLETRANSLATE(D:D,""auto"",""en"")"),"Han Xue sing rap")</f>
        <v>Han Xue sing rap</v>
      </c>
      <c r="D4051" s="4" t="s">
        <v>6794</v>
      </c>
      <c r="E4051" s="4">
        <v>5896240.0</v>
      </c>
      <c r="F4051" s="4">
        <v>50.0</v>
      </c>
      <c r="G4051" s="4" t="s">
        <v>6795</v>
      </c>
    </row>
    <row r="4052">
      <c r="A4052" s="1">
        <v>4050.0</v>
      </c>
      <c r="B4052" s="4" t="s">
        <v>6796</v>
      </c>
      <c r="C4052" s="4" t="str">
        <f>IFERROR(__xludf.DUMMYFUNCTION("GOOGLETRANSLATE(D:D,""auto"",""en"")"),"Academician Zhong Nanshan handprints sent No. 01")</f>
        <v>Academician Zhong Nanshan handprints sent No. 01</v>
      </c>
      <c r="D4052" s="4" t="s">
        <v>6797</v>
      </c>
      <c r="E4052" s="4">
        <v>1.3578046E7</v>
      </c>
      <c r="F4052" s="4">
        <v>1.0</v>
      </c>
      <c r="G4052" s="4" t="s">
        <v>6798</v>
      </c>
    </row>
    <row r="4053">
      <c r="A4053" s="1">
        <v>4051.0</v>
      </c>
      <c r="B4053" s="4" t="s">
        <v>6796</v>
      </c>
      <c r="C4053" s="4" t="str">
        <f>IFERROR(__xludf.DUMMYFUNCTION("GOOGLETRANSLATE(D:D,""auto"",""en"")"),"Trump acknowledged the relationship people can detect priority")</f>
        <v>Trump acknowledged the relationship people can detect priority</v>
      </c>
      <c r="D4053" s="4" t="s">
        <v>6732</v>
      </c>
      <c r="E4053" s="4">
        <v>1.0442944E7</v>
      </c>
      <c r="F4053" s="4">
        <v>2.0</v>
      </c>
      <c r="G4053" s="4" t="s">
        <v>6733</v>
      </c>
    </row>
    <row r="4054">
      <c r="A4054" s="1">
        <v>4052.0</v>
      </c>
      <c r="B4054" s="4" t="s">
        <v>6796</v>
      </c>
      <c r="C4054" s="4" t="str">
        <f>IFERROR(__xludf.DUMMYFUNCTION("GOOGLETRANSLATE(D:D,""auto"",""en"")"),"Liu Yan Tian was reprimanded point fondue")</f>
        <v>Liu Yan Tian was reprimanded point fondue</v>
      </c>
      <c r="D4054" s="4" t="s">
        <v>6734</v>
      </c>
      <c r="E4054" s="4">
        <v>1.0083923E7</v>
      </c>
      <c r="F4054" s="4">
        <v>3.0</v>
      </c>
      <c r="G4054" s="4" t="s">
        <v>6735</v>
      </c>
    </row>
    <row r="4055">
      <c r="A4055" s="1">
        <v>4053.0</v>
      </c>
      <c r="B4055" s="4" t="s">
        <v>6796</v>
      </c>
      <c r="C4055" s="4" t="str">
        <f>IFERROR(__xludf.DUMMYFUNCTION("GOOGLETRANSLATE(D:D,""auto"",""en"")"),"Happy family invited to participate in Hunan medical record")</f>
        <v>Happy family invited to participate in Hunan medical record</v>
      </c>
      <c r="D4055" s="4" t="s">
        <v>6799</v>
      </c>
      <c r="E4055" s="4">
        <v>1.0038215E7</v>
      </c>
      <c r="F4055" s="4">
        <v>4.0</v>
      </c>
      <c r="G4055" s="4" t="s">
        <v>6800</v>
      </c>
    </row>
    <row r="4056">
      <c r="A4056" s="1">
        <v>4054.0</v>
      </c>
      <c r="B4056" s="4" t="s">
        <v>6796</v>
      </c>
      <c r="C4056" s="4" t="str">
        <f>IFERROR(__xludf.DUMMYFUNCTION("GOOGLETRANSLATE(D:D,""auto"",""en"")"),"Park guest sword Itaewon Class")</f>
        <v>Park guest sword Itaewon Class</v>
      </c>
      <c r="D4056" s="4" t="s">
        <v>6801</v>
      </c>
      <c r="E4056" s="4">
        <v>9450905.0</v>
      </c>
      <c r="F4056" s="4">
        <v>5.0</v>
      </c>
      <c r="G4056" s="4" t="s">
        <v>6802</v>
      </c>
    </row>
    <row r="4057">
      <c r="A4057" s="1">
        <v>4055.0</v>
      </c>
      <c r="B4057" s="4" t="s">
        <v>6796</v>
      </c>
      <c r="C4057" s="4" t="str">
        <f>IFERROR(__xludf.DUMMYFUNCTION("GOOGLETRANSLATE(D:D,""auto"",""en"")"),"84-year-old academician Zhong Nanshan drying Menus")</f>
        <v>84-year-old academician Zhong Nanshan drying Menus</v>
      </c>
      <c r="D4057" s="4" t="s">
        <v>6803</v>
      </c>
      <c r="E4057" s="4">
        <v>9255754.0</v>
      </c>
      <c r="F4057" s="4">
        <v>6.0</v>
      </c>
      <c r="G4057" s="4" t="s">
        <v>6804</v>
      </c>
    </row>
    <row r="4058">
      <c r="A4058" s="1">
        <v>4056.0</v>
      </c>
      <c r="B4058" s="4" t="s">
        <v>6796</v>
      </c>
      <c r="C4058" s="4" t="str">
        <f>IFERROR(__xludf.DUMMYFUNCTION("GOOGLETRANSLATE(D:D,""auto"",""en"")"),"Panda laugh live performance")</f>
        <v>Panda laugh live performance</v>
      </c>
      <c r="D4058" s="4" t="s">
        <v>6805</v>
      </c>
      <c r="E4058" s="4">
        <v>9248272.0</v>
      </c>
      <c r="F4058" s="4">
        <v>7.0</v>
      </c>
      <c r="G4058" s="4" t="s">
        <v>6806</v>
      </c>
    </row>
    <row r="4059">
      <c r="A4059" s="1">
        <v>4057.0</v>
      </c>
      <c r="B4059" s="4" t="s">
        <v>6796</v>
      </c>
      <c r="C4059" s="4" t="str">
        <f>IFERROR(__xludf.DUMMYFUNCTION("GOOGLETRANSLATE(D:D,""auto"",""en"")"),"Northeast sauce unexpected live show his face")</f>
        <v>Northeast sauce unexpected live show his face</v>
      </c>
      <c r="D4059" s="4" t="s">
        <v>6655</v>
      </c>
      <c r="E4059" s="4">
        <v>9107837.0</v>
      </c>
      <c r="F4059" s="4">
        <v>8.0</v>
      </c>
      <c r="G4059" s="4" t="s">
        <v>6656</v>
      </c>
    </row>
    <row r="4060">
      <c r="A4060" s="1">
        <v>4058.0</v>
      </c>
      <c r="B4060" s="4" t="s">
        <v>6796</v>
      </c>
      <c r="C4060" s="4" t="str">
        <f>IFERROR(__xludf.DUMMYFUNCTION("GOOGLETRANSLATE(D:D,""auto"",""en"")"),"Li Xueqin Live 8 blind men overturned")</f>
        <v>Li Xueqin Live 8 blind men overturned</v>
      </c>
      <c r="D4060" s="4" t="s">
        <v>6807</v>
      </c>
      <c r="E4060" s="4">
        <v>9016216.0</v>
      </c>
      <c r="F4060" s="4">
        <v>9.0</v>
      </c>
      <c r="G4060" s="4" t="s">
        <v>6808</v>
      </c>
    </row>
    <row r="4061">
      <c r="A4061" s="1">
        <v>4059.0</v>
      </c>
      <c r="B4061" s="4" t="s">
        <v>6796</v>
      </c>
      <c r="C4061" s="4" t="str">
        <f>IFERROR(__xludf.DUMMYFUNCTION("GOOGLETRANSLATE(D:D,""auto"",""en"")"),"Zhejiang much as one second change of weather")</f>
        <v>Zhejiang much as one second change of weather</v>
      </c>
      <c r="D4061" s="4" t="s">
        <v>6809</v>
      </c>
      <c r="E4061" s="4">
        <v>8796575.0</v>
      </c>
      <c r="F4061" s="4">
        <v>10.0</v>
      </c>
      <c r="G4061" s="4" t="s">
        <v>6810</v>
      </c>
    </row>
    <row r="4062">
      <c r="A4062" s="1">
        <v>4060.0</v>
      </c>
      <c r="B4062" s="4" t="s">
        <v>6796</v>
      </c>
      <c r="C4062" s="4" t="str">
        <f>IFERROR(__xludf.DUMMYFUNCTION("GOOGLETRANSLATE(D:D,""auto"",""en"")"),"Half-face clown makeup")</f>
        <v>Half-face clown makeup</v>
      </c>
      <c r="D4062" s="4" t="s">
        <v>6738</v>
      </c>
      <c r="E4062" s="4">
        <v>8660099.0</v>
      </c>
      <c r="F4062" s="4">
        <v>11.0</v>
      </c>
      <c r="G4062" s="4" t="s">
        <v>6739</v>
      </c>
    </row>
    <row r="4063">
      <c r="A4063" s="1">
        <v>4061.0</v>
      </c>
      <c r="B4063" s="4" t="s">
        <v>6796</v>
      </c>
      <c r="C4063" s="4" t="str">
        <f>IFERROR(__xludf.DUMMYFUNCTION("GOOGLETRANSLATE(D:D,""auto"",""en"")"),"Liu Yan live disco")</f>
        <v>Liu Yan live disco</v>
      </c>
      <c r="D4063" s="4" t="s">
        <v>6811</v>
      </c>
      <c r="E4063" s="4">
        <v>8479367.0</v>
      </c>
      <c r="F4063" s="4">
        <v>12.0</v>
      </c>
      <c r="G4063" s="4" t="s">
        <v>6812</v>
      </c>
    </row>
    <row r="4064">
      <c r="A4064" s="1">
        <v>4062.0</v>
      </c>
      <c r="B4064" s="4" t="s">
        <v>6796</v>
      </c>
      <c r="C4064" s="4" t="str">
        <f>IFERROR(__xludf.DUMMYFUNCTION("GOOGLETRANSLATE(D:D,""auto"",""en"")"),"Lou Yi Xiao home-made ice cream roll")</f>
        <v>Lou Yi Xiao home-made ice cream roll</v>
      </c>
      <c r="D4064" s="4" t="s">
        <v>6758</v>
      </c>
      <c r="E4064" s="4">
        <v>8311658.0</v>
      </c>
      <c r="F4064" s="4">
        <v>13.0</v>
      </c>
      <c r="G4064" s="4" t="s">
        <v>6759</v>
      </c>
    </row>
    <row r="4065">
      <c r="A4065" s="1">
        <v>4063.0</v>
      </c>
      <c r="B4065" s="4" t="s">
        <v>6796</v>
      </c>
      <c r="C4065" s="4" t="str">
        <f>IFERROR(__xludf.DUMMYFUNCTION("GOOGLETRANSLATE(D:D,""auto"",""en"")"),"Yiyangqianxi spacesuit")</f>
        <v>Yiyangqianxi spacesuit</v>
      </c>
      <c r="D4065" s="4" t="s">
        <v>6813</v>
      </c>
      <c r="E4065" s="4">
        <v>8289433.0</v>
      </c>
      <c r="F4065" s="4">
        <v>14.0</v>
      </c>
      <c r="G4065" s="4" t="s">
        <v>6814</v>
      </c>
    </row>
    <row r="4066">
      <c r="A4066" s="1">
        <v>4064.0</v>
      </c>
      <c r="B4066" s="4" t="s">
        <v>6796</v>
      </c>
      <c r="C4066" s="4" t="str">
        <f>IFERROR(__xludf.DUMMYFUNCTION("GOOGLETRANSLATE(D:D,""auto"",""en"")"),"Lu drizzle dressing")</f>
        <v>Lu drizzle dressing</v>
      </c>
      <c r="D4066" s="4" t="s">
        <v>6815</v>
      </c>
      <c r="E4066" s="4">
        <v>8183961.0</v>
      </c>
      <c r="F4066" s="4">
        <v>15.0</v>
      </c>
      <c r="G4066" s="4" t="s">
        <v>6816</v>
      </c>
    </row>
    <row r="4067">
      <c r="A4067" s="1">
        <v>4065.0</v>
      </c>
      <c r="B4067" s="4" t="s">
        <v>6796</v>
      </c>
      <c r="C4067" s="4" t="str">
        <f>IFERROR(__xludf.DUMMYFUNCTION("GOOGLETRANSLATE(D:D,""auto"",""en"")"),"Liu Yan marriage")</f>
        <v>Liu Yan marriage</v>
      </c>
      <c r="D4067" s="4" t="s">
        <v>6817</v>
      </c>
      <c r="E4067" s="4">
        <v>8067706.0</v>
      </c>
      <c r="F4067" s="4">
        <v>16.0</v>
      </c>
      <c r="G4067" s="4" t="s">
        <v>6818</v>
      </c>
    </row>
    <row r="4068">
      <c r="A4068" s="1">
        <v>4066.0</v>
      </c>
      <c r="B4068" s="4" t="s">
        <v>6796</v>
      </c>
      <c r="C4068" s="4" t="str">
        <f>IFERROR(__xludf.DUMMYFUNCTION("GOOGLETRANSLATE(D:D,""auto"",""en"")"),"President of Serbia kisses the flag")</f>
        <v>President of Serbia kisses the flag</v>
      </c>
      <c r="D4068" s="4" t="s">
        <v>6819</v>
      </c>
      <c r="E4068" s="4">
        <v>7961087.0</v>
      </c>
      <c r="F4068" s="4">
        <v>17.0</v>
      </c>
      <c r="G4068" s="4" t="s">
        <v>6820</v>
      </c>
    </row>
    <row r="4069">
      <c r="A4069" s="1">
        <v>4067.0</v>
      </c>
      <c r="B4069" s="4" t="s">
        <v>6796</v>
      </c>
      <c r="C4069" s="4" t="str">
        <f>IFERROR(__xludf.DUMMYFUNCTION("GOOGLETRANSLATE(D:D,""auto"",""en"")"),"Yoon Beijing Opera")</f>
        <v>Yoon Beijing Opera</v>
      </c>
      <c r="D4069" s="4" t="s">
        <v>6744</v>
      </c>
      <c r="E4069" s="4">
        <v>7829589.0</v>
      </c>
      <c r="F4069" s="4">
        <v>18.0</v>
      </c>
      <c r="G4069" s="4" t="s">
        <v>6745</v>
      </c>
    </row>
    <row r="4070">
      <c r="A4070" s="1">
        <v>4068.0</v>
      </c>
      <c r="B4070" s="4" t="s">
        <v>6796</v>
      </c>
      <c r="C4070" s="4" t="str">
        <f>IFERROR(__xludf.DUMMYFUNCTION("GOOGLETRANSLATE(D:D,""auto"",""en"")"),"The vast majority parts of the country may achieve one yard pass")</f>
        <v>The vast majority parts of the country may achieve one yard pass</v>
      </c>
      <c r="D4070" s="4" t="s">
        <v>6821</v>
      </c>
      <c r="E4070" s="4">
        <v>7797622.0</v>
      </c>
      <c r="F4070" s="4">
        <v>19.0</v>
      </c>
      <c r="G4070" s="4" t="s">
        <v>6822</v>
      </c>
    </row>
    <row r="4071">
      <c r="A4071" s="1">
        <v>4069.0</v>
      </c>
      <c r="B4071" s="4" t="s">
        <v>6796</v>
      </c>
      <c r="C4071" s="4" t="str">
        <f>IFERROR(__xludf.DUMMYFUNCTION("GOOGLETRANSLATE(D:D,""auto"",""en"")"),"After the parties back to see the child's secret Huanggang volume")</f>
        <v>After the parties back to see the child's secret Huanggang volume</v>
      </c>
      <c r="D4071" s="4" t="s">
        <v>6823</v>
      </c>
      <c r="E4071" s="4">
        <v>7763262.0</v>
      </c>
      <c r="F4071" s="4">
        <v>20.0</v>
      </c>
      <c r="G4071" s="4" t="s">
        <v>6824</v>
      </c>
    </row>
    <row r="4072">
      <c r="A4072" s="1">
        <v>4070.0</v>
      </c>
      <c r="B4072" s="4" t="s">
        <v>6796</v>
      </c>
      <c r="C4072" s="4" t="str">
        <f>IFERROR(__xludf.DUMMYFUNCTION("GOOGLETRANSLATE(D:D,""auto"",""en"")"),"Huachen Yu falls")</f>
        <v>Huachen Yu falls</v>
      </c>
      <c r="D4072" s="4" t="s">
        <v>6748</v>
      </c>
      <c r="E4072" s="4">
        <v>7642650.0</v>
      </c>
      <c r="F4072" s="4">
        <v>21.0</v>
      </c>
      <c r="G4072" s="4" t="s">
        <v>6749</v>
      </c>
    </row>
    <row r="4073">
      <c r="A4073" s="1">
        <v>4071.0</v>
      </c>
      <c r="B4073" s="4" t="s">
        <v>6796</v>
      </c>
      <c r="C4073" s="4" t="str">
        <f>IFERROR(__xludf.DUMMYFUNCTION("GOOGLETRANSLATE(D:D,""auto"",""en"")"),"Micro letter officially supports deep color mode")</f>
        <v>Micro letter officially supports deep color mode</v>
      </c>
      <c r="D4073" s="4" t="s">
        <v>6825</v>
      </c>
      <c r="E4073" s="4">
        <v>7594721.0</v>
      </c>
      <c r="F4073" s="4">
        <v>22.0</v>
      </c>
      <c r="G4073" s="4" t="s">
        <v>6826</v>
      </c>
    </row>
    <row r="4074">
      <c r="A4074" s="1">
        <v>4072.0</v>
      </c>
      <c r="B4074" s="4" t="s">
        <v>6796</v>
      </c>
      <c r="C4074" s="4" t="str">
        <f>IFERROR(__xludf.DUMMYFUNCTION("GOOGLETRANSLATE(D:D,""auto"",""en"")"),"Italian daily new cases of 6557 cases")</f>
        <v>Italian daily new cases of 6557 cases</v>
      </c>
      <c r="D4074" s="4" t="s">
        <v>6827</v>
      </c>
      <c r="E4074" s="4">
        <v>7502460.0</v>
      </c>
      <c r="F4074" s="4">
        <v>23.0</v>
      </c>
      <c r="G4074" s="4" t="s">
        <v>6828</v>
      </c>
    </row>
    <row r="4075">
      <c r="A4075" s="1">
        <v>4073.0</v>
      </c>
      <c r="B4075" s="4" t="s">
        <v>6796</v>
      </c>
      <c r="C4075" s="4" t="str">
        <f>IFERROR(__xludf.DUMMYFUNCTION("GOOGLETRANSLATE(D:D,""auto"",""en"")"),"No ventilation chorus challenge")</f>
        <v>No ventilation chorus challenge</v>
      </c>
      <c r="D4075" s="4" t="s">
        <v>6829</v>
      </c>
      <c r="E4075" s="4">
        <v>7440791.0</v>
      </c>
      <c r="F4075" s="4">
        <v>24.0</v>
      </c>
      <c r="G4075" s="4" t="s">
        <v>6830</v>
      </c>
    </row>
    <row r="4076">
      <c r="A4076" s="1">
        <v>4074.0</v>
      </c>
      <c r="B4076" s="4" t="s">
        <v>6796</v>
      </c>
      <c r="C4076" s="4" t="str">
        <f>IFERROR(__xludf.DUMMYFUNCTION("GOOGLETRANSLATE(D:D,""auto"",""en"")"),"C irreplaceable position Debut")</f>
        <v>C irreplaceable position Debut</v>
      </c>
      <c r="D4076" s="4" t="s">
        <v>6831</v>
      </c>
      <c r="E4076" s="4">
        <v>7437142.0</v>
      </c>
      <c r="F4076" s="4">
        <v>25.0</v>
      </c>
      <c r="G4076" s="4" t="s">
        <v>6832</v>
      </c>
    </row>
    <row r="4077">
      <c r="A4077" s="1">
        <v>4075.0</v>
      </c>
      <c r="B4077" s="4" t="s">
        <v>6796</v>
      </c>
      <c r="C4077" s="4" t="str">
        <f>IFERROR(__xludf.DUMMYFUNCTION("GOOGLETRANSLATE(D:D,""auto"",""en"")"),"All the way to the starting acceleration")</f>
        <v>All the way to the starting acceleration</v>
      </c>
      <c r="D4077" s="4" t="s">
        <v>6833</v>
      </c>
      <c r="E4077" s="4">
        <v>7395329.0</v>
      </c>
      <c r="F4077" s="4">
        <v>26.0</v>
      </c>
      <c r="G4077" s="4" t="s">
        <v>6834</v>
      </c>
    </row>
    <row r="4078">
      <c r="A4078" s="1">
        <v>4076.0</v>
      </c>
      <c r="B4078" s="4" t="s">
        <v>6796</v>
      </c>
      <c r="C4078" s="4" t="str">
        <f>IFERROR(__xludf.DUMMYFUNCTION("GOOGLETRANSLATE(D:D,""auto"",""en"")"),"Zhang take a ride on a live cell phone fell in the pot")</f>
        <v>Zhang take a ride on a live cell phone fell in the pot</v>
      </c>
      <c r="D4078" s="4" t="s">
        <v>6792</v>
      </c>
      <c r="E4078" s="4">
        <v>7255820.0</v>
      </c>
      <c r="F4078" s="4">
        <v>27.0</v>
      </c>
      <c r="G4078" s="4" t="s">
        <v>6793</v>
      </c>
    </row>
    <row r="4079">
      <c r="A4079" s="1">
        <v>4077.0</v>
      </c>
      <c r="B4079" s="4" t="s">
        <v>6796</v>
      </c>
      <c r="C4079" s="4" t="str">
        <f>IFERROR(__xludf.DUMMYFUNCTION("GOOGLETRANSLATE(D:D,""auto"",""en"")"),"46 cases of new confirmed cases nationwide")</f>
        <v>46 cases of new confirmed cases nationwide</v>
      </c>
      <c r="D4079" s="4" t="s">
        <v>6835</v>
      </c>
      <c r="E4079" s="4">
        <v>7161002.0</v>
      </c>
      <c r="F4079" s="4">
        <v>28.0</v>
      </c>
      <c r="G4079" s="4" t="s">
        <v>6836</v>
      </c>
    </row>
    <row r="4080">
      <c r="A4080" s="1">
        <v>4078.0</v>
      </c>
      <c r="B4080" s="4" t="s">
        <v>6796</v>
      </c>
      <c r="C4080" s="4" t="str">
        <f>IFERROR(__xludf.DUMMYFUNCTION("GOOGLETRANSLATE(D:D,""auto"",""en"")"),"Fujian Pingtan blue tears wonders")</f>
        <v>Fujian Pingtan blue tears wonders</v>
      </c>
      <c r="D4080" s="4" t="s">
        <v>6768</v>
      </c>
      <c r="E4080" s="4">
        <v>7010078.0</v>
      </c>
      <c r="F4080" s="4">
        <v>29.0</v>
      </c>
      <c r="G4080" s="4" t="s">
        <v>6769</v>
      </c>
    </row>
    <row r="4081">
      <c r="A4081" s="1">
        <v>4079.0</v>
      </c>
      <c r="B4081" s="4" t="s">
        <v>6796</v>
      </c>
      <c r="C4081" s="4" t="str">
        <f>IFERROR(__xludf.DUMMYFUNCTION("GOOGLETRANSLATE(D:D,""auto"",""en"")"),"N Number of rooms")</f>
        <v>N Number of rooms</v>
      </c>
      <c r="D4081" s="4" t="s">
        <v>6837</v>
      </c>
      <c r="E4081" s="4">
        <v>7009934.0</v>
      </c>
      <c r="F4081" s="4">
        <v>30.0</v>
      </c>
      <c r="G4081" s="4" t="s">
        <v>6838</v>
      </c>
    </row>
    <row r="4082">
      <c r="A4082" s="1">
        <v>4080.0</v>
      </c>
      <c r="B4082" s="4" t="s">
        <v>6796</v>
      </c>
      <c r="C4082" s="4" t="str">
        <f>IFERROR(__xludf.DUMMYFUNCTION("GOOGLETRANSLATE(D:D,""auto"",""en"")"),"Kanye")</f>
        <v>Kanye</v>
      </c>
      <c r="D4082" s="4" t="s">
        <v>6762</v>
      </c>
      <c r="E4082" s="4">
        <v>6950031.0</v>
      </c>
      <c r="F4082" s="4">
        <v>31.0</v>
      </c>
      <c r="G4082" s="4" t="s">
        <v>6763</v>
      </c>
    </row>
    <row r="4083">
      <c r="A4083" s="1">
        <v>4081.0</v>
      </c>
      <c r="B4083" s="4" t="s">
        <v>6796</v>
      </c>
      <c r="C4083" s="4" t="str">
        <f>IFERROR(__xludf.DUMMYFUNCTION("GOOGLETRANSLATE(D:D,""auto"",""en"")"),"A family of six arrived in Beijing confirmed four people from the United Kingdom")</f>
        <v>A family of six arrived in Beijing confirmed four people from the United Kingdom</v>
      </c>
      <c r="D4083" s="4" t="s">
        <v>6839</v>
      </c>
      <c r="E4083" s="4">
        <v>6930683.0</v>
      </c>
      <c r="F4083" s="4">
        <v>32.0</v>
      </c>
      <c r="G4083" s="4" t="s">
        <v>6840</v>
      </c>
    </row>
    <row r="4084">
      <c r="A4084" s="1">
        <v>4082.0</v>
      </c>
      <c r="B4084" s="4" t="s">
        <v>6796</v>
      </c>
      <c r="C4084" s="4" t="str">
        <f>IFERROR(__xludf.DUMMYFUNCTION("GOOGLETRANSLATE(D:D,""auto"",""en"")"),"High Fire Fire challenge submarine game")</f>
        <v>High Fire Fire challenge submarine game</v>
      </c>
      <c r="D4084" s="4" t="s">
        <v>6841</v>
      </c>
      <c r="E4084" s="4">
        <v>6859705.0</v>
      </c>
      <c r="F4084" s="4">
        <v>33.0</v>
      </c>
      <c r="G4084" s="4" t="s">
        <v>6842</v>
      </c>
    </row>
    <row r="4085">
      <c r="A4085" s="1">
        <v>4083.0</v>
      </c>
      <c r="B4085" s="4" t="s">
        <v>6796</v>
      </c>
      <c r="C4085" s="4" t="str">
        <f>IFERROR(__xludf.DUMMYFUNCTION("GOOGLETRANSLATE(D:D,""auto"",""en"")"),"Guangdong's first appearance outside input related cases")</f>
        <v>Guangdong's first appearance outside input related cases</v>
      </c>
      <c r="D4085" s="4" t="s">
        <v>6843</v>
      </c>
      <c r="E4085" s="4">
        <v>6807769.0</v>
      </c>
      <c r="F4085" s="4">
        <v>34.0</v>
      </c>
      <c r="G4085" s="4" t="s">
        <v>6844</v>
      </c>
    </row>
    <row r="4086">
      <c r="A4086" s="1">
        <v>4084.0</v>
      </c>
      <c r="B4086" s="4" t="s">
        <v>6796</v>
      </c>
      <c r="C4086" s="4" t="str">
        <f>IFERROR(__xludf.DUMMYFUNCTION("GOOGLETRANSLATE(D:D,""auto"",""en"")"),"Lin Yun Zhang Xincheng Naicha")</f>
        <v>Lin Yun Zhang Xincheng Naicha</v>
      </c>
      <c r="D4086" s="4" t="s">
        <v>6750</v>
      </c>
      <c r="E4086" s="4">
        <v>6788093.0</v>
      </c>
      <c r="F4086" s="4">
        <v>35.0</v>
      </c>
      <c r="G4086" s="4" t="s">
        <v>6751</v>
      </c>
    </row>
    <row r="4087">
      <c r="A4087" s="1">
        <v>4085.0</v>
      </c>
      <c r="B4087" s="4" t="s">
        <v>6796</v>
      </c>
      <c r="C4087" s="4" t="str">
        <f>IFERROR(__xludf.DUMMYFUNCTION("GOOGLETRANSLATE(D:D,""auto"",""en"")"),"Subway handrails wiping saliva expatriate man to apologize")</f>
        <v>Subway handrails wiping saliva expatriate man to apologize</v>
      </c>
      <c r="D4087" s="4" t="s">
        <v>6845</v>
      </c>
      <c r="E4087" s="4">
        <v>6765072.0</v>
      </c>
      <c r="F4087" s="4">
        <v>36.0</v>
      </c>
      <c r="G4087" s="4" t="s">
        <v>6846</v>
      </c>
    </row>
    <row r="4088">
      <c r="A4088" s="1">
        <v>4086.0</v>
      </c>
      <c r="B4088" s="4" t="s">
        <v>6796</v>
      </c>
      <c r="C4088" s="4" t="str">
        <f>IFERROR(__xludf.DUMMYFUNCTION("GOOGLETRANSLATE(D:D,""auto"",""en"")"),"Beijing new confirmed cases eight cases of foreign input")</f>
        <v>Beijing new confirmed cases eight cases of foreign input</v>
      </c>
      <c r="D4088" s="4" t="s">
        <v>6847</v>
      </c>
      <c r="E4088" s="4">
        <v>6757954.0</v>
      </c>
      <c r="F4088" s="4">
        <v>37.0</v>
      </c>
      <c r="G4088" s="4" t="s">
        <v>6848</v>
      </c>
    </row>
    <row r="4089">
      <c r="A4089" s="1">
        <v>4087.0</v>
      </c>
      <c r="B4089" s="4" t="s">
        <v>6796</v>
      </c>
      <c r="C4089" s="4" t="str">
        <f>IFERROR(__xludf.DUMMYFUNCTION("GOOGLETRANSLATE(D:D,""auto"",""en"")"),"Wuhan to Beijing woman serving his sentence not be held liable")</f>
        <v>Wuhan to Beijing woman serving his sentence not be held liable</v>
      </c>
      <c r="D4089" s="4" t="s">
        <v>6849</v>
      </c>
      <c r="E4089" s="4">
        <v>6745582.0</v>
      </c>
      <c r="F4089" s="4">
        <v>38.0</v>
      </c>
      <c r="G4089" s="4" t="s">
        <v>6850</v>
      </c>
    </row>
    <row r="4090">
      <c r="A4090" s="1">
        <v>4088.0</v>
      </c>
      <c r="B4090" s="4" t="s">
        <v>6796</v>
      </c>
      <c r="C4090" s="4" t="str">
        <f>IFERROR(__xludf.DUMMYFUNCTION("GOOGLETRANSLATE(D:D,""auto"",""en"")"),"Di Bala confirmed infected with the new virus crown")</f>
        <v>Di Bala confirmed infected with the new virus crown</v>
      </c>
      <c r="D4090" s="4" t="s">
        <v>6851</v>
      </c>
      <c r="E4090" s="4">
        <v>6684969.0</v>
      </c>
      <c r="F4090" s="4">
        <v>39.0</v>
      </c>
      <c r="G4090" s="4" t="s">
        <v>6852</v>
      </c>
    </row>
    <row r="4091">
      <c r="A4091" s="1">
        <v>4089.0</v>
      </c>
      <c r="B4091" s="4" t="s">
        <v>6796</v>
      </c>
      <c r="C4091" s="4" t="str">
        <f>IFERROR(__xludf.DUMMYFUNCTION("GOOGLETRANSLATE(D:D,""auto"",""en"")"),"Beijing add two cases of foreign input")</f>
        <v>Beijing add two cases of foreign input</v>
      </c>
      <c r="D4091" s="4" t="s">
        <v>6853</v>
      </c>
      <c r="E4091" s="4">
        <v>6661553.0</v>
      </c>
      <c r="F4091" s="4">
        <v>40.0</v>
      </c>
      <c r="G4091" s="4" t="s">
        <v>6854</v>
      </c>
    </row>
    <row r="4092">
      <c r="A4092" s="1">
        <v>4090.0</v>
      </c>
      <c r="B4092" s="4" t="s">
        <v>6796</v>
      </c>
      <c r="C4092" s="4" t="str">
        <f>IFERROR(__xludf.DUMMYFUNCTION("GOOGLETRANSLATE(D:D,""auto"",""en"")"),"Wuhan, the official response was a neighbor driving a nurse")</f>
        <v>Wuhan, the official response was a neighbor driving a nurse</v>
      </c>
      <c r="D4092" s="4" t="s">
        <v>6766</v>
      </c>
      <c r="E4092" s="4">
        <v>6624383.0</v>
      </c>
      <c r="F4092" s="4">
        <v>41.0</v>
      </c>
      <c r="G4092" s="4" t="s">
        <v>6767</v>
      </c>
    </row>
    <row r="4093">
      <c r="A4093" s="1">
        <v>4091.0</v>
      </c>
      <c r="B4093" s="4" t="s">
        <v>6796</v>
      </c>
      <c r="C4093" s="4" t="str">
        <f>IFERROR(__xludf.DUMMYFUNCTION("GOOGLETRANSLATE(D:D,""auto"",""en"")"),"Raytheon Mountain beans brother discharged")</f>
        <v>Raytheon Mountain beans brother discharged</v>
      </c>
      <c r="D4093" s="4" t="s">
        <v>6855</v>
      </c>
      <c r="E4093" s="4">
        <v>6470436.0</v>
      </c>
      <c r="F4093" s="4">
        <v>42.0</v>
      </c>
      <c r="G4093" s="4" t="s">
        <v>6856</v>
      </c>
    </row>
    <row r="4094">
      <c r="A4094" s="1">
        <v>4092.0</v>
      </c>
      <c r="B4094" s="4" t="s">
        <v>6796</v>
      </c>
      <c r="C4094" s="4" t="str">
        <f>IFERROR(__xludf.DUMMYFUNCTION("GOOGLETRANSLATE(D:D,""auto"",""en"")"),"China has announced to provide assistance to 82 countries")</f>
        <v>China has announced to provide assistance to 82 countries</v>
      </c>
      <c r="D4094" s="4" t="s">
        <v>6764</v>
      </c>
      <c r="E4094" s="4">
        <v>6431761.0</v>
      </c>
      <c r="F4094" s="4">
        <v>43.0</v>
      </c>
      <c r="G4094" s="4" t="s">
        <v>6765</v>
      </c>
    </row>
    <row r="4095">
      <c r="A4095" s="1">
        <v>4093.0</v>
      </c>
      <c r="B4095" s="4" t="s">
        <v>6796</v>
      </c>
      <c r="C4095" s="4" t="str">
        <f>IFERROR(__xludf.DUMMYFUNCTION("GOOGLETRANSLATE(D:D,""auto"",""en"")"),"Party secretary Ezhou mayor bowed to thank the medical team")</f>
        <v>Party secretary Ezhou mayor bowed to thank the medical team</v>
      </c>
      <c r="D4095" s="4" t="s">
        <v>6756</v>
      </c>
      <c r="E4095" s="4">
        <v>6431331.0</v>
      </c>
      <c r="F4095" s="4">
        <v>44.0</v>
      </c>
      <c r="G4095" s="4" t="s">
        <v>6757</v>
      </c>
    </row>
    <row r="4096">
      <c r="A4096" s="1">
        <v>4094.0</v>
      </c>
      <c r="B4096" s="4" t="s">
        <v>6796</v>
      </c>
      <c r="C4096" s="4" t="str">
        <f>IFERROR(__xludf.DUMMYFUNCTION("GOOGLETRANSLATE(D:D,""auto"",""en"")"),"US vice president and his wife tested negative for the new virus crown")</f>
        <v>US vice president and his wife tested negative for the new virus crown</v>
      </c>
      <c r="D4096" s="4" t="s">
        <v>6857</v>
      </c>
      <c r="E4096" s="4">
        <v>6370764.0</v>
      </c>
      <c r="F4096" s="4">
        <v>45.0</v>
      </c>
      <c r="G4096" s="4" t="s">
        <v>6858</v>
      </c>
    </row>
    <row r="4097">
      <c r="A4097" s="1">
        <v>4095.0</v>
      </c>
      <c r="B4097" s="4" t="s">
        <v>6796</v>
      </c>
      <c r="C4097" s="4" t="str">
        <f>IFERROR(__xludf.DUMMYFUNCTION("GOOGLETRANSLATE(D:D,""auto"",""en"")"),"New foreign imported cases 14 cases Shanghai")</f>
        <v>New foreign imported cases 14 cases Shanghai</v>
      </c>
      <c r="D4097" s="4" t="s">
        <v>6859</v>
      </c>
      <c r="E4097" s="4">
        <v>6354217.0</v>
      </c>
      <c r="F4097" s="4">
        <v>46.0</v>
      </c>
      <c r="G4097" s="4" t="s">
        <v>6860</v>
      </c>
    </row>
    <row r="4098">
      <c r="A4098" s="1">
        <v>4096.0</v>
      </c>
      <c r="B4098" s="4" t="s">
        <v>6796</v>
      </c>
      <c r="C4098" s="4" t="str">
        <f>IFERROR(__xludf.DUMMYFUNCTION("GOOGLETRANSLATE(D:D,""auto"",""en"")"),"James sun with his wife at home exercise selfie")</f>
        <v>James sun with his wife at home exercise selfie</v>
      </c>
      <c r="D4098" s="4" t="s">
        <v>6703</v>
      </c>
      <c r="E4098" s="4">
        <v>6280669.0</v>
      </c>
      <c r="F4098" s="4">
        <v>47.0</v>
      </c>
      <c r="G4098" s="4" t="s">
        <v>6704</v>
      </c>
    </row>
    <row r="4099">
      <c r="A4099" s="1">
        <v>4097.0</v>
      </c>
      <c r="B4099" s="4" t="s">
        <v>6796</v>
      </c>
      <c r="C4099" s="4" t="str">
        <f>IFERROR(__xludf.DUMMYFUNCTION("GOOGLETRANSLATE(D:D,""auto"",""en"")"),"Italian mayor said the actual number of deaths and there is a big gap")</f>
        <v>Italian mayor said the actual number of deaths and there is a big gap</v>
      </c>
      <c r="D4099" s="4" t="s">
        <v>6861</v>
      </c>
      <c r="E4099" s="4">
        <v>6272387.0</v>
      </c>
      <c r="F4099" s="4">
        <v>48.0</v>
      </c>
      <c r="G4099" s="4" t="s">
        <v>6862</v>
      </c>
    </row>
    <row r="4100">
      <c r="A4100" s="1">
        <v>4098.0</v>
      </c>
      <c r="B4100" s="4" t="s">
        <v>6796</v>
      </c>
      <c r="C4100" s="4" t="str">
        <f>IFERROR(__xludf.DUMMYFUNCTION("GOOGLETRANSLATE(D:D,""auto"",""en"")"),"US Vice President Burns will be a new virus detection crown")</f>
        <v>US Vice President Burns will be a new virus detection crown</v>
      </c>
      <c r="D4100" s="4" t="s">
        <v>6863</v>
      </c>
      <c r="E4100" s="4">
        <v>6221922.0</v>
      </c>
      <c r="F4100" s="4">
        <v>49.0</v>
      </c>
      <c r="G4100" s="4" t="s">
        <v>6864</v>
      </c>
    </row>
    <row r="4101">
      <c r="A4101" s="1">
        <v>4099.0</v>
      </c>
      <c r="B4101" s="4" t="s">
        <v>6796</v>
      </c>
      <c r="C4101" s="4" t="str">
        <f>IFERROR(__xludf.DUMMYFUNCTION("GOOGLETRANSLATE(D:D,""auto"",""en"")"),"Chinese aid medical team of Serbia by the most courteous welcome")</f>
        <v>Chinese aid medical team of Serbia by the most courteous welcome</v>
      </c>
      <c r="D4101" s="4" t="s">
        <v>6865</v>
      </c>
      <c r="E4101" s="4">
        <v>6221764.0</v>
      </c>
      <c r="F4101" s="4">
        <v>50.0</v>
      </c>
      <c r="G4101" s="4" t="s">
        <v>6866</v>
      </c>
    </row>
    <row r="4102">
      <c r="A4102" s="1">
        <v>4100.0</v>
      </c>
      <c r="B4102" s="4" t="s">
        <v>6867</v>
      </c>
      <c r="C4102" s="4" t="str">
        <f>IFERROR(__xludf.DUMMYFUNCTION("GOOGLETRANSLATE(D:D,""auto"",""en"")"),"When bigbang body and blackpink")</f>
        <v>When bigbang body and blackpink</v>
      </c>
      <c r="D4102" s="4" t="s">
        <v>6868</v>
      </c>
      <c r="E4102" s="4">
        <v>1.3389894E7</v>
      </c>
      <c r="F4102" s="4">
        <v>1.0</v>
      </c>
      <c r="G4102" s="4" t="s">
        <v>6869</v>
      </c>
    </row>
    <row r="4103">
      <c r="A4103" s="1">
        <v>4101.0</v>
      </c>
      <c r="B4103" s="4" t="s">
        <v>6867</v>
      </c>
      <c r="C4103" s="4" t="str">
        <f>IFERROR(__xludf.DUMMYFUNCTION("GOOGLETRANSLATE(D:D,""auto"",""en"")"),"Yu Shuxin Sicong")</f>
        <v>Yu Shuxin Sicong</v>
      </c>
      <c r="D4103" s="4" t="s">
        <v>6870</v>
      </c>
      <c r="E4103" s="4">
        <v>1.2800648E7</v>
      </c>
      <c r="F4103" s="4">
        <v>2.0</v>
      </c>
      <c r="G4103" s="4" t="s">
        <v>6871</v>
      </c>
    </row>
    <row r="4104">
      <c r="A4104" s="1">
        <v>4102.0</v>
      </c>
      <c r="B4104" s="4" t="s">
        <v>6867</v>
      </c>
      <c r="C4104" s="4" t="str">
        <f>IFERROR(__xludf.DUMMYFUNCTION("GOOGLETRANSLATE(D:D,""auto"",""en"")"),"I was past that youth")</f>
        <v>I was past that youth</v>
      </c>
      <c r="D4104" s="4" t="s">
        <v>6872</v>
      </c>
      <c r="E4104" s="4">
        <v>1.1477654E7</v>
      </c>
      <c r="F4104" s="4">
        <v>3.0</v>
      </c>
      <c r="G4104" s="4" t="s">
        <v>6873</v>
      </c>
    </row>
    <row r="4105">
      <c r="A4105" s="1">
        <v>4103.0</v>
      </c>
      <c r="B4105" s="4" t="s">
        <v>6867</v>
      </c>
      <c r="C4105" s="4" t="str">
        <f>IFERROR(__xludf.DUMMYFUNCTION("GOOGLETRANSLATE(D:D,""auto"",""en"")"),"Bo Yin side is N, room vocal event")</f>
        <v>Bo Yin side is N, room vocal event</v>
      </c>
      <c r="D4105" s="4" t="s">
        <v>6874</v>
      </c>
      <c r="E4105" s="4">
        <v>9888678.0</v>
      </c>
      <c r="F4105" s="4">
        <v>4.0</v>
      </c>
      <c r="G4105" s="4" t="s">
        <v>6875</v>
      </c>
    </row>
    <row r="4106">
      <c r="A4106" s="1">
        <v>4104.0</v>
      </c>
      <c r="B4106" s="4" t="s">
        <v>6867</v>
      </c>
      <c r="C4106" s="4" t="str">
        <f>IFERROR(__xludf.DUMMYFUNCTION("GOOGLETRANSLATE(D:D,""auto"",""en"")"),"Zheng Shuang black curly hair")</f>
        <v>Zheng Shuang black curly hair</v>
      </c>
      <c r="D4106" s="4" t="s">
        <v>6876</v>
      </c>
      <c r="E4106" s="4">
        <v>9373788.0</v>
      </c>
      <c r="F4106" s="4">
        <v>5.0</v>
      </c>
      <c r="G4106" s="4" t="s">
        <v>6877</v>
      </c>
    </row>
    <row r="4107">
      <c r="A4107" s="1">
        <v>4105.0</v>
      </c>
      <c r="B4107" s="4" t="s">
        <v>6867</v>
      </c>
      <c r="C4107" s="4" t="str">
        <f>IFERROR(__xludf.DUMMYFUNCTION("GOOGLETRANSLATE(D:D,""auto"",""en"")"),"Li Jiaqi red eyes")</f>
        <v>Li Jiaqi red eyes</v>
      </c>
      <c r="D4107" s="4" t="s">
        <v>6878</v>
      </c>
      <c r="E4107" s="4">
        <v>9331881.0</v>
      </c>
      <c r="F4107" s="4">
        <v>6.0</v>
      </c>
      <c r="G4107" s="4" t="s">
        <v>6879</v>
      </c>
    </row>
    <row r="4108">
      <c r="A4108" s="1">
        <v>4106.0</v>
      </c>
      <c r="B4108" s="4" t="s">
        <v>6867</v>
      </c>
      <c r="C4108" s="4" t="str">
        <f>IFERROR(__xludf.DUMMYFUNCTION("GOOGLETRANSLATE(D:D,""auto"",""en"")"),"84-year-old academician Zhong Nanshan drying Menus")</f>
        <v>84-year-old academician Zhong Nanshan drying Menus</v>
      </c>
      <c r="D4108" s="4" t="s">
        <v>6803</v>
      </c>
      <c r="E4108" s="4">
        <v>9318029.0</v>
      </c>
      <c r="F4108" s="4">
        <v>7.0</v>
      </c>
      <c r="G4108" s="4" t="s">
        <v>6804</v>
      </c>
    </row>
    <row r="4109">
      <c r="A4109" s="1">
        <v>4107.0</v>
      </c>
      <c r="B4109" s="4" t="s">
        <v>6867</v>
      </c>
      <c r="C4109" s="4" t="str">
        <f>IFERROR(__xludf.DUMMYFUNCTION("GOOGLETRANSLATE(D:D,""auto"",""en"")"),"Liu Zhen died")</f>
        <v>Liu Zhen died</v>
      </c>
      <c r="D4109" s="4" t="s">
        <v>6880</v>
      </c>
      <c r="E4109" s="4">
        <v>9153977.0</v>
      </c>
      <c r="F4109" s="4">
        <v>8.0</v>
      </c>
      <c r="G4109" s="4" t="s">
        <v>6881</v>
      </c>
    </row>
    <row r="4110">
      <c r="A4110" s="1">
        <v>4108.0</v>
      </c>
      <c r="B4110" s="4" t="s">
        <v>6867</v>
      </c>
      <c r="C4110" s="4" t="str">
        <f>IFERROR(__xludf.DUMMYFUNCTION("GOOGLETRANSLATE(D:D,""auto"",""en"")"),"The official informed medical personnel and the elderly conflict")</f>
        <v>The official informed medical personnel and the elderly conflict</v>
      </c>
      <c r="D4110" s="4" t="s">
        <v>6882</v>
      </c>
      <c r="E4110" s="4">
        <v>9082149.0</v>
      </c>
      <c r="F4110" s="4">
        <v>9.0</v>
      </c>
      <c r="G4110" s="4" t="s">
        <v>6883</v>
      </c>
    </row>
    <row r="4111">
      <c r="A4111" s="1">
        <v>4109.0</v>
      </c>
      <c r="B4111" s="4" t="s">
        <v>6867</v>
      </c>
      <c r="C4111" s="4" t="str">
        <f>IFERROR(__xludf.DUMMYFUNCTION("GOOGLETRANSLATE(D:D,""auto"",""en"")"),"The national new 39 cases of pneumonia new crown")</f>
        <v>The national new 39 cases of pneumonia new crown</v>
      </c>
      <c r="D4111" s="4" t="s">
        <v>6884</v>
      </c>
      <c r="E4111" s="4">
        <v>8953461.0</v>
      </c>
      <c r="F4111" s="4">
        <v>10.0</v>
      </c>
      <c r="G4111" s="4" t="s">
        <v>6885</v>
      </c>
    </row>
    <row r="4112">
      <c r="A4112" s="1">
        <v>4110.0</v>
      </c>
      <c r="B4112" s="4" t="s">
        <v>6867</v>
      </c>
      <c r="C4112" s="4" t="str">
        <f>IFERROR(__xludf.DUMMYFUNCTION("GOOGLETRANSLATE(D:D,""auto"",""en"")"),"Italian mayor said the actual number of deaths and there is a big gap")</f>
        <v>Italian mayor said the actual number of deaths and there is a big gap</v>
      </c>
      <c r="D4112" s="4" t="s">
        <v>6861</v>
      </c>
      <c r="E4112" s="4">
        <v>8905993.0</v>
      </c>
      <c r="F4112" s="4">
        <v>11.0</v>
      </c>
      <c r="G4112" s="4" t="s">
        <v>6862</v>
      </c>
    </row>
    <row r="4113">
      <c r="A4113" s="1">
        <v>4111.0</v>
      </c>
      <c r="B4113" s="4" t="s">
        <v>6867</v>
      </c>
      <c r="C4113" s="4" t="str">
        <f>IFERROR(__xludf.DUMMYFUNCTION("GOOGLETRANSLATE(D:D,""auto"",""en"")"),"Italian daily new cases of 5560 cases")</f>
        <v>Italian daily new cases of 5560 cases</v>
      </c>
      <c r="D4113" s="4" t="s">
        <v>6886</v>
      </c>
      <c r="E4113" s="4">
        <v>8902771.0</v>
      </c>
      <c r="F4113" s="4">
        <v>12.0</v>
      </c>
      <c r="G4113" s="4" t="s">
        <v>6887</v>
      </c>
    </row>
    <row r="4114">
      <c r="A4114" s="1">
        <v>4112.0</v>
      </c>
      <c r="B4114" s="4" t="s">
        <v>6867</v>
      </c>
      <c r="C4114" s="4" t="str">
        <f>IFERROR(__xludf.DUMMYFUNCTION("GOOGLETRANSLATE(D:D,""auto"",""en"")"),"Liu Yan marriage")</f>
        <v>Liu Yan marriage</v>
      </c>
      <c r="D4114" s="4" t="s">
        <v>6817</v>
      </c>
      <c r="E4114" s="4">
        <v>8885241.0</v>
      </c>
      <c r="F4114" s="4">
        <v>13.0</v>
      </c>
      <c r="G4114" s="4" t="s">
        <v>6818</v>
      </c>
    </row>
    <row r="4115">
      <c r="A4115" s="1">
        <v>4113.0</v>
      </c>
      <c r="B4115" s="4" t="s">
        <v>6867</v>
      </c>
      <c r="C4115" s="4" t="str">
        <f>IFERROR(__xludf.DUMMYFUNCTION("GOOGLETRANSLATE(D:D,""auto"",""en"")"),"Happy family invited to participate in Hunan medical record")</f>
        <v>Happy family invited to participate in Hunan medical record</v>
      </c>
      <c r="D4115" s="4" t="s">
        <v>6799</v>
      </c>
      <c r="E4115" s="4">
        <v>8636490.0</v>
      </c>
      <c r="F4115" s="4">
        <v>14.0</v>
      </c>
      <c r="G4115" s="4" t="s">
        <v>6800</v>
      </c>
    </row>
    <row r="4116">
      <c r="A4116" s="1">
        <v>4114.0</v>
      </c>
      <c r="B4116" s="4" t="s">
        <v>6867</v>
      </c>
      <c r="C4116" s="4" t="str">
        <f>IFERROR(__xludf.DUMMYFUNCTION("GOOGLETRANSLATE(D:D,""auto"",""en"")"),"Serbian President praised China is a good friend 3 years ago")</f>
        <v>Serbian President praised China is a good friend 3 years ago</v>
      </c>
      <c r="D4116" s="4" t="s">
        <v>6888</v>
      </c>
      <c r="E4116" s="4">
        <v>8615955.0</v>
      </c>
      <c r="F4116" s="4">
        <v>15.0</v>
      </c>
      <c r="G4116" s="4" t="s">
        <v>6889</v>
      </c>
    </row>
    <row r="4117">
      <c r="A4117" s="1">
        <v>4115.0</v>
      </c>
      <c r="B4117" s="4" t="s">
        <v>6867</v>
      </c>
      <c r="C4117" s="4" t="str">
        <f>IFERROR(__xludf.DUMMYFUNCTION("GOOGLETRANSLATE(D:D,""auto"",""en"")"),"Li Xueqin Live 8 blind men overturned")</f>
        <v>Li Xueqin Live 8 blind men overturned</v>
      </c>
      <c r="D4117" s="4" t="s">
        <v>6807</v>
      </c>
      <c r="E4117" s="4">
        <v>8554992.0</v>
      </c>
      <c r="F4117" s="4">
        <v>16.0</v>
      </c>
      <c r="G4117" s="4" t="s">
        <v>6808</v>
      </c>
    </row>
    <row r="4118">
      <c r="A4118" s="1">
        <v>4116.0</v>
      </c>
      <c r="B4118" s="4" t="s">
        <v>6867</v>
      </c>
      <c r="C4118" s="4" t="str">
        <f>IFERROR(__xludf.DUMMYFUNCTION("GOOGLETRANSLATE(D:D,""auto"",""en"")"),"Wang Yibo grandmother to support his favorite things to do")</f>
        <v>Wang Yibo grandmother to support his favorite things to do</v>
      </c>
      <c r="D4118" s="4" t="s">
        <v>6890</v>
      </c>
      <c r="E4118" s="4">
        <v>8317882.0</v>
      </c>
      <c r="F4118" s="4">
        <v>17.0</v>
      </c>
      <c r="G4118" s="4" t="s">
        <v>6891</v>
      </c>
    </row>
    <row r="4119">
      <c r="A4119" s="1">
        <v>4117.0</v>
      </c>
      <c r="B4119" s="4" t="s">
        <v>6867</v>
      </c>
      <c r="C4119" s="4" t="str">
        <f>IFERROR(__xludf.DUMMYFUNCTION("GOOGLETRANSLATE(D:D,""auto"",""en"")"),"C irreplaceable position Debut")</f>
        <v>C irreplaceable position Debut</v>
      </c>
      <c r="D4119" s="4" t="s">
        <v>6831</v>
      </c>
      <c r="E4119" s="4">
        <v>8160521.0</v>
      </c>
      <c r="F4119" s="4">
        <v>18.0</v>
      </c>
      <c r="G4119" s="4" t="s">
        <v>6832</v>
      </c>
    </row>
    <row r="4120">
      <c r="A4120" s="1">
        <v>4118.0</v>
      </c>
      <c r="B4120" s="4" t="s">
        <v>6867</v>
      </c>
      <c r="C4120" s="4" t="str">
        <f>IFERROR(__xludf.DUMMYFUNCTION("GOOGLETRANSLATE(D:D,""auto"",""en"")"),"High Fire Fire challenge submarine game")</f>
        <v>High Fire Fire challenge submarine game</v>
      </c>
      <c r="D4120" s="4" t="s">
        <v>6841</v>
      </c>
      <c r="E4120" s="4">
        <v>8137947.0</v>
      </c>
      <c r="F4120" s="4">
        <v>19.0</v>
      </c>
      <c r="G4120" s="4" t="s">
        <v>6842</v>
      </c>
    </row>
    <row r="4121">
      <c r="A4121" s="1">
        <v>4119.0</v>
      </c>
      <c r="B4121" s="4" t="s">
        <v>6867</v>
      </c>
      <c r="C4121" s="4" t="str">
        <f>IFERROR(__xludf.DUMMYFUNCTION("GOOGLETRANSLATE(D:D,""auto"",""en"")"),"All the way to the starting acceleration")</f>
        <v>All the way to the starting acceleration</v>
      </c>
      <c r="D4121" s="4" t="s">
        <v>6833</v>
      </c>
      <c r="E4121" s="4">
        <v>8129990.0</v>
      </c>
      <c r="F4121" s="4">
        <v>20.0</v>
      </c>
      <c r="G4121" s="4" t="s">
        <v>6834</v>
      </c>
    </row>
    <row r="4122">
      <c r="A4122" s="1">
        <v>4120.0</v>
      </c>
      <c r="B4122" s="4" t="s">
        <v>6867</v>
      </c>
      <c r="C4122" s="4" t="str">
        <f>IFERROR(__xludf.DUMMYFUNCTION("GOOGLETRANSLATE(D:D,""auto"",""en"")"),"Yiyangqianxi spacesuit")</f>
        <v>Yiyangqianxi spacesuit</v>
      </c>
      <c r="D4122" s="4" t="s">
        <v>6813</v>
      </c>
      <c r="E4122" s="4">
        <v>8108115.0</v>
      </c>
      <c r="F4122" s="4">
        <v>21.0</v>
      </c>
      <c r="G4122" s="4" t="s">
        <v>6814</v>
      </c>
    </row>
    <row r="4123">
      <c r="A4123" s="1">
        <v>4121.0</v>
      </c>
      <c r="B4123" s="4" t="s">
        <v>6867</v>
      </c>
      <c r="C4123" s="4" t="str">
        <f>IFERROR(__xludf.DUMMYFUNCTION("GOOGLETRANSLATE(D:D,""auto"",""en"")"),"Han Meijuan live full makeup")</f>
        <v>Han Meijuan live full makeup</v>
      </c>
      <c r="D4123" s="4" t="s">
        <v>6892</v>
      </c>
      <c r="E4123" s="4">
        <v>8031144.0</v>
      </c>
      <c r="F4123" s="4">
        <v>22.0</v>
      </c>
      <c r="G4123" s="4" t="s">
        <v>6893</v>
      </c>
    </row>
    <row r="4124">
      <c r="A4124" s="1">
        <v>4122.0</v>
      </c>
      <c r="B4124" s="4" t="s">
        <v>6867</v>
      </c>
      <c r="C4124" s="4" t="str">
        <f>IFERROR(__xludf.DUMMYFUNCTION("GOOGLETRANSLATE(D:D,""auto"",""en"")"),"N, room Dr. Zhao public identity")</f>
        <v>N, room Dr. Zhao public identity</v>
      </c>
      <c r="D4124" s="4" t="s">
        <v>6894</v>
      </c>
      <c r="E4124" s="4">
        <v>8002838.0</v>
      </c>
      <c r="F4124" s="4">
        <v>23.0</v>
      </c>
      <c r="G4124" s="4" t="s">
        <v>6895</v>
      </c>
    </row>
    <row r="4125">
      <c r="A4125" s="1">
        <v>4123.0</v>
      </c>
      <c r="B4125" s="4" t="s">
        <v>6867</v>
      </c>
      <c r="C4125" s="4" t="str">
        <f>IFERROR(__xludf.DUMMYFUNCTION("GOOGLETRANSLATE(D:D,""auto"",""en"")"),"Yoon bite handkerchief")</f>
        <v>Yoon bite handkerchief</v>
      </c>
      <c r="D4125" s="4" t="s">
        <v>6896</v>
      </c>
      <c r="E4125" s="4">
        <v>7916128.0</v>
      </c>
      <c r="F4125" s="4">
        <v>24.0</v>
      </c>
      <c r="G4125" s="4" t="s">
        <v>6897</v>
      </c>
    </row>
    <row r="4126">
      <c r="A4126" s="1">
        <v>4124.0</v>
      </c>
      <c r="B4126" s="4" t="s">
        <v>6867</v>
      </c>
      <c r="C4126" s="4" t="str">
        <f>IFERROR(__xludf.DUMMYFUNCTION("GOOGLETRANSLATE(D:D,""auto"",""en"")"),"If you can not complete Abe Olympics will consider extension")</f>
        <v>If you can not complete Abe Olympics will consider extension</v>
      </c>
      <c r="D4126" s="4" t="s">
        <v>6898</v>
      </c>
      <c r="E4126" s="4">
        <v>7882811.0</v>
      </c>
      <c r="F4126" s="4">
        <v>25.0</v>
      </c>
      <c r="G4126" s="4" t="s">
        <v>6899</v>
      </c>
    </row>
    <row r="4127">
      <c r="A4127" s="1">
        <v>4125.0</v>
      </c>
      <c r="B4127" s="4" t="s">
        <v>6867</v>
      </c>
      <c r="C4127" s="4" t="str">
        <f>IFERROR(__xludf.DUMMYFUNCTION("GOOGLETRANSLATE(D:D,""auto"",""en"")"),"CNN anchor criticized Trump")</f>
        <v>CNN anchor criticized Trump</v>
      </c>
      <c r="D4127" s="4" t="s">
        <v>6900</v>
      </c>
      <c r="E4127" s="4">
        <v>7882160.0</v>
      </c>
      <c r="F4127" s="4">
        <v>26.0</v>
      </c>
      <c r="G4127" s="4" t="s">
        <v>6901</v>
      </c>
    </row>
    <row r="4128">
      <c r="A4128" s="1">
        <v>4126.0</v>
      </c>
      <c r="B4128" s="4" t="s">
        <v>6867</v>
      </c>
      <c r="C4128" s="4" t="str">
        <f>IFERROR(__xludf.DUMMYFUNCTION("GOOGLETRANSLATE(D:D,""auto"",""en"")"),"Liu Yan talking to my mother-in-law standard election")</f>
        <v>Liu Yan talking to my mother-in-law standard election</v>
      </c>
      <c r="D4128" s="4" t="s">
        <v>6902</v>
      </c>
      <c r="E4128" s="4">
        <v>7874498.0</v>
      </c>
      <c r="F4128" s="4">
        <v>27.0</v>
      </c>
      <c r="G4128" s="4" t="s">
        <v>6903</v>
      </c>
    </row>
    <row r="4129">
      <c r="A4129" s="1">
        <v>4127.0</v>
      </c>
      <c r="B4129" s="4" t="s">
        <v>6867</v>
      </c>
      <c r="C4129" s="4" t="str">
        <f>IFERROR(__xludf.DUMMYFUNCTION("GOOGLETRANSLATE(D:D,""auto"",""en"")"),"Menghe Tang Zhou Jiuliang Lianmai change in frame")</f>
        <v>Menghe Tang Zhou Jiuliang Lianmai change in frame</v>
      </c>
      <c r="D4129" s="4" t="s">
        <v>6904</v>
      </c>
      <c r="E4129" s="4">
        <v>7714804.0</v>
      </c>
      <c r="F4129" s="4">
        <v>28.0</v>
      </c>
      <c r="G4129" s="4" t="s">
        <v>6905</v>
      </c>
    </row>
    <row r="4130">
      <c r="A4130" s="1">
        <v>4128.0</v>
      </c>
      <c r="B4130" s="4" t="s">
        <v>6867</v>
      </c>
      <c r="C4130" s="4" t="str">
        <f>IFERROR(__xludf.DUMMYFUNCTION("GOOGLETRANSLATE(D:D,""auto"",""en"")"),"Academician Zhong Nanshan handprints sent No. 01")</f>
        <v>Academician Zhong Nanshan handprints sent No. 01</v>
      </c>
      <c r="D4130" s="4" t="s">
        <v>6797</v>
      </c>
      <c r="E4130" s="4">
        <v>7648399.0</v>
      </c>
      <c r="F4130" s="4">
        <v>29.0</v>
      </c>
      <c r="G4130" s="4" t="s">
        <v>6798</v>
      </c>
    </row>
    <row r="4131">
      <c r="A4131" s="1">
        <v>4129.0</v>
      </c>
      <c r="B4131" s="4" t="s">
        <v>6867</v>
      </c>
      <c r="C4131" s="4" t="str">
        <f>IFERROR(__xludf.DUMMYFUNCTION("GOOGLETRANSLATE(D:D,""auto"",""en"")"),"Italy is another mayor mad hate people")</f>
        <v>Italy is another mayor mad hate people</v>
      </c>
      <c r="D4131" s="4" t="s">
        <v>6906</v>
      </c>
      <c r="E4131" s="4">
        <v>7645910.0</v>
      </c>
      <c r="F4131" s="4">
        <v>30.0</v>
      </c>
      <c r="G4131" s="4" t="s">
        <v>6907</v>
      </c>
    </row>
    <row r="4132">
      <c r="A4132" s="1">
        <v>4130.0</v>
      </c>
      <c r="B4132" s="4" t="s">
        <v>6867</v>
      </c>
      <c r="C4132" s="4" t="str">
        <f>IFERROR(__xludf.DUMMYFUNCTION("GOOGLETRANSLATE(D:D,""auto"",""en"")"),"Chinese crew please take good care of our doctors Italy")</f>
        <v>Chinese crew please take good care of our doctors Italy</v>
      </c>
      <c r="D4132" s="4" t="s">
        <v>6908</v>
      </c>
      <c r="E4132" s="4">
        <v>7590384.0</v>
      </c>
      <c r="F4132" s="4">
        <v>31.0</v>
      </c>
      <c r="G4132" s="4" t="s">
        <v>6909</v>
      </c>
    </row>
    <row r="4133">
      <c r="A4133" s="1">
        <v>4131.0</v>
      </c>
      <c r="B4133" s="4" t="s">
        <v>6867</v>
      </c>
      <c r="C4133" s="4" t="str">
        <f>IFERROR(__xludf.DUMMYFUNCTION("GOOGLETRANSLATE(D:D,""auto"",""en"")"),"United States confirmed number exceeded 30,000")</f>
        <v>United States confirmed number exceeded 30,000</v>
      </c>
      <c r="D4133" s="4" t="s">
        <v>6910</v>
      </c>
      <c r="E4133" s="4">
        <v>7579824.0</v>
      </c>
      <c r="F4133" s="4">
        <v>32.0</v>
      </c>
      <c r="G4133" s="4" t="s">
        <v>6911</v>
      </c>
    </row>
    <row r="4134">
      <c r="A4134" s="1">
        <v>4132.0</v>
      </c>
      <c r="B4134" s="4" t="s">
        <v>6867</v>
      </c>
      <c r="C4134" s="4" t="str">
        <f>IFERROR(__xludf.DUMMYFUNCTION("GOOGLETRANSLATE(D:D,""auto"",""en"")"),"Trump announced that Washington state is a major disaster area")</f>
        <v>Trump announced that Washington state is a major disaster area</v>
      </c>
      <c r="D4134" s="4" t="s">
        <v>6912</v>
      </c>
      <c r="E4134" s="4">
        <v>7565768.0</v>
      </c>
      <c r="F4134" s="4">
        <v>33.0</v>
      </c>
      <c r="G4134" s="4" t="s">
        <v>6913</v>
      </c>
    </row>
    <row r="4135">
      <c r="A4135" s="1">
        <v>4133.0</v>
      </c>
      <c r="B4135" s="4" t="s">
        <v>6867</v>
      </c>
      <c r="C4135" s="4" t="str">
        <f>IFERROR(__xludf.DUMMYFUNCTION("GOOGLETRANSLATE(D:D,""auto"",""en"")"),"New York mayor said the more people will be killed and did not act")</f>
        <v>New York mayor said the more people will be killed and did not act</v>
      </c>
      <c r="D4135" s="4" t="s">
        <v>6914</v>
      </c>
      <c r="E4135" s="4">
        <v>7561647.0</v>
      </c>
      <c r="F4135" s="4">
        <v>34.0</v>
      </c>
      <c r="G4135" s="4" t="s">
        <v>6915</v>
      </c>
    </row>
    <row r="4136">
      <c r="A4136" s="1">
        <v>4134.0</v>
      </c>
      <c r="B4136" s="4" t="s">
        <v>6867</v>
      </c>
      <c r="C4136" s="4" t="str">
        <f>IFERROR(__xludf.DUMMYFUNCTION("GOOGLETRANSLATE(D:D,""auto"",""en"")"),"Serbia and more Chinese red lights")</f>
        <v>Serbia and more Chinese red lights</v>
      </c>
      <c r="D4136" s="4" t="s">
        <v>6916</v>
      </c>
      <c r="E4136" s="4">
        <v>7560430.0</v>
      </c>
      <c r="F4136" s="4">
        <v>35.0</v>
      </c>
      <c r="G4136" s="4" t="s">
        <v>6917</v>
      </c>
    </row>
    <row r="4137">
      <c r="A4137" s="1">
        <v>4135.0</v>
      </c>
      <c r="B4137" s="4" t="s">
        <v>6867</v>
      </c>
      <c r="C4137" s="4" t="str">
        <f>IFERROR(__xludf.DUMMYFUNCTION("GOOGLETRANSLATE(D:D,""auto"",""en"")"),"Wang Yibo finally the magic")</f>
        <v>Wang Yibo finally the magic</v>
      </c>
      <c r="D4137" s="4" t="s">
        <v>6918</v>
      </c>
      <c r="E4137" s="4">
        <v>7556558.0</v>
      </c>
      <c r="F4137" s="4">
        <v>36.0</v>
      </c>
      <c r="G4137" s="4" t="s">
        <v>6919</v>
      </c>
    </row>
    <row r="4138">
      <c r="A4138" s="1">
        <v>4136.0</v>
      </c>
      <c r="B4138" s="4" t="s">
        <v>6867</v>
      </c>
      <c r="C4138" s="4" t="str">
        <f>IFERROR(__xludf.DUMMYFUNCTION("GOOGLETRANSLATE(D:D,""auto"",""en"")"),"Domingo diagnosed with pneumonia new crown")</f>
        <v>Domingo diagnosed with pneumonia new crown</v>
      </c>
      <c r="D4138" s="4" t="s">
        <v>6920</v>
      </c>
      <c r="E4138" s="4">
        <v>7556068.0</v>
      </c>
      <c r="F4138" s="4">
        <v>37.0</v>
      </c>
      <c r="G4138" s="4" t="s">
        <v>6921</v>
      </c>
    </row>
    <row r="4139">
      <c r="A4139" s="1">
        <v>4137.0</v>
      </c>
      <c r="B4139" s="4" t="s">
        <v>6867</v>
      </c>
      <c r="C4139" s="4" t="str">
        <f>IFERROR(__xludf.DUMMYFUNCTION("GOOGLETRANSLATE(D:D,""auto"",""en"")"),"Netherlands brother buy buy hen eggs")</f>
        <v>Netherlands brother buy buy hen eggs</v>
      </c>
      <c r="D4139" s="4" t="s">
        <v>6922</v>
      </c>
      <c r="E4139" s="4">
        <v>7555959.0</v>
      </c>
      <c r="F4139" s="4">
        <v>38.0</v>
      </c>
      <c r="G4139" s="4" t="s">
        <v>6923</v>
      </c>
    </row>
    <row r="4140">
      <c r="A4140" s="1">
        <v>4138.0</v>
      </c>
      <c r="B4140" s="4" t="s">
        <v>6867</v>
      </c>
      <c r="C4140" s="4" t="str">
        <f>IFERROR(__xludf.DUMMYFUNCTION("GOOGLETRANSLATE(D:D,""auto"",""en"")"),"Wang Yibo eye exercises to dub")</f>
        <v>Wang Yibo eye exercises to dub</v>
      </c>
      <c r="D4140" s="4" t="s">
        <v>6924</v>
      </c>
      <c r="E4140" s="4">
        <v>7510233.0</v>
      </c>
      <c r="F4140" s="4">
        <v>39.0</v>
      </c>
      <c r="G4140" s="4" t="s">
        <v>6925</v>
      </c>
    </row>
    <row r="4141">
      <c r="A4141" s="1">
        <v>4139.0</v>
      </c>
      <c r="B4141" s="4" t="s">
        <v>6867</v>
      </c>
      <c r="C4141" s="4" t="str">
        <f>IFERROR(__xludf.DUMMYFUNCTION("GOOGLETRANSLATE(D:D,""auto"",""en"")"),"Russia put 800 National liger is false")</f>
        <v>Russia put 800 National liger is false</v>
      </c>
      <c r="D4141" s="4" t="s">
        <v>6926</v>
      </c>
      <c r="E4141" s="4">
        <v>7184343.0</v>
      </c>
      <c r="F4141" s="4">
        <v>40.0</v>
      </c>
      <c r="G4141" s="4" t="s">
        <v>6927</v>
      </c>
    </row>
    <row r="4142">
      <c r="A4142" s="1">
        <v>4140.0</v>
      </c>
      <c r="B4142" s="4" t="s">
        <v>6867</v>
      </c>
      <c r="C4142" s="4" t="str">
        <f>IFERROR(__xludf.DUMMYFUNCTION("GOOGLETRANSLATE(D:D,""auto"",""en"")"),"Hunan 16-year-old girl imprisoned burrow sentencing")</f>
        <v>Hunan 16-year-old girl imprisoned burrow sentencing</v>
      </c>
      <c r="D4142" s="4" t="s">
        <v>6928</v>
      </c>
      <c r="E4142" s="4">
        <v>7118916.0</v>
      </c>
      <c r="F4142" s="4">
        <v>41.0</v>
      </c>
      <c r="G4142" s="4" t="s">
        <v>6929</v>
      </c>
    </row>
    <row r="4143">
      <c r="A4143" s="1">
        <v>4141.0</v>
      </c>
      <c r="B4143" s="4" t="s">
        <v>6867</v>
      </c>
      <c r="C4143" s="4" t="str">
        <f>IFERROR(__xludf.DUMMYFUNCTION("GOOGLETRANSLATE(D:D,""auto"",""en"")"),"Tokyo will decide whether to postpone the Olympics in four weeks")</f>
        <v>Tokyo will decide whether to postpone the Olympics in four weeks</v>
      </c>
      <c r="D4143" s="4" t="s">
        <v>6930</v>
      </c>
      <c r="E4143" s="4">
        <v>7016562.0</v>
      </c>
      <c r="F4143" s="4">
        <v>42.0</v>
      </c>
      <c r="G4143" s="4" t="s">
        <v>6931</v>
      </c>
    </row>
    <row r="4144">
      <c r="A4144" s="1">
        <v>4142.0</v>
      </c>
      <c r="B4144" s="4" t="s">
        <v>6867</v>
      </c>
      <c r="C4144" s="4" t="str">
        <f>IFERROR(__xludf.DUMMYFUNCTION("GOOGLETRANSLATE(D:D,""auto"",""en"")"),"Poland seizure Italy 23000 masks")</f>
        <v>Poland seizure Italy 23000 masks</v>
      </c>
      <c r="D4144" s="4" t="s">
        <v>6932</v>
      </c>
      <c r="E4144" s="4">
        <v>6997608.0</v>
      </c>
      <c r="F4144" s="4">
        <v>43.0</v>
      </c>
      <c r="G4144" s="4" t="s">
        <v>6933</v>
      </c>
    </row>
    <row r="4145">
      <c r="A4145" s="1">
        <v>4143.0</v>
      </c>
      <c r="B4145" s="4" t="s">
        <v>6867</v>
      </c>
      <c r="C4145" s="4" t="str">
        <f>IFERROR(__xludf.DUMMYFUNCTION("GOOGLETRANSLATE(D:D,""auto"",""en"")"),"Menghe Tang online looking eyebrows")</f>
        <v>Menghe Tang online looking eyebrows</v>
      </c>
      <c r="D4145" s="4" t="s">
        <v>6934</v>
      </c>
      <c r="E4145" s="4">
        <v>6941572.0</v>
      </c>
      <c r="F4145" s="4">
        <v>44.0</v>
      </c>
      <c r="G4145" s="4" t="s">
        <v>6935</v>
      </c>
    </row>
    <row r="4146">
      <c r="A4146" s="1">
        <v>4144.0</v>
      </c>
      <c r="B4146" s="4" t="s">
        <v>6867</v>
      </c>
      <c r="C4146" s="4" t="str">
        <f>IFERROR(__xludf.DUMMYFUNCTION("GOOGLETRANSLATE(D:D,""auto"",""en"")"),"Woman refused to return home from Thailand isolation airport row")</f>
        <v>Woman refused to return home from Thailand isolation airport row</v>
      </c>
      <c r="D4146" s="4" t="s">
        <v>6936</v>
      </c>
      <c r="E4146" s="4">
        <v>6847567.0</v>
      </c>
      <c r="F4146" s="4">
        <v>45.0</v>
      </c>
      <c r="G4146" s="4" t="s">
        <v>6937</v>
      </c>
    </row>
    <row r="4147">
      <c r="A4147" s="1">
        <v>4145.0</v>
      </c>
      <c r="B4147" s="4" t="s">
        <v>6867</v>
      </c>
      <c r="C4147" s="4" t="str">
        <f>IFERROR(__xludf.DUMMYFUNCTION("GOOGLETRANSLATE(D:D,""auto"",""en"")"),"Lu drizzle dressing")</f>
        <v>Lu drizzle dressing</v>
      </c>
      <c r="D4147" s="4" t="s">
        <v>6815</v>
      </c>
      <c r="E4147" s="4">
        <v>6680926.0</v>
      </c>
      <c r="F4147" s="4">
        <v>46.0</v>
      </c>
      <c r="G4147" s="4" t="s">
        <v>6816</v>
      </c>
    </row>
    <row r="4148">
      <c r="A4148" s="1">
        <v>4146.0</v>
      </c>
      <c r="B4148" s="4" t="s">
        <v>6867</v>
      </c>
      <c r="C4148" s="4" t="str">
        <f>IFERROR(__xludf.DUMMYFUNCTION("GOOGLETRANSLATE(D:D,""auto"",""en"")"),"Thai woman refused entry isolation airport row")</f>
        <v>Thai woman refused entry isolation airport row</v>
      </c>
      <c r="D4148" s="4" t="s">
        <v>6938</v>
      </c>
      <c r="E4148" s="4">
        <v>6486863.0</v>
      </c>
      <c r="F4148" s="4">
        <v>47.0</v>
      </c>
      <c r="G4148" s="4" t="s">
        <v>6939</v>
      </c>
    </row>
    <row r="4149">
      <c r="A4149" s="1">
        <v>4147.0</v>
      </c>
      <c r="B4149" s="4" t="s">
        <v>6867</v>
      </c>
      <c r="C4149" s="4" t="str">
        <f>IFERROR(__xludf.DUMMYFUNCTION("GOOGLETRANSLATE(D:D,""auto"",""en"")"),"Panda laugh live performance")</f>
        <v>Panda laugh live performance</v>
      </c>
      <c r="D4149" s="4" t="s">
        <v>6805</v>
      </c>
      <c r="E4149" s="4">
        <v>6418816.0</v>
      </c>
      <c r="F4149" s="4">
        <v>48.0</v>
      </c>
      <c r="G4149" s="4" t="s">
        <v>6806</v>
      </c>
    </row>
    <row r="4150">
      <c r="A4150" s="1">
        <v>4148.0</v>
      </c>
      <c r="B4150" s="4" t="s">
        <v>6867</v>
      </c>
      <c r="C4150" s="4" t="str">
        <f>IFERROR(__xludf.DUMMYFUNCTION("GOOGLETRANSLATE(D:D,""auto"",""en"")"),"Son rejected isolation concentrated on the ocean")</f>
        <v>Son rejected isolation concentrated on the ocean</v>
      </c>
      <c r="D4150" s="4" t="s">
        <v>6940</v>
      </c>
      <c r="E4150" s="4">
        <v>6347368.0</v>
      </c>
      <c r="F4150" s="4">
        <v>49.0</v>
      </c>
      <c r="G4150" s="4" t="s">
        <v>6941</v>
      </c>
    </row>
    <row r="4151">
      <c r="A4151" s="1">
        <v>4149.0</v>
      </c>
      <c r="B4151" s="4" t="s">
        <v>6867</v>
      </c>
      <c r="C4151" s="4" t="str">
        <f>IFERROR(__xludf.DUMMYFUNCTION("GOOGLETRANSLATE(D:D,""auto"",""en"")"),"Liu Yan live disco")</f>
        <v>Liu Yan live disco</v>
      </c>
      <c r="D4151" s="4" t="s">
        <v>6811</v>
      </c>
      <c r="E4151" s="4">
        <v>6269352.0</v>
      </c>
      <c r="F4151" s="4">
        <v>50.0</v>
      </c>
      <c r="G4151" s="4" t="s">
        <v>6812</v>
      </c>
    </row>
    <row r="4152">
      <c r="A4152" s="1">
        <v>4150.0</v>
      </c>
      <c r="B4152" s="4" t="s">
        <v>6942</v>
      </c>
      <c r="C4152" s="4" t="str">
        <f>IFERROR(__xludf.DUMMYFUNCTION("GOOGLETRANSLATE(D:D,""auto"",""en"")"),"Bo Yin side is N, room vocal event")</f>
        <v>Bo Yin side is N, room vocal event</v>
      </c>
      <c r="D4152" s="4" t="s">
        <v>6874</v>
      </c>
      <c r="E4152" s="4">
        <v>9802570.0</v>
      </c>
      <c r="F4152" s="4">
        <v>1.0</v>
      </c>
      <c r="G4152" s="4" t="s">
        <v>6875</v>
      </c>
    </row>
    <row r="4153">
      <c r="A4153" s="1">
        <v>4151.0</v>
      </c>
      <c r="B4153" s="4" t="s">
        <v>6942</v>
      </c>
      <c r="C4153" s="4" t="str">
        <f>IFERROR(__xludf.DUMMYFUNCTION("GOOGLETRANSLATE(D:D,""auto"",""en"")"),"Zheng Shuang black curly hair")</f>
        <v>Zheng Shuang black curly hair</v>
      </c>
      <c r="D4153" s="4" t="s">
        <v>6876</v>
      </c>
      <c r="E4153" s="4">
        <v>9734575.0</v>
      </c>
      <c r="F4153" s="4">
        <v>2.0</v>
      </c>
      <c r="G4153" s="4" t="s">
        <v>6877</v>
      </c>
    </row>
    <row r="4154">
      <c r="A4154" s="1">
        <v>4152.0</v>
      </c>
      <c r="B4154" s="4" t="s">
        <v>6942</v>
      </c>
      <c r="C4154" s="4" t="str">
        <f>IFERROR(__xludf.DUMMYFUNCTION("GOOGLETRANSLATE(D:D,""auto"",""en"")"),"When bigbang body and blackpink")</f>
        <v>When bigbang body and blackpink</v>
      </c>
      <c r="D4154" s="4" t="s">
        <v>6868</v>
      </c>
      <c r="E4154" s="4">
        <v>9283680.0</v>
      </c>
      <c r="F4154" s="4">
        <v>3.0</v>
      </c>
      <c r="G4154" s="4" t="s">
        <v>6869</v>
      </c>
    </row>
    <row r="4155">
      <c r="A4155" s="1">
        <v>4153.0</v>
      </c>
      <c r="B4155" s="4" t="s">
        <v>6942</v>
      </c>
      <c r="C4155" s="4" t="str">
        <f>IFERROR(__xludf.DUMMYFUNCTION("GOOGLETRANSLATE(D:D,""auto"",""en"")"),"Running an Australian woman has lived in houses Surrender")</f>
        <v>Running an Australian woman has lived in houses Surrender</v>
      </c>
      <c r="D4155" s="4" t="s">
        <v>6943</v>
      </c>
      <c r="E4155" s="4">
        <v>9119662.0</v>
      </c>
      <c r="F4155" s="4">
        <v>4.0</v>
      </c>
      <c r="G4155" s="4" t="s">
        <v>6944</v>
      </c>
    </row>
    <row r="4156">
      <c r="A4156" s="1">
        <v>4154.0</v>
      </c>
      <c r="B4156" s="4" t="s">
        <v>6942</v>
      </c>
      <c r="C4156" s="4" t="str">
        <f>IFERROR(__xludf.DUMMYFUNCTION("GOOGLETRANSLATE(D:D,""auto"",""en"")"),"Hawthorn Tree vibrato version")</f>
        <v>Hawthorn Tree vibrato version</v>
      </c>
      <c r="D4156" s="4" t="s">
        <v>6945</v>
      </c>
      <c r="E4156" s="4">
        <v>8975772.0</v>
      </c>
      <c r="F4156" s="4">
        <v>5.0</v>
      </c>
      <c r="G4156" s="4" t="s">
        <v>6946</v>
      </c>
    </row>
    <row r="4157">
      <c r="A4157" s="1">
        <v>4155.0</v>
      </c>
      <c r="B4157" s="4" t="s">
        <v>6942</v>
      </c>
      <c r="C4157" s="4" t="str">
        <f>IFERROR(__xludf.DUMMYFUNCTION("GOOGLETRANSLATE(D:D,""auto"",""en"")"),"Wang Yibo grandmother to support his favorite things to do")</f>
        <v>Wang Yibo grandmother to support his favorite things to do</v>
      </c>
      <c r="D4157" s="4" t="s">
        <v>6890</v>
      </c>
      <c r="E4157" s="4">
        <v>8967983.0</v>
      </c>
      <c r="F4157" s="4">
        <v>6.0</v>
      </c>
      <c r="G4157" s="4" t="s">
        <v>6891</v>
      </c>
    </row>
    <row r="4158">
      <c r="A4158" s="1">
        <v>4156.0</v>
      </c>
      <c r="B4158" s="4" t="s">
        <v>6942</v>
      </c>
      <c r="C4158" s="4" t="str">
        <f>IFERROR(__xludf.DUMMYFUNCTION("GOOGLETRANSLATE(D:D,""auto"",""en"")"),"Yu Shuxin Sicong")</f>
        <v>Yu Shuxin Sicong</v>
      </c>
      <c r="D4158" s="4" t="s">
        <v>6870</v>
      </c>
      <c r="E4158" s="4">
        <v>8905947.0</v>
      </c>
      <c r="F4158" s="4">
        <v>7.0</v>
      </c>
      <c r="G4158" s="4" t="s">
        <v>6871</v>
      </c>
    </row>
    <row r="4159">
      <c r="A4159" s="1">
        <v>4157.0</v>
      </c>
      <c r="B4159" s="4" t="s">
        <v>6942</v>
      </c>
      <c r="C4159" s="4" t="str">
        <f>IFERROR(__xludf.DUMMYFUNCTION("GOOGLETRANSLATE(D:D,""auto"",""en"")"),"Mold and mildew in response to exposure Kanye call recording")</f>
        <v>Mold and mildew in response to exposure Kanye call recording</v>
      </c>
      <c r="D4159" s="4" t="s">
        <v>6947</v>
      </c>
      <c r="E4159" s="4">
        <v>8738946.0</v>
      </c>
      <c r="F4159" s="4">
        <v>8.0</v>
      </c>
      <c r="G4159" s="4" t="s">
        <v>6948</v>
      </c>
    </row>
    <row r="4160">
      <c r="A4160" s="1">
        <v>4158.0</v>
      </c>
      <c r="B4160" s="4" t="s">
        <v>6942</v>
      </c>
      <c r="C4160" s="4" t="str">
        <f>IFERROR(__xludf.DUMMYFUNCTION("GOOGLETRANSLATE(D:D,""auto"",""en"")"),"Serbian President praised China is a good friend 3 years ago")</f>
        <v>Serbian President praised China is a good friend 3 years ago</v>
      </c>
      <c r="D4160" s="4" t="s">
        <v>6888</v>
      </c>
      <c r="E4160" s="4">
        <v>8620418.0</v>
      </c>
      <c r="F4160" s="4">
        <v>9.0</v>
      </c>
      <c r="G4160" s="4" t="s">
        <v>6889</v>
      </c>
    </row>
    <row r="4161">
      <c r="A4161" s="1">
        <v>4159.0</v>
      </c>
      <c r="B4161" s="4" t="s">
        <v>6942</v>
      </c>
      <c r="C4161" s="4" t="str">
        <f>IFERROR(__xludf.DUMMYFUNCTION("GOOGLETRANSLATE(D:D,""auto"",""en"")"),"Games postponed to cause the loss of over 3.2 trillion Japanese")</f>
        <v>Games postponed to cause the loss of over 3.2 trillion Japanese</v>
      </c>
      <c r="D4161" s="4" t="s">
        <v>6949</v>
      </c>
      <c r="E4161" s="4">
        <v>8566293.0</v>
      </c>
      <c r="F4161" s="4">
        <v>10.0</v>
      </c>
      <c r="G4161" s="4" t="s">
        <v>6950</v>
      </c>
    </row>
    <row r="4162">
      <c r="A4162" s="1">
        <v>4160.0</v>
      </c>
      <c r="B4162" s="4" t="s">
        <v>6942</v>
      </c>
      <c r="C4162" s="4" t="str">
        <f>IFERROR(__xludf.DUMMYFUNCTION("GOOGLETRANSLATE(D:D,""auto"",""en"")"),"78 cases of new confirmed cases nationwide")</f>
        <v>78 cases of new confirmed cases nationwide</v>
      </c>
      <c r="D4162" s="4" t="s">
        <v>6951</v>
      </c>
      <c r="E4162" s="4">
        <v>8451493.0</v>
      </c>
      <c r="F4162" s="4">
        <v>11.0</v>
      </c>
      <c r="G4162" s="4" t="s">
        <v>6952</v>
      </c>
    </row>
    <row r="4163">
      <c r="A4163" s="1">
        <v>4161.0</v>
      </c>
      <c r="B4163" s="4" t="s">
        <v>6942</v>
      </c>
      <c r="C4163" s="4" t="str">
        <f>IFERROR(__xludf.DUMMYFUNCTION("GOOGLETRANSLATE(D:D,""auto"",""en"")"),"Wuhan from April 8 released from Chinese control from Hubei")</f>
        <v>Wuhan from April 8 released from Chinese control from Hubei</v>
      </c>
      <c r="D4163" s="4" t="s">
        <v>6953</v>
      </c>
      <c r="E4163" s="4">
        <v>8272586.0</v>
      </c>
      <c r="F4163" s="4">
        <v>12.0</v>
      </c>
      <c r="G4163" s="4" t="s">
        <v>6954</v>
      </c>
    </row>
    <row r="4164">
      <c r="A4164" s="1">
        <v>4162.0</v>
      </c>
      <c r="B4164" s="4" t="s">
        <v>6942</v>
      </c>
      <c r="C4164" s="4" t="str">
        <f>IFERROR(__xludf.DUMMYFUNCTION("GOOGLETRANSLATE(D:D,""auto"",""en"")"),"Zhang Ni overbought Chengdu buy Villa")</f>
        <v>Zhang Ni overbought Chengdu buy Villa</v>
      </c>
      <c r="D4164" s="4" t="s">
        <v>6955</v>
      </c>
      <c r="E4164" s="4">
        <v>8199933.0</v>
      </c>
      <c r="F4164" s="4">
        <v>13.0</v>
      </c>
      <c r="G4164" s="4" t="s">
        <v>6956</v>
      </c>
    </row>
    <row r="4165">
      <c r="A4165" s="1">
        <v>4163.0</v>
      </c>
      <c r="B4165" s="4" t="s">
        <v>6942</v>
      </c>
      <c r="C4165" s="4" t="str">
        <f>IFERROR(__xludf.DUMMYFUNCTION("GOOGLETRANSLATE(D:D,""auto"",""en"")"),"King St. statement studio")</f>
        <v>King St. statement studio</v>
      </c>
      <c r="D4165" s="4" t="s">
        <v>6957</v>
      </c>
      <c r="E4165" s="4">
        <v>8156519.0</v>
      </c>
      <c r="F4165" s="4">
        <v>14.0</v>
      </c>
      <c r="G4165" s="4" t="s">
        <v>6958</v>
      </c>
    </row>
    <row r="4166">
      <c r="A4166" s="1">
        <v>4164.0</v>
      </c>
      <c r="B4166" s="4" t="s">
        <v>6942</v>
      </c>
      <c r="C4166" s="4" t="str">
        <f>IFERROR(__xludf.DUMMYFUNCTION("GOOGLETRANSLATE(D:D,""auto"",""en"")"),"Small fox broke into the nursery is considered a specimen")</f>
        <v>Small fox broke into the nursery is considered a specimen</v>
      </c>
      <c r="D4166" s="4" t="s">
        <v>6959</v>
      </c>
      <c r="E4166" s="4">
        <v>8137986.0</v>
      </c>
      <c r="F4166" s="4">
        <v>15.0</v>
      </c>
      <c r="G4166" s="4" t="s">
        <v>6960</v>
      </c>
    </row>
    <row r="4167">
      <c r="A4167" s="1">
        <v>4165.0</v>
      </c>
      <c r="B4167" s="4" t="s">
        <v>6942</v>
      </c>
      <c r="C4167" s="4" t="str">
        <f>IFERROR(__xludf.DUMMYFUNCTION("GOOGLETRANSLATE(D:D,""auto"",""en"")"),"Yoon bite handkerchief")</f>
        <v>Yoon bite handkerchief</v>
      </c>
      <c r="D4167" s="4" t="s">
        <v>6896</v>
      </c>
      <c r="E4167" s="4">
        <v>8114555.0</v>
      </c>
      <c r="F4167" s="4">
        <v>16.0</v>
      </c>
      <c r="G4167" s="4" t="s">
        <v>6897</v>
      </c>
    </row>
    <row r="4168">
      <c r="A4168" s="1">
        <v>4166.0</v>
      </c>
      <c r="B4168" s="4" t="s">
        <v>6942</v>
      </c>
      <c r="C4168" s="4" t="str">
        <f>IFERROR(__xludf.DUMMYFUNCTION("GOOGLETRANSLATE(D:D,""auto"",""en"")"),"Shaanxi migrant workers return to work a chartered disease death")</f>
        <v>Shaanxi migrant workers return to work a chartered disease death</v>
      </c>
      <c r="D4168" s="4" t="s">
        <v>6961</v>
      </c>
      <c r="E4168" s="4">
        <v>8053168.0</v>
      </c>
      <c r="F4168" s="4">
        <v>17.0</v>
      </c>
      <c r="G4168" s="4" t="s">
        <v>6962</v>
      </c>
    </row>
    <row r="4169">
      <c r="A4169" s="1">
        <v>4167.0</v>
      </c>
      <c r="B4169" s="4" t="s">
        <v>6942</v>
      </c>
      <c r="C4169" s="4" t="str">
        <f>IFERROR(__xludf.DUMMYFUNCTION("GOOGLETRANSLATE(D:D,""auto"",""en"")"),"Inner Mongolia of the family faucet")</f>
        <v>Inner Mongolia of the family faucet</v>
      </c>
      <c r="D4169" s="4" t="s">
        <v>6963</v>
      </c>
      <c r="E4169" s="4">
        <v>7992407.0</v>
      </c>
      <c r="F4169" s="4">
        <v>18.0</v>
      </c>
      <c r="G4169" s="4" t="s">
        <v>6964</v>
      </c>
    </row>
    <row r="4170">
      <c r="A4170" s="1">
        <v>4168.0</v>
      </c>
      <c r="B4170" s="4" t="s">
        <v>6942</v>
      </c>
      <c r="C4170" s="4" t="str">
        <f>IFERROR(__xludf.DUMMYFUNCTION("GOOGLETRANSLATE(D:D,""auto"",""en"")"),"Li Jiaqi red eyes")</f>
        <v>Li Jiaqi red eyes</v>
      </c>
      <c r="D4170" s="4" t="s">
        <v>6878</v>
      </c>
      <c r="E4170" s="4">
        <v>7976917.0</v>
      </c>
      <c r="F4170" s="4">
        <v>19.0</v>
      </c>
      <c r="G4170" s="4" t="s">
        <v>6879</v>
      </c>
    </row>
    <row r="4171">
      <c r="A4171" s="1">
        <v>4169.0</v>
      </c>
      <c r="B4171" s="4" t="s">
        <v>6942</v>
      </c>
      <c r="C4171" s="4" t="str">
        <f>IFERROR(__xludf.DUMMYFUNCTION("GOOGLETRANSLATE(D:D,""auto"",""en"")"),"C irreplaceable position Debut")</f>
        <v>C irreplaceable position Debut</v>
      </c>
      <c r="D4171" s="4" t="s">
        <v>6831</v>
      </c>
      <c r="E4171" s="4">
        <v>7953945.0</v>
      </c>
      <c r="F4171" s="4">
        <v>20.0</v>
      </c>
      <c r="G4171" s="4" t="s">
        <v>6832</v>
      </c>
    </row>
    <row r="4172">
      <c r="A4172" s="1">
        <v>4170.0</v>
      </c>
      <c r="B4172" s="4" t="s">
        <v>6942</v>
      </c>
      <c r="C4172" s="4" t="str">
        <f>IFERROR(__xludf.DUMMYFUNCTION("GOOGLETRANSLATE(D:D,""auto"",""en"")"),"Hug my city")</f>
        <v>Hug my city</v>
      </c>
      <c r="D4172" s="4" t="s">
        <v>6965</v>
      </c>
      <c r="E4172" s="4">
        <v>7936813.0</v>
      </c>
      <c r="F4172" s="4">
        <v>21.0</v>
      </c>
      <c r="G4172" s="4" t="s">
        <v>6966</v>
      </c>
    </row>
    <row r="4173">
      <c r="A4173" s="1">
        <v>4171.0</v>
      </c>
      <c r="B4173" s="4" t="s">
        <v>6942</v>
      </c>
      <c r="C4173" s="4" t="str">
        <f>IFERROR(__xludf.DUMMYFUNCTION("GOOGLETRANSLATE(D:D,""auto"",""en"")"),"Chen Linong cherry lying on clouds")</f>
        <v>Chen Linong cherry lying on clouds</v>
      </c>
      <c r="D4173" s="4" t="s">
        <v>6967</v>
      </c>
      <c r="E4173" s="4">
        <v>7936813.0</v>
      </c>
      <c r="F4173" s="4">
        <v>22.0</v>
      </c>
      <c r="G4173" s="4" t="s">
        <v>6968</v>
      </c>
    </row>
    <row r="4174">
      <c r="A4174" s="1">
        <v>4172.0</v>
      </c>
      <c r="B4174" s="4" t="s">
        <v>6942</v>
      </c>
      <c r="C4174" s="4" t="str">
        <f>IFERROR(__xludf.DUMMYFUNCTION("GOOGLETRANSLATE(D:D,""auto"",""en"")"),"Handong Jun straight men chase wife")</f>
        <v>Handong Jun straight men chase wife</v>
      </c>
      <c r="D4174" s="4" t="s">
        <v>6969</v>
      </c>
      <c r="E4174" s="4">
        <v>7869475.0</v>
      </c>
      <c r="F4174" s="4">
        <v>23.0</v>
      </c>
      <c r="G4174" s="4" t="s">
        <v>6970</v>
      </c>
    </row>
    <row r="4175">
      <c r="A4175" s="1">
        <v>4173.0</v>
      </c>
      <c r="B4175" s="4" t="s">
        <v>6942</v>
      </c>
      <c r="C4175" s="4" t="str">
        <f>IFERROR(__xludf.DUMMYFUNCTION("GOOGLETRANSLATE(D:D,""auto"",""en"")"),"Three operators will be more than the number of complex reform package")</f>
        <v>Three operators will be more than the number of complex reform package</v>
      </c>
      <c r="D4175" s="4" t="s">
        <v>6971</v>
      </c>
      <c r="E4175" s="4">
        <v>7844207.0</v>
      </c>
      <c r="F4175" s="4">
        <v>24.0</v>
      </c>
      <c r="G4175" s="4" t="s">
        <v>6972</v>
      </c>
    </row>
    <row r="4176">
      <c r="A4176" s="1">
        <v>4174.0</v>
      </c>
      <c r="B4176" s="4" t="s">
        <v>6942</v>
      </c>
      <c r="C4176" s="4" t="str">
        <f>IFERROR(__xludf.DUMMYFUNCTION("GOOGLETRANSLATE(D:D,""auto"",""en"")"),"Abe proposed one-year extension Tokyo Olympic Games")</f>
        <v>Abe proposed one-year extension Tokyo Olympic Games</v>
      </c>
      <c r="D4176" s="4" t="s">
        <v>6973</v>
      </c>
      <c r="E4176" s="4">
        <v>7808709.0</v>
      </c>
      <c r="F4176" s="4">
        <v>25.0</v>
      </c>
      <c r="G4176" s="4" t="s">
        <v>6974</v>
      </c>
    </row>
    <row r="4177">
      <c r="A4177" s="1">
        <v>4175.0</v>
      </c>
      <c r="B4177" s="4" t="s">
        <v>6942</v>
      </c>
      <c r="C4177" s="4" t="str">
        <f>IFERROR(__xludf.DUMMYFUNCTION("GOOGLETRANSLATE(D:D,""auto"",""en"")"),"I woke up this morning was 100 individuals Meme da What experience")</f>
        <v>I woke up this morning was 100 individuals Meme da What experience</v>
      </c>
      <c r="D4177" s="4" t="s">
        <v>6975</v>
      </c>
      <c r="E4177" s="4">
        <v>7794627.0</v>
      </c>
      <c r="F4177" s="4">
        <v>26.0</v>
      </c>
      <c r="G4177" s="4" t="s">
        <v>6976</v>
      </c>
    </row>
    <row r="4178">
      <c r="A4178" s="1">
        <v>4176.0</v>
      </c>
      <c r="B4178" s="4" t="s">
        <v>6942</v>
      </c>
      <c r="C4178" s="4" t="str">
        <f>IFERROR(__xludf.DUMMYFUNCTION("GOOGLETRANSLATE(D:D,""auto"",""en"")"),"Zhang Yixing help Beijing 2022 Olympic Winter Games")</f>
        <v>Zhang Yixing help Beijing 2022 Olympic Winter Games</v>
      </c>
      <c r="D4178" s="4" t="s">
        <v>6977</v>
      </c>
      <c r="E4178" s="4">
        <v>7699648.0</v>
      </c>
      <c r="F4178" s="4">
        <v>27.0</v>
      </c>
      <c r="G4178" s="4" t="s">
        <v>6978</v>
      </c>
    </row>
    <row r="4179">
      <c r="A4179" s="1">
        <v>4177.0</v>
      </c>
      <c r="B4179" s="4" t="s">
        <v>6942</v>
      </c>
      <c r="C4179" s="4" t="str">
        <f>IFERROR(__xludf.DUMMYFUNCTION("GOOGLETRANSLATE(D:D,""auto"",""en"")"),"The police informed the 15-year-old man beaten to death epidemic prevention staff")</f>
        <v>The police informed the 15-year-old man beaten to death epidemic prevention staff</v>
      </c>
      <c r="D4179" s="4" t="s">
        <v>6979</v>
      </c>
      <c r="E4179" s="4">
        <v>7532801.0</v>
      </c>
      <c r="F4179" s="4">
        <v>28.0</v>
      </c>
      <c r="G4179" s="4" t="s">
        <v>6980</v>
      </c>
    </row>
    <row r="4180">
      <c r="A4180" s="1">
        <v>4178.0</v>
      </c>
      <c r="B4180" s="4" t="s">
        <v>6942</v>
      </c>
      <c r="C4180" s="4" t="str">
        <f>IFERROR(__xludf.DUMMYFUNCTION("GOOGLETRANSLATE(D:D,""auto"",""en"")"),"Wu Xin Long RBI to help Liu Zhen funeral")</f>
        <v>Wu Xin Long RBI to help Liu Zhen funeral</v>
      </c>
      <c r="D4180" s="4" t="s">
        <v>6981</v>
      </c>
      <c r="E4180" s="4">
        <v>7437879.0</v>
      </c>
      <c r="F4180" s="4">
        <v>29.0</v>
      </c>
      <c r="G4180" s="4" t="s">
        <v>6982</v>
      </c>
    </row>
    <row r="4181">
      <c r="A4181" s="1">
        <v>4179.0</v>
      </c>
      <c r="B4181" s="4" t="s">
        <v>6942</v>
      </c>
      <c r="C4181" s="4" t="str">
        <f>IFERROR(__xludf.DUMMYFUNCTION("GOOGLETRANSLATE(D:D,""auto"",""en"")"),"International Olympic Committee announced the postponement of Tokyo Olympic Games")</f>
        <v>International Olympic Committee announced the postponement of Tokyo Olympic Games</v>
      </c>
      <c r="D4181" s="4" t="s">
        <v>6983</v>
      </c>
      <c r="E4181" s="4">
        <v>7417028.0</v>
      </c>
      <c r="F4181" s="4">
        <v>30.0</v>
      </c>
      <c r="G4181" s="4" t="s">
        <v>6984</v>
      </c>
    </row>
    <row r="4182">
      <c r="A4182" s="1">
        <v>4180.0</v>
      </c>
      <c r="B4182" s="4" t="s">
        <v>6942</v>
      </c>
      <c r="C4182" s="4" t="str">
        <f>IFERROR(__xludf.DUMMYFUNCTION("GOOGLETRANSLATE(D:D,""auto"",""en"")"),"Han Meijuan live full makeup")</f>
        <v>Han Meijuan live full makeup</v>
      </c>
      <c r="D4182" s="4" t="s">
        <v>6892</v>
      </c>
      <c r="E4182" s="4">
        <v>7411431.0</v>
      </c>
      <c r="F4182" s="4">
        <v>31.0</v>
      </c>
      <c r="G4182" s="4" t="s">
        <v>6893</v>
      </c>
    </row>
    <row r="4183">
      <c r="A4183" s="1">
        <v>4181.0</v>
      </c>
      <c r="B4183" s="4" t="s">
        <v>6942</v>
      </c>
      <c r="C4183" s="4" t="str">
        <f>IFERROR(__xludf.DUMMYFUNCTION("GOOGLETRANSLATE(D:D,""auto"",""en"")"),"Zhu Fangyu Zhu eight live boxing response")</f>
        <v>Zhu Fangyu Zhu eight live boxing response</v>
      </c>
      <c r="D4183" s="4" t="s">
        <v>6985</v>
      </c>
      <c r="E4183" s="4">
        <v>7378609.0</v>
      </c>
      <c r="F4183" s="4">
        <v>32.0</v>
      </c>
      <c r="G4183" s="4" t="s">
        <v>6986</v>
      </c>
    </row>
    <row r="4184">
      <c r="A4184" s="1">
        <v>4182.0</v>
      </c>
      <c r="B4184" s="4" t="s">
        <v>6942</v>
      </c>
      <c r="C4184" s="4" t="str">
        <f>IFERROR(__xludf.DUMMYFUNCTION("GOOGLETRANSLATE(D:D,""auto"",""en"")"),"Trump news conference to hear others hide low-grade fever seconds")</f>
        <v>Trump news conference to hear others hide low-grade fever seconds</v>
      </c>
      <c r="D4184" s="4" t="s">
        <v>6987</v>
      </c>
      <c r="E4184" s="4">
        <v>7203330.0</v>
      </c>
      <c r="F4184" s="4">
        <v>33.0</v>
      </c>
      <c r="G4184" s="4" t="s">
        <v>6988</v>
      </c>
    </row>
    <row r="4185">
      <c r="A4185" s="1">
        <v>4183.0</v>
      </c>
      <c r="B4185" s="4" t="s">
        <v>6942</v>
      </c>
      <c r="C4185" s="4" t="str">
        <f>IFERROR(__xludf.DUMMYFUNCTION("GOOGLETRANSLATE(D:D,""auto"",""en"")"),"Russia put 800 National liger is false")</f>
        <v>Russia put 800 National liger is false</v>
      </c>
      <c r="D4185" s="4" t="s">
        <v>6926</v>
      </c>
      <c r="E4185" s="4">
        <v>7195345.0</v>
      </c>
      <c r="F4185" s="4">
        <v>34.0</v>
      </c>
      <c r="G4185" s="4" t="s">
        <v>6927</v>
      </c>
    </row>
    <row r="4186">
      <c r="A4186" s="1">
        <v>4184.0</v>
      </c>
      <c r="B4186" s="4" t="s">
        <v>6942</v>
      </c>
      <c r="C4186" s="4" t="str">
        <f>IFERROR(__xludf.DUMMYFUNCTION("GOOGLETRANSLATE(D:D,""auto"",""en"")"),"Official Response woman returning row Chongqing Airport")</f>
        <v>Official Response woman returning row Chongqing Airport</v>
      </c>
      <c r="D4186" s="4" t="s">
        <v>6989</v>
      </c>
      <c r="E4186" s="4">
        <v>7149005.0</v>
      </c>
      <c r="F4186" s="4">
        <v>35.0</v>
      </c>
      <c r="G4186" s="4" t="s">
        <v>6990</v>
      </c>
    </row>
    <row r="4187">
      <c r="A4187" s="1">
        <v>4185.0</v>
      </c>
      <c r="B4187" s="4" t="s">
        <v>6942</v>
      </c>
      <c r="C4187" s="4" t="str">
        <f>IFERROR(__xludf.DUMMYFUNCTION("GOOGLETRANSLATE(D:D,""auto"",""en"")"),"Dapeng photographed actress eat duck sauce")</f>
        <v>Dapeng photographed actress eat duck sauce</v>
      </c>
      <c r="D4187" s="4" t="s">
        <v>6991</v>
      </c>
      <c r="E4187" s="4">
        <v>7127330.0</v>
      </c>
      <c r="F4187" s="4">
        <v>36.0</v>
      </c>
      <c r="G4187" s="4" t="s">
        <v>6992</v>
      </c>
    </row>
    <row r="4188">
      <c r="A4188" s="1">
        <v>4186.0</v>
      </c>
      <c r="B4188" s="4" t="s">
        <v>6942</v>
      </c>
      <c r="C4188" s="4" t="str">
        <f>IFERROR(__xludf.DUMMYFUNCTION("GOOGLETRANSLATE(D:D,""auto"",""en"")"),"Li Xueqin Live 8 blind men overturned")</f>
        <v>Li Xueqin Live 8 blind men overturned</v>
      </c>
      <c r="D4188" s="4" t="s">
        <v>6807</v>
      </c>
      <c r="E4188" s="4">
        <v>7121327.0</v>
      </c>
      <c r="F4188" s="4">
        <v>37.0</v>
      </c>
      <c r="G4188" s="4" t="s">
        <v>6808</v>
      </c>
    </row>
    <row r="4189">
      <c r="A4189" s="1">
        <v>4187.0</v>
      </c>
      <c r="B4189" s="4" t="s">
        <v>6942</v>
      </c>
      <c r="C4189" s="4" t="str">
        <f>IFERROR(__xludf.DUMMYFUNCTION("GOOGLETRANSLATE(D:D,""auto"",""en"")"),"The first aircraft inbound international flights stopping Taiyuan to Beijing")</f>
        <v>The first aircraft inbound international flights stopping Taiyuan to Beijing</v>
      </c>
      <c r="D4189" s="4" t="s">
        <v>6993</v>
      </c>
      <c r="E4189" s="4">
        <v>7060168.0</v>
      </c>
      <c r="F4189" s="4">
        <v>38.0</v>
      </c>
      <c r="G4189" s="4" t="s">
        <v>6994</v>
      </c>
    </row>
    <row r="4190">
      <c r="A4190" s="1">
        <v>4188.0</v>
      </c>
      <c r="B4190" s="4" t="s">
        <v>6942</v>
      </c>
      <c r="C4190" s="4" t="str">
        <f>IFERROR(__xludf.DUMMYFUNCTION("GOOGLETRANSLATE(D:D,""auto"",""en"")"),"Zhongzijiechang thunder")</f>
        <v>Zhongzijiechang thunder</v>
      </c>
      <c r="D4190" s="4" t="s">
        <v>6995</v>
      </c>
      <c r="E4190" s="4">
        <v>6859567.0</v>
      </c>
      <c r="F4190" s="4">
        <v>39.0</v>
      </c>
      <c r="G4190" s="4" t="s">
        <v>6996</v>
      </c>
    </row>
    <row r="4191">
      <c r="A4191" s="1">
        <v>4189.0</v>
      </c>
      <c r="B4191" s="4" t="s">
        <v>6942</v>
      </c>
      <c r="C4191" s="4" t="str">
        <f>IFERROR(__xludf.DUMMYFUNCTION("GOOGLETRANSLATE(D:D,""auto"",""en"")"),"I was past that youth")</f>
        <v>I was past that youth</v>
      </c>
      <c r="D4191" s="4" t="s">
        <v>6872</v>
      </c>
      <c r="E4191" s="4">
        <v>6817900.0</v>
      </c>
      <c r="F4191" s="4">
        <v>40.0</v>
      </c>
      <c r="G4191" s="4" t="s">
        <v>6873</v>
      </c>
    </row>
    <row r="4192">
      <c r="A4192" s="1">
        <v>4190.0</v>
      </c>
      <c r="B4192" s="4" t="s">
        <v>6942</v>
      </c>
      <c r="C4192" s="4" t="str">
        <f>IFERROR(__xludf.DUMMYFUNCTION("GOOGLETRANSLATE(D:D,""auto"",""en"")"),"The official informed medical personnel and the elderly conflict")</f>
        <v>The official informed medical personnel and the elderly conflict</v>
      </c>
      <c r="D4192" s="4" t="s">
        <v>6882</v>
      </c>
      <c r="E4192" s="4">
        <v>6786448.0</v>
      </c>
      <c r="F4192" s="4">
        <v>41.0</v>
      </c>
      <c r="G4192" s="4" t="s">
        <v>6883</v>
      </c>
    </row>
    <row r="4193">
      <c r="A4193" s="1">
        <v>4191.0</v>
      </c>
      <c r="B4193" s="4" t="s">
        <v>6942</v>
      </c>
      <c r="C4193" s="4" t="str">
        <f>IFERROR(__xludf.DUMMYFUNCTION("GOOGLETRANSLATE(D:D,""auto"",""en"")"),"Tokyo Olympic Games held no later than the summer of 2021")</f>
        <v>Tokyo Olympic Games held no later than the summer of 2021</v>
      </c>
      <c r="D4193" s="4" t="s">
        <v>6997</v>
      </c>
      <c r="E4193" s="4">
        <v>6600197.0</v>
      </c>
      <c r="F4193" s="4">
        <v>42.0</v>
      </c>
      <c r="G4193" s="4" t="s">
        <v>6998</v>
      </c>
    </row>
    <row r="4194">
      <c r="A4194" s="1">
        <v>4192.0</v>
      </c>
      <c r="B4194" s="4" t="s">
        <v>6942</v>
      </c>
      <c r="C4194" s="4" t="str">
        <f>IFERROR(__xludf.DUMMYFUNCTION("GOOGLETRANSLATE(D:D,""auto"",""en"")"),"The new crown detox longer than SARS virus and influenza")</f>
        <v>The new crown detox longer than SARS virus and influenza</v>
      </c>
      <c r="D4194" s="4" t="s">
        <v>6999</v>
      </c>
      <c r="E4194" s="4">
        <v>6553480.0</v>
      </c>
      <c r="F4194" s="4">
        <v>43.0</v>
      </c>
      <c r="G4194" s="4" t="s">
        <v>7000</v>
      </c>
    </row>
    <row r="4195">
      <c r="A4195" s="1">
        <v>4193.0</v>
      </c>
      <c r="B4195" s="4" t="s">
        <v>6942</v>
      </c>
      <c r="C4195" s="4" t="str">
        <f>IFERROR(__xludf.DUMMYFUNCTION("GOOGLETRANSLATE(D:D,""auto"",""en"")"),"Hubei 1 new confirmed cases")</f>
        <v>Hubei 1 new confirmed cases</v>
      </c>
      <c r="D4195" s="4" t="s">
        <v>7001</v>
      </c>
      <c r="E4195" s="4">
        <v>6522761.0</v>
      </c>
      <c r="F4195" s="4">
        <v>44.0</v>
      </c>
      <c r="G4195" s="4" t="s">
        <v>7002</v>
      </c>
    </row>
    <row r="4196">
      <c r="A4196" s="1">
        <v>4194.0</v>
      </c>
      <c r="B4196" s="4" t="s">
        <v>6942</v>
      </c>
      <c r="C4196" s="4" t="str">
        <f>IFERROR(__xludf.DUMMYFUNCTION("GOOGLETRANSLATE(D:D,""auto"",""en"")"),"Menghe Tang online looking eyebrows")</f>
        <v>Menghe Tang online looking eyebrows</v>
      </c>
      <c r="D4196" s="4" t="s">
        <v>6934</v>
      </c>
      <c r="E4196" s="4">
        <v>6522001.0</v>
      </c>
      <c r="F4196" s="4">
        <v>45.0</v>
      </c>
      <c r="G4196" s="4" t="s">
        <v>6935</v>
      </c>
    </row>
    <row r="4197">
      <c r="A4197" s="1">
        <v>4195.0</v>
      </c>
      <c r="B4197" s="4" t="s">
        <v>6942</v>
      </c>
      <c r="C4197" s="4" t="str">
        <f>IFERROR(__xludf.DUMMYFUNCTION("GOOGLETRANSLATE(D:D,""auto"",""en"")"),"Italy 1 patient cure")</f>
        <v>Italy 1 patient cure</v>
      </c>
      <c r="D4197" s="4" t="s">
        <v>7003</v>
      </c>
      <c r="E4197" s="4">
        <v>6491008.0</v>
      </c>
      <c r="F4197" s="4">
        <v>46.0</v>
      </c>
      <c r="G4197" s="4" t="s">
        <v>7004</v>
      </c>
    </row>
    <row r="4198">
      <c r="A4198" s="1">
        <v>4196.0</v>
      </c>
      <c r="B4198" s="4" t="s">
        <v>6942</v>
      </c>
      <c r="C4198" s="4" t="str">
        <f>IFERROR(__xludf.DUMMYFUNCTION("GOOGLETRANSLATE(D:D,""auto"",""en"")"),"Tokyo Olympic Games will be postponed to 2021")</f>
        <v>Tokyo Olympic Games will be postponed to 2021</v>
      </c>
      <c r="D4198" s="4" t="s">
        <v>7005</v>
      </c>
      <c r="E4198" s="4">
        <v>6386411.0</v>
      </c>
      <c r="F4198" s="4">
        <v>47.0</v>
      </c>
      <c r="G4198" s="4" t="s">
        <v>7006</v>
      </c>
    </row>
    <row r="4199">
      <c r="A4199" s="1">
        <v>4197.0</v>
      </c>
      <c r="B4199" s="4" t="s">
        <v>6942</v>
      </c>
      <c r="C4199" s="4" t="str">
        <f>IFERROR(__xludf.DUMMYFUNCTION("GOOGLETRANSLATE(D:D,""auto"",""en"")"),"Alibaba charter flights transporting 5.4 million masks")</f>
        <v>Alibaba charter flights transporting 5.4 million masks</v>
      </c>
      <c r="D4199" s="4" t="s">
        <v>7007</v>
      </c>
      <c r="E4199" s="4">
        <v>6381679.0</v>
      </c>
      <c r="F4199" s="4">
        <v>48.0</v>
      </c>
      <c r="G4199" s="4" t="s">
        <v>7008</v>
      </c>
    </row>
    <row r="4200">
      <c r="A4200" s="1">
        <v>4198.0</v>
      </c>
      <c r="B4200" s="4" t="s">
        <v>6942</v>
      </c>
      <c r="C4200" s="4" t="str">
        <f>IFERROR(__xludf.DUMMYFUNCTION("GOOGLETRANSLATE(D:D,""auto"",""en"")"),"Beijing to immigration officers all nucleic acid detection")</f>
        <v>Beijing to immigration officers all nucleic acid detection</v>
      </c>
      <c r="D4200" s="4" t="s">
        <v>7009</v>
      </c>
      <c r="E4200" s="4">
        <v>6350179.0</v>
      </c>
      <c r="F4200" s="4">
        <v>49.0</v>
      </c>
      <c r="G4200" s="4" t="s">
        <v>7010</v>
      </c>
    </row>
    <row r="4201">
      <c r="A4201" s="1">
        <v>4199.0</v>
      </c>
      <c r="B4201" s="4" t="s">
        <v>6942</v>
      </c>
      <c r="C4201" s="4" t="str">
        <f>IFERROR(__xludf.DUMMYFUNCTION("GOOGLETRANSLATE(D:D,""auto"",""en"")"),"Shanghai Hongqiao Airport suspended all overseas flights")</f>
        <v>Shanghai Hongqiao Airport suspended all overseas flights</v>
      </c>
      <c r="D4201" s="4" t="s">
        <v>7011</v>
      </c>
      <c r="E4201" s="4">
        <v>6224613.0</v>
      </c>
      <c r="F4201" s="4">
        <v>50.0</v>
      </c>
      <c r="G4201" s="4" t="s">
        <v>7012</v>
      </c>
    </row>
    <row r="4202">
      <c r="A4202" s="1">
        <v>4200.0</v>
      </c>
      <c r="B4202" s="4" t="s">
        <v>7013</v>
      </c>
      <c r="C4202" s="4" t="str">
        <f>IFERROR(__xludf.DUMMYFUNCTION("GOOGLETRANSLATE(D:D,""auto"",""en"")"),"Yu Shuxin transfiguration stern manager")</f>
        <v>Yu Shuxin transfiguration stern manager</v>
      </c>
      <c r="D4202" s="4" t="s">
        <v>7014</v>
      </c>
      <c r="E4202" s="4">
        <v>1.5347738E7</v>
      </c>
      <c r="F4202" s="4">
        <v>1.0</v>
      </c>
      <c r="G4202" s="4" t="s">
        <v>7015</v>
      </c>
    </row>
    <row r="4203">
      <c r="A4203" s="1">
        <v>4201.0</v>
      </c>
      <c r="B4203" s="4" t="s">
        <v>7013</v>
      </c>
      <c r="C4203" s="4" t="str">
        <f>IFERROR(__xludf.DUMMYFUNCTION("GOOGLETRANSLATE(D:D,""auto"",""en"")"),"Chen Ling Ye He fancy burp challenge")</f>
        <v>Chen Ling Ye He fancy burp challenge</v>
      </c>
      <c r="D4203" s="4" t="s">
        <v>7016</v>
      </c>
      <c r="E4203" s="4">
        <v>1.364408E7</v>
      </c>
      <c r="F4203" s="4">
        <v>2.0</v>
      </c>
      <c r="G4203" s="4" t="s">
        <v>7017</v>
      </c>
    </row>
    <row r="4204">
      <c r="A4204" s="1">
        <v>4202.0</v>
      </c>
      <c r="B4204" s="4" t="s">
        <v>7013</v>
      </c>
      <c r="C4204" s="4" t="str">
        <f>IFERROR(__xludf.DUMMYFUNCTION("GOOGLETRANSLATE(D:D,""auto"",""en"")"),"Mold and mildew in response to exposure Kanye call recording")</f>
        <v>Mold and mildew in response to exposure Kanye call recording</v>
      </c>
      <c r="D4204" s="4" t="s">
        <v>6947</v>
      </c>
      <c r="E4204" s="4">
        <v>1.3639997E7</v>
      </c>
      <c r="F4204" s="4">
        <v>3.0</v>
      </c>
      <c r="G4204" s="4" t="s">
        <v>6948</v>
      </c>
    </row>
    <row r="4205">
      <c r="A4205" s="1">
        <v>4203.0</v>
      </c>
      <c r="B4205" s="4" t="s">
        <v>7013</v>
      </c>
      <c r="C4205" s="4" t="str">
        <f>IFERROR(__xludf.DUMMYFUNCTION("GOOGLETRANSLATE(D:D,""auto"",""en"")"),"Yoon fajitas at a chew 121")</f>
        <v>Yoon fajitas at a chew 121</v>
      </c>
      <c r="D4205" s="4" t="s">
        <v>7018</v>
      </c>
      <c r="E4205" s="4">
        <v>1.2734676E7</v>
      </c>
      <c r="F4205" s="4">
        <v>4.0</v>
      </c>
      <c r="G4205" s="4" t="s">
        <v>7019</v>
      </c>
    </row>
    <row r="4206">
      <c r="A4206" s="1">
        <v>4204.0</v>
      </c>
      <c r="B4206" s="4" t="s">
        <v>7013</v>
      </c>
      <c r="C4206" s="4" t="str">
        <f>IFERROR(__xludf.DUMMYFUNCTION("GOOGLETRANSLATE(D:D,""auto"",""en"")"),"Hankou Railway Station disinfection Command C-bit brother found")</f>
        <v>Hankou Railway Station disinfection Command C-bit brother found</v>
      </c>
      <c r="D4206" s="4" t="s">
        <v>7020</v>
      </c>
      <c r="E4206" s="4">
        <v>1.2476382E7</v>
      </c>
      <c r="F4206" s="4">
        <v>5.0</v>
      </c>
      <c r="G4206" s="4" t="s">
        <v>7021</v>
      </c>
    </row>
    <row r="4207">
      <c r="A4207" s="1">
        <v>4205.0</v>
      </c>
      <c r="B4207" s="4" t="s">
        <v>7013</v>
      </c>
      <c r="C4207" s="4" t="str">
        <f>IFERROR(__xludf.DUMMYFUNCTION("GOOGLETRANSLATE(D:D,""auto"",""en"")"),"Spain men play their own dog stroll")</f>
        <v>Spain men play their own dog stroll</v>
      </c>
      <c r="D4207" s="4" t="s">
        <v>7022</v>
      </c>
      <c r="E4207" s="4">
        <v>1.1742812E7</v>
      </c>
      <c r="F4207" s="4">
        <v>6.0</v>
      </c>
      <c r="G4207" s="4" t="s">
        <v>7023</v>
      </c>
    </row>
    <row r="4208">
      <c r="A4208" s="1">
        <v>4206.0</v>
      </c>
      <c r="B4208" s="4" t="s">
        <v>7013</v>
      </c>
      <c r="C4208" s="4" t="str">
        <f>IFERROR(__xludf.DUMMYFUNCTION("GOOGLETRANSLATE(D:D,""auto"",""en"")"),"Xiamen handsome Dr. Xiao long siege")</f>
        <v>Xiamen handsome Dr. Xiao long siege</v>
      </c>
      <c r="D4208" s="4" t="s">
        <v>7024</v>
      </c>
      <c r="E4208" s="4">
        <v>1.1274439E7</v>
      </c>
      <c r="F4208" s="4">
        <v>7.0</v>
      </c>
      <c r="G4208" s="4" t="s">
        <v>7025</v>
      </c>
    </row>
    <row r="4209">
      <c r="A4209" s="1">
        <v>4207.0</v>
      </c>
      <c r="B4209" s="4" t="s">
        <v>7013</v>
      </c>
      <c r="C4209" s="4" t="str">
        <f>IFERROR(__xludf.DUMMYFUNCTION("GOOGLETRANSLATE(D:D,""auto"",""en"")"),"Shouted a promise I'm Chinese")</f>
        <v>Shouted a promise I'm Chinese</v>
      </c>
      <c r="D4209" s="4" t="s">
        <v>7026</v>
      </c>
      <c r="E4209" s="4">
        <v>1.1228271E7</v>
      </c>
      <c r="F4209" s="4">
        <v>8.0</v>
      </c>
      <c r="G4209" s="4" t="s">
        <v>7027</v>
      </c>
    </row>
    <row r="4210">
      <c r="A4210" s="1">
        <v>4208.0</v>
      </c>
      <c r="B4210" s="4" t="s">
        <v>7013</v>
      </c>
      <c r="C4210" s="4" t="str">
        <f>IFERROR(__xludf.DUMMYFUNCTION("GOOGLETRANSLATE(D:D,""auto"",""en"")"),"Are you sure young Remapping")</f>
        <v>Are you sure young Remapping</v>
      </c>
      <c r="D4210" s="4" t="s">
        <v>7028</v>
      </c>
      <c r="E4210" s="4">
        <v>1.099013E7</v>
      </c>
      <c r="F4210" s="4">
        <v>9.0</v>
      </c>
      <c r="G4210" s="4" t="s">
        <v>7029</v>
      </c>
    </row>
    <row r="4211">
      <c r="A4211" s="1">
        <v>4209.0</v>
      </c>
      <c r="B4211" s="4" t="s">
        <v>7013</v>
      </c>
      <c r="C4211" s="4" t="str">
        <f>IFERROR(__xludf.DUMMYFUNCTION("GOOGLETRANSLATE(D:D,""auto"",""en"")"),"Chen Linong cherry lying on clouds")</f>
        <v>Chen Linong cherry lying on clouds</v>
      </c>
      <c r="D4211" s="4" t="s">
        <v>6967</v>
      </c>
      <c r="E4211" s="4">
        <v>1.0770351E7</v>
      </c>
      <c r="F4211" s="4">
        <v>10.0</v>
      </c>
      <c r="G4211" s="4" t="s">
        <v>6968</v>
      </c>
    </row>
    <row r="4212">
      <c r="A4212" s="1">
        <v>4210.0</v>
      </c>
      <c r="B4212" s="4" t="s">
        <v>7013</v>
      </c>
      <c r="C4212" s="4" t="str">
        <f>IFERROR(__xludf.DUMMYFUNCTION("GOOGLETRANSLATE(D:D,""auto"",""en"")"),"Chongqing hail")</f>
        <v>Chongqing hail</v>
      </c>
      <c r="D4212" s="4" t="s">
        <v>7030</v>
      </c>
      <c r="E4212" s="4">
        <v>1.0627489E7</v>
      </c>
      <c r="F4212" s="4">
        <v>11.0</v>
      </c>
      <c r="G4212" s="4" t="s">
        <v>7031</v>
      </c>
    </row>
    <row r="4213">
      <c r="A4213" s="1">
        <v>4211.0</v>
      </c>
      <c r="B4213" s="4" t="s">
        <v>7013</v>
      </c>
      <c r="C4213" s="4" t="str">
        <f>IFERROR(__xludf.DUMMYFUNCTION("GOOGLETRANSLATE(D:D,""auto"",""en"")"),"Challenge upgraded version of seaweed dance")</f>
        <v>Challenge upgraded version of seaweed dance</v>
      </c>
      <c r="D4213" s="4" t="s">
        <v>7032</v>
      </c>
      <c r="E4213" s="4">
        <v>1.0005443E7</v>
      </c>
      <c r="F4213" s="4">
        <v>12.0</v>
      </c>
      <c r="G4213" s="4" t="s">
        <v>7033</v>
      </c>
    </row>
    <row r="4214">
      <c r="A4214" s="1">
        <v>4212.0</v>
      </c>
      <c r="B4214" s="4" t="s">
        <v>7013</v>
      </c>
      <c r="C4214" s="4" t="str">
        <f>IFERROR(__xludf.DUMMYFUNCTION("GOOGLETRANSLATE(D:D,""auto"",""en"")"),"Jackson Wang dance song")</f>
        <v>Jackson Wang dance song</v>
      </c>
      <c r="D4214" s="4" t="s">
        <v>7034</v>
      </c>
      <c r="E4214" s="4">
        <v>9091225.0</v>
      </c>
      <c r="F4214" s="4">
        <v>13.0</v>
      </c>
      <c r="G4214" s="4" t="s">
        <v>7035</v>
      </c>
    </row>
    <row r="4215">
      <c r="A4215" s="1">
        <v>4213.0</v>
      </c>
      <c r="B4215" s="4" t="s">
        <v>7013</v>
      </c>
      <c r="C4215" s="4" t="str">
        <f>IFERROR(__xludf.DUMMYFUNCTION("GOOGLETRANSLATE(D:D,""auto"",""en"")"),"Because the plane is sitting next to Hubei Ji landing is isolated")</f>
        <v>Because the plane is sitting next to Hubei Ji landing is isolated</v>
      </c>
      <c r="D4215" s="4" t="s">
        <v>7036</v>
      </c>
      <c r="E4215" s="4">
        <v>9077278.0</v>
      </c>
      <c r="F4215" s="4">
        <v>14.0</v>
      </c>
      <c r="G4215" s="4" t="s">
        <v>7037</v>
      </c>
    </row>
    <row r="4216">
      <c r="A4216" s="1">
        <v>4214.0</v>
      </c>
      <c r="B4216" s="4" t="s">
        <v>7013</v>
      </c>
      <c r="C4216" s="4" t="str">
        <f>IFERROR(__xludf.DUMMYFUNCTION("GOOGLETRANSLATE(D:D,""auto"",""en"")"),"I woke up this morning was 100 individuals Meme da What experience")</f>
        <v>I woke up this morning was 100 individuals Meme da What experience</v>
      </c>
      <c r="D4216" s="4" t="s">
        <v>6975</v>
      </c>
      <c r="E4216" s="4">
        <v>9045283.0</v>
      </c>
      <c r="F4216" s="4">
        <v>15.0</v>
      </c>
      <c r="G4216" s="4" t="s">
        <v>6976</v>
      </c>
    </row>
    <row r="4217">
      <c r="A4217" s="1">
        <v>4215.0</v>
      </c>
      <c r="B4217" s="4" t="s">
        <v>7013</v>
      </c>
      <c r="C4217" s="4" t="str">
        <f>IFERROR(__xludf.DUMMYFUNCTION("GOOGLETRANSLATE(D:D,""auto"",""en"")"),"King St. statement studio")</f>
        <v>King St. statement studio</v>
      </c>
      <c r="D4217" s="4" t="s">
        <v>6957</v>
      </c>
      <c r="E4217" s="4">
        <v>8799385.0</v>
      </c>
      <c r="F4217" s="4">
        <v>16.0</v>
      </c>
      <c r="G4217" s="4" t="s">
        <v>6958</v>
      </c>
    </row>
    <row r="4218">
      <c r="A4218" s="1">
        <v>4216.0</v>
      </c>
      <c r="B4218" s="4" t="s">
        <v>7013</v>
      </c>
      <c r="C4218" s="4" t="str">
        <f>IFERROR(__xludf.DUMMYFUNCTION("GOOGLETRANSLATE(D:D,""auto"",""en"")"),"Trump decided not to use the Chinese version virus")</f>
        <v>Trump decided not to use the Chinese version virus</v>
      </c>
      <c r="D4218" s="4" t="s">
        <v>7038</v>
      </c>
      <c r="E4218" s="4">
        <v>8707503.0</v>
      </c>
      <c r="F4218" s="4">
        <v>17.0</v>
      </c>
      <c r="G4218" s="4" t="s">
        <v>7039</v>
      </c>
    </row>
    <row r="4219">
      <c r="A4219" s="1">
        <v>4217.0</v>
      </c>
      <c r="B4219" s="4" t="s">
        <v>7013</v>
      </c>
      <c r="C4219" s="4" t="str">
        <f>IFERROR(__xludf.DUMMYFUNCTION("GOOGLETRANSLATE(D:D,""auto"",""en"")"),"Fashionable Identification Bureau")</f>
        <v>Fashionable Identification Bureau</v>
      </c>
      <c r="D4219" s="4" t="s">
        <v>7040</v>
      </c>
      <c r="E4219" s="4">
        <v>8395642.0</v>
      </c>
      <c r="F4219" s="4">
        <v>18.0</v>
      </c>
      <c r="G4219" s="4" t="s">
        <v>7041</v>
      </c>
    </row>
    <row r="4220">
      <c r="A4220" s="1">
        <v>4218.0</v>
      </c>
      <c r="B4220" s="4" t="s">
        <v>7013</v>
      </c>
      <c r="C4220" s="4" t="str">
        <f>IFERROR(__xludf.DUMMYFUNCTION("GOOGLETRANSLATE(D:D,""auto"",""en"")"),"Handong Jun straight men chase wife")</f>
        <v>Handong Jun straight men chase wife</v>
      </c>
      <c r="D4220" s="4" t="s">
        <v>6969</v>
      </c>
      <c r="E4220" s="4">
        <v>8322802.0</v>
      </c>
      <c r="F4220" s="4">
        <v>19.0</v>
      </c>
      <c r="G4220" s="4" t="s">
        <v>6970</v>
      </c>
    </row>
    <row r="4221">
      <c r="A4221" s="1">
        <v>4219.0</v>
      </c>
      <c r="B4221" s="4" t="s">
        <v>7013</v>
      </c>
      <c r="C4221" s="4" t="str">
        <f>IFERROR(__xludf.DUMMYFUNCTION("GOOGLETRANSLATE(D:D,""auto"",""en"")"),"Italian flag hangs China and Russia")</f>
        <v>Italian flag hangs China and Russia</v>
      </c>
      <c r="D4221" s="4" t="s">
        <v>7042</v>
      </c>
      <c r="E4221" s="4">
        <v>8268853.0</v>
      </c>
      <c r="F4221" s="4">
        <v>20.0</v>
      </c>
      <c r="G4221" s="4" t="s">
        <v>7043</v>
      </c>
    </row>
    <row r="4222">
      <c r="A4222" s="1">
        <v>4220.0</v>
      </c>
      <c r="B4222" s="4" t="s">
        <v>7013</v>
      </c>
      <c r="C4222" s="4" t="str">
        <f>IFERROR(__xludf.DUMMYFUNCTION("GOOGLETRANSLATE(D:D,""auto"",""en"")"),"Britain's Prince Charles nucleic acid testing positive")</f>
        <v>Britain's Prince Charles nucleic acid testing positive</v>
      </c>
      <c r="D4222" s="4" t="s">
        <v>7044</v>
      </c>
      <c r="E4222" s="4">
        <v>7996226.0</v>
      </c>
      <c r="F4222" s="4">
        <v>21.0</v>
      </c>
      <c r="G4222" s="4" t="s">
        <v>7045</v>
      </c>
    </row>
    <row r="4223">
      <c r="A4223" s="1">
        <v>4221.0</v>
      </c>
      <c r="B4223" s="4" t="s">
        <v>7013</v>
      </c>
      <c r="C4223" s="4" t="str">
        <f>IFERROR(__xludf.DUMMYFUNCTION("GOOGLETRANSLATE(D:D,""auto"",""en"")"),"Chen Yao seems to have seen this sister")</f>
        <v>Chen Yao seems to have seen this sister</v>
      </c>
      <c r="D4223" s="4" t="s">
        <v>7046</v>
      </c>
      <c r="E4223" s="4">
        <v>7714006.0</v>
      </c>
      <c r="F4223" s="4">
        <v>22.0</v>
      </c>
      <c r="G4223" s="4" t="s">
        <v>7047</v>
      </c>
    </row>
    <row r="4224">
      <c r="A4224" s="1">
        <v>4222.0</v>
      </c>
      <c r="B4224" s="4" t="s">
        <v>7013</v>
      </c>
      <c r="C4224" s="4" t="str">
        <f>IFERROR(__xludf.DUMMYFUNCTION("GOOGLETRANSLATE(D:D,""auto"",""en"")"),"Inner Mongolia of the family faucet")</f>
        <v>Inner Mongolia of the family faucet</v>
      </c>
      <c r="D4224" s="4" t="s">
        <v>6963</v>
      </c>
      <c r="E4224" s="4">
        <v>7671886.0</v>
      </c>
      <c r="F4224" s="4">
        <v>23.0</v>
      </c>
      <c r="G4224" s="4" t="s">
        <v>6964</v>
      </c>
    </row>
    <row r="4225">
      <c r="A4225" s="1">
        <v>4223.0</v>
      </c>
      <c r="B4225" s="4" t="s">
        <v>7013</v>
      </c>
      <c r="C4225" s="4" t="str">
        <f>IFERROR(__xludf.DUMMYFUNCTION("GOOGLETRANSLATE(D:D,""auto"",""en"")"),"Harvard University President couple new crown diagnosed with pneumonia")</f>
        <v>Harvard University President couple new crown diagnosed with pneumonia</v>
      </c>
      <c r="D4225" s="4" t="s">
        <v>7048</v>
      </c>
      <c r="E4225" s="4">
        <v>7428669.0</v>
      </c>
      <c r="F4225" s="4">
        <v>24.0</v>
      </c>
      <c r="G4225" s="4" t="s">
        <v>7049</v>
      </c>
    </row>
    <row r="4226">
      <c r="A4226" s="1">
        <v>4224.0</v>
      </c>
      <c r="B4226" s="4" t="s">
        <v>7013</v>
      </c>
      <c r="C4226" s="4" t="str">
        <f>IFERROR(__xludf.DUMMYFUNCTION("GOOGLETRANSLATE(D:D,""auto"",""en"")"),"Li Jiaqi red eyes")</f>
        <v>Li Jiaqi red eyes</v>
      </c>
      <c r="D4226" s="4" t="s">
        <v>6878</v>
      </c>
      <c r="E4226" s="4">
        <v>7386361.0</v>
      </c>
      <c r="F4226" s="4">
        <v>25.0</v>
      </c>
      <c r="G4226" s="4" t="s">
        <v>6879</v>
      </c>
    </row>
    <row r="4227">
      <c r="A4227" s="1">
        <v>4225.0</v>
      </c>
      <c r="B4227" s="4" t="s">
        <v>7013</v>
      </c>
      <c r="C4227" s="4" t="str">
        <f>IFERROR(__xludf.DUMMYFUNCTION("GOOGLETRANSLATE(D:D,""auto"",""en"")"),"Healthcare fans back to remind Zhou Zhennan mathematical formula")</f>
        <v>Healthcare fans back to remind Zhou Zhennan mathematical formula</v>
      </c>
      <c r="D4227" s="4" t="s">
        <v>7050</v>
      </c>
      <c r="E4227" s="4">
        <v>7354739.0</v>
      </c>
      <c r="F4227" s="4">
        <v>26.0</v>
      </c>
      <c r="G4227" s="4" t="s">
        <v>7051</v>
      </c>
    </row>
    <row r="4228">
      <c r="A4228" s="1">
        <v>4226.0</v>
      </c>
      <c r="B4228" s="4" t="s">
        <v>7013</v>
      </c>
      <c r="C4228" s="4" t="str">
        <f>IFERROR(__xludf.DUMMYFUNCTION("GOOGLETRANSLATE(D:D,""auto"",""en"")"),"Official Response woman returning row Chongqing Airport")</f>
        <v>Official Response woman returning row Chongqing Airport</v>
      </c>
      <c r="D4228" s="4" t="s">
        <v>6989</v>
      </c>
      <c r="E4228" s="4">
        <v>7200432.0</v>
      </c>
      <c r="F4228" s="4">
        <v>27.0</v>
      </c>
      <c r="G4228" s="4" t="s">
        <v>6990</v>
      </c>
    </row>
    <row r="4229">
      <c r="A4229" s="1">
        <v>4227.0</v>
      </c>
      <c r="B4229" s="4" t="s">
        <v>7013</v>
      </c>
      <c r="C4229" s="4" t="str">
        <f>IFERROR(__xludf.DUMMYFUNCTION("GOOGLETRANSLATE(D:D,""auto"",""en"")"),"Trump news conference to hear others hide low-grade fever seconds")</f>
        <v>Trump news conference to hear others hide low-grade fever seconds</v>
      </c>
      <c r="D4229" s="4" t="s">
        <v>6987</v>
      </c>
      <c r="E4229" s="4">
        <v>7196748.0</v>
      </c>
      <c r="F4229" s="4">
        <v>28.0</v>
      </c>
      <c r="G4229" s="4" t="s">
        <v>6988</v>
      </c>
    </row>
    <row r="4230">
      <c r="A4230" s="1">
        <v>4228.0</v>
      </c>
      <c r="B4230" s="4" t="s">
        <v>7013</v>
      </c>
      <c r="C4230" s="4" t="str">
        <f>IFERROR(__xludf.DUMMYFUNCTION("GOOGLETRANSLATE(D:D,""auto"",""en"")"),"Wheelchair-bound grandfather stood up to salute the medical team")</f>
        <v>Wheelchair-bound grandfather stood up to salute the medical team</v>
      </c>
      <c r="D4230" s="4" t="s">
        <v>7052</v>
      </c>
      <c r="E4230" s="4">
        <v>7003770.0</v>
      </c>
      <c r="F4230" s="4">
        <v>29.0</v>
      </c>
      <c r="G4230" s="4" t="s">
        <v>7053</v>
      </c>
    </row>
    <row r="4231">
      <c r="A4231" s="1">
        <v>4229.0</v>
      </c>
      <c r="B4231" s="4" t="s">
        <v>7013</v>
      </c>
      <c r="C4231" s="4" t="str">
        <f>IFERROR(__xludf.DUMMYFUNCTION("GOOGLETRANSLATE(D:D,""auto"",""en"")"),"James made a video celebrating Taco Tuesday")</f>
        <v>James made a video celebrating Taco Tuesday</v>
      </c>
      <c r="D4231" s="4" t="s">
        <v>7054</v>
      </c>
      <c r="E4231" s="4">
        <v>7000562.0</v>
      </c>
      <c r="F4231" s="4">
        <v>30.0</v>
      </c>
      <c r="G4231" s="4" t="s">
        <v>7055</v>
      </c>
    </row>
    <row r="4232">
      <c r="A4232" s="1">
        <v>4230.0</v>
      </c>
      <c r="B4232" s="4" t="s">
        <v>7013</v>
      </c>
      <c r="C4232" s="4" t="str">
        <f>IFERROR(__xludf.DUMMYFUNCTION("GOOGLETRANSLATE(D:D,""auto"",""en"")"),"US new virus hunter diagnosed with pneumonia crown")</f>
        <v>US new virus hunter diagnosed with pneumonia crown</v>
      </c>
      <c r="D4232" s="4" t="s">
        <v>7056</v>
      </c>
      <c r="E4232" s="4">
        <v>6986639.0</v>
      </c>
      <c r="F4232" s="4">
        <v>31.0</v>
      </c>
      <c r="G4232" s="4" t="s">
        <v>7057</v>
      </c>
    </row>
    <row r="4233">
      <c r="A4233" s="1">
        <v>4231.0</v>
      </c>
      <c r="B4233" s="4" t="s">
        <v>7013</v>
      </c>
      <c r="C4233" s="4" t="str">
        <f>IFERROR(__xludf.DUMMYFUNCTION("GOOGLETRANSLATE(D:D,""auto"",""en"")"),"Zhang Yixing help Beijing 2022 Olympic Winter Games")</f>
        <v>Zhang Yixing help Beijing 2022 Olympic Winter Games</v>
      </c>
      <c r="D4233" s="4" t="s">
        <v>6977</v>
      </c>
      <c r="E4233" s="4">
        <v>6976182.0</v>
      </c>
      <c r="F4233" s="4">
        <v>32.0</v>
      </c>
      <c r="G4233" s="4" t="s">
        <v>6978</v>
      </c>
    </row>
    <row r="4234">
      <c r="A4234" s="1">
        <v>4232.0</v>
      </c>
      <c r="B4234" s="4" t="s">
        <v>7013</v>
      </c>
      <c r="C4234" s="4" t="str">
        <f>IFERROR(__xludf.DUMMYFUNCTION("GOOGLETRANSLATE(D:D,""auto"",""en"")"),"Iran's new confirmed cases 2206 cases")</f>
        <v>Iran's new confirmed cases 2206 cases</v>
      </c>
      <c r="D4234" s="4" t="s">
        <v>7058</v>
      </c>
      <c r="E4234" s="4">
        <v>6962427.0</v>
      </c>
      <c r="F4234" s="4">
        <v>33.0</v>
      </c>
      <c r="G4234" s="4" t="s">
        <v>7059</v>
      </c>
    </row>
    <row r="4235">
      <c r="A4235" s="1">
        <v>4233.0</v>
      </c>
      <c r="B4235" s="4" t="s">
        <v>7013</v>
      </c>
      <c r="C4235" s="4" t="str">
        <f>IFERROR(__xludf.DUMMYFUNCTION("GOOGLETRANSLATE(D:D,""auto"",""en"")"),"Wuhan City to assess the epidemic risk level reduced")</f>
        <v>Wuhan City to assess the epidemic risk level reduced</v>
      </c>
      <c r="D4235" s="4" t="s">
        <v>7060</v>
      </c>
      <c r="E4235" s="4">
        <v>6917808.0</v>
      </c>
      <c r="F4235" s="4">
        <v>34.0</v>
      </c>
      <c r="G4235" s="4" t="s">
        <v>7061</v>
      </c>
    </row>
    <row r="4236">
      <c r="A4236" s="1">
        <v>4234.0</v>
      </c>
      <c r="B4236" s="4" t="s">
        <v>7013</v>
      </c>
      <c r="C4236" s="4" t="str">
        <f>IFERROR(__xludf.DUMMYFUNCTION("GOOGLETRANSLATE(D:D,""auto"",""en"")"),"Yu Shuxin Sicong")</f>
        <v>Yu Shuxin Sicong</v>
      </c>
      <c r="D4236" s="4" t="s">
        <v>6870</v>
      </c>
      <c r="E4236" s="4">
        <v>6909412.0</v>
      </c>
      <c r="F4236" s="4">
        <v>35.0</v>
      </c>
      <c r="G4236" s="4" t="s">
        <v>6871</v>
      </c>
    </row>
    <row r="4237">
      <c r="A4237" s="1">
        <v>4235.0</v>
      </c>
      <c r="B4237" s="4" t="s">
        <v>7013</v>
      </c>
      <c r="C4237" s="4" t="str">
        <f>IFERROR(__xludf.DUMMYFUNCTION("GOOGLETRANSLATE(D:D,""auto"",""en"")"),"Business owners eat play tidbits")</f>
        <v>Business owners eat play tidbits</v>
      </c>
      <c r="D4237" s="4" t="s">
        <v>7062</v>
      </c>
      <c r="E4237" s="4">
        <v>6892941.0</v>
      </c>
      <c r="F4237" s="4">
        <v>36.0</v>
      </c>
      <c r="G4237" s="4" t="s">
        <v>7063</v>
      </c>
    </row>
    <row r="4238">
      <c r="A4238" s="1">
        <v>4236.0</v>
      </c>
      <c r="B4238" s="4" t="s">
        <v>7013</v>
      </c>
      <c r="C4238" s="4" t="str">
        <f>IFERROR(__xludf.DUMMYFUNCTION("GOOGLETRANSLATE(D:D,""auto"",""en"")"),"Zhang Ni overbought Chengdu buy Villa")</f>
        <v>Zhang Ni overbought Chengdu buy Villa</v>
      </c>
      <c r="D4238" s="4" t="s">
        <v>6955</v>
      </c>
      <c r="E4238" s="4">
        <v>6786263.0</v>
      </c>
      <c r="F4238" s="4">
        <v>37.0</v>
      </c>
      <c r="G4238" s="4" t="s">
        <v>6956</v>
      </c>
    </row>
    <row r="4239">
      <c r="A4239" s="1">
        <v>4237.0</v>
      </c>
      <c r="B4239" s="4" t="s">
        <v>7013</v>
      </c>
      <c r="C4239" s="4" t="str">
        <f>IFERROR(__xludf.DUMMYFUNCTION("GOOGLETRANSLATE(D:D,""auto"",""en"")"),"WHO says the United States may become the epicenter of the global epidemic")</f>
        <v>WHO says the United States may become the epicenter of the global epidemic</v>
      </c>
      <c r="D4239" s="4" t="s">
        <v>7064</v>
      </c>
      <c r="E4239" s="4">
        <v>6773470.0</v>
      </c>
      <c r="F4239" s="4">
        <v>38.0</v>
      </c>
      <c r="G4239" s="4" t="s">
        <v>7065</v>
      </c>
    </row>
    <row r="4240">
      <c r="A4240" s="1">
        <v>4238.0</v>
      </c>
      <c r="B4240" s="4" t="s">
        <v>7013</v>
      </c>
      <c r="C4240" s="4" t="str">
        <f>IFERROR(__xludf.DUMMYFUNCTION("GOOGLETRANSLATE(D:D,""auto"",""en"")"),"National new confirmed cases of 47 cases")</f>
        <v>National new confirmed cases of 47 cases</v>
      </c>
      <c r="D4240" s="4" t="s">
        <v>7066</v>
      </c>
      <c r="E4240" s="4">
        <v>6691490.0</v>
      </c>
      <c r="F4240" s="4">
        <v>39.0</v>
      </c>
      <c r="G4240" s="4" t="s">
        <v>7067</v>
      </c>
    </row>
    <row r="4241">
      <c r="A4241" s="1">
        <v>4239.0</v>
      </c>
      <c r="B4241" s="4" t="s">
        <v>7013</v>
      </c>
      <c r="C4241" s="4" t="str">
        <f>IFERROR(__xludf.DUMMYFUNCTION("GOOGLETRANSLATE(D:D,""auto"",""en"")"),"Sydney rock sugar stew overseas drama name")</f>
        <v>Sydney rock sugar stew overseas drama name</v>
      </c>
      <c r="D4241" s="4" t="s">
        <v>7068</v>
      </c>
      <c r="E4241" s="4">
        <v>6645819.0</v>
      </c>
      <c r="F4241" s="4">
        <v>40.0</v>
      </c>
      <c r="G4241" s="4" t="s">
        <v>7069</v>
      </c>
    </row>
    <row r="4242">
      <c r="A4242" s="1">
        <v>4240.0</v>
      </c>
      <c r="B4242" s="4" t="s">
        <v>7013</v>
      </c>
      <c r="C4242" s="4" t="str">
        <f>IFERROR(__xludf.DUMMYFUNCTION("GOOGLETRANSLATE(D:D,""auto"",""en"")"),"Yi Xi smelt one thousand ZhouDongYu")</f>
        <v>Yi Xi smelt one thousand ZhouDongYu</v>
      </c>
      <c r="D4242" s="4" t="s">
        <v>7070</v>
      </c>
      <c r="E4242" s="4">
        <v>6642421.0</v>
      </c>
      <c r="F4242" s="4">
        <v>41.0</v>
      </c>
      <c r="G4242" s="4" t="s">
        <v>7071</v>
      </c>
    </row>
    <row r="4243">
      <c r="A4243" s="1">
        <v>4241.0</v>
      </c>
      <c r="B4243" s="4" t="s">
        <v>7013</v>
      </c>
      <c r="C4243" s="4" t="str">
        <f>IFERROR(__xludf.DUMMYFUNCTION("GOOGLETRANSLATE(D:D,""auto"",""en"")"),"p community prosecution Zhoujie Qiong")</f>
        <v>p community prosecution Zhoujie Qiong</v>
      </c>
      <c r="D4243" s="4" t="s">
        <v>7072</v>
      </c>
      <c r="E4243" s="4">
        <v>6620313.0</v>
      </c>
      <c r="F4243" s="4">
        <v>42.0</v>
      </c>
      <c r="G4243" s="4" t="s">
        <v>7073</v>
      </c>
    </row>
    <row r="4244">
      <c r="A4244" s="1">
        <v>4242.0</v>
      </c>
      <c r="B4244" s="4" t="s">
        <v>7013</v>
      </c>
      <c r="C4244" s="4" t="str">
        <f>IFERROR(__xludf.DUMMYFUNCTION("GOOGLETRANSLATE(D:D,""auto"",""en"")"),"Zhao Yi Huan published romance")</f>
        <v>Zhao Yi Huan published romance</v>
      </c>
      <c r="D4244" s="4" t="s">
        <v>7074</v>
      </c>
      <c r="E4244" s="4">
        <v>6478020.0</v>
      </c>
      <c r="F4244" s="4">
        <v>43.0</v>
      </c>
      <c r="G4244" s="4" t="s">
        <v>7075</v>
      </c>
    </row>
    <row r="4245">
      <c r="A4245" s="1">
        <v>4243.0</v>
      </c>
      <c r="B4245" s="4" t="s">
        <v>7013</v>
      </c>
      <c r="C4245" s="4" t="str">
        <f>IFERROR(__xludf.DUMMYFUNCTION("GOOGLETRANSLATE(D:D,""auto"",""en"")"),"Small fox broke into the nursery is considered a specimen")</f>
        <v>Small fox broke into the nursery is considered a specimen</v>
      </c>
      <c r="D4245" s="4" t="s">
        <v>6959</v>
      </c>
      <c r="E4245" s="4">
        <v>6414938.0</v>
      </c>
      <c r="F4245" s="4">
        <v>44.0</v>
      </c>
      <c r="G4245" s="4" t="s">
        <v>6960</v>
      </c>
    </row>
    <row r="4246">
      <c r="A4246" s="1">
        <v>4244.0</v>
      </c>
      <c r="B4246" s="4" t="s">
        <v>7013</v>
      </c>
      <c r="C4246" s="4" t="str">
        <f>IFERROR(__xludf.DUMMYFUNCTION("GOOGLETRANSLATE(D:D,""auto"",""en"")"),"Qu Yun's death")</f>
        <v>Qu Yun's death</v>
      </c>
      <c r="D4246" s="4" t="s">
        <v>7076</v>
      </c>
      <c r="E4246" s="4">
        <v>6380932.0</v>
      </c>
      <c r="F4246" s="4">
        <v>45.0</v>
      </c>
      <c r="G4246" s="4" t="s">
        <v>7077</v>
      </c>
    </row>
    <row r="4247">
      <c r="A4247" s="1">
        <v>4245.0</v>
      </c>
      <c r="B4247" s="4" t="s">
        <v>7013</v>
      </c>
      <c r="C4247" s="4" t="str">
        <f>IFERROR(__xludf.DUMMYFUNCTION("GOOGLETRANSLATE(D:D,""auto"",""en"")"),"Wuhan Contagion panoramic documentary City of Heroes")</f>
        <v>Wuhan Contagion panoramic documentary City of Heroes</v>
      </c>
      <c r="D4247" s="4" t="s">
        <v>7078</v>
      </c>
      <c r="E4247" s="4">
        <v>6370553.0</v>
      </c>
      <c r="F4247" s="4">
        <v>46.0</v>
      </c>
      <c r="G4247" s="4" t="s">
        <v>7079</v>
      </c>
    </row>
    <row r="4248">
      <c r="A4248" s="1">
        <v>4246.0</v>
      </c>
      <c r="B4248" s="4" t="s">
        <v>7013</v>
      </c>
      <c r="C4248" s="4" t="str">
        <f>IFERROR(__xludf.DUMMYFUNCTION("GOOGLETRANSLATE(D:D,""auto"",""en"")"),"Trey Young hearts five NBA history")</f>
        <v>Trey Young hearts five NBA history</v>
      </c>
      <c r="D4248" s="4" t="s">
        <v>7080</v>
      </c>
      <c r="E4248" s="4">
        <v>6359043.0</v>
      </c>
      <c r="F4248" s="4">
        <v>47.0</v>
      </c>
      <c r="G4248" s="4" t="s">
        <v>7081</v>
      </c>
    </row>
    <row r="4249">
      <c r="A4249" s="1">
        <v>4247.0</v>
      </c>
      <c r="B4249" s="4" t="s">
        <v>7013</v>
      </c>
      <c r="C4249" s="4" t="str">
        <f>IFERROR(__xludf.DUMMYFUNCTION("GOOGLETRANSLATE(D:D,""auto"",""en"")"),"Ren Jialun copy")</f>
        <v>Ren Jialun copy</v>
      </c>
      <c r="D4249" s="4" t="s">
        <v>7082</v>
      </c>
      <c r="E4249" s="4">
        <v>6280363.0</v>
      </c>
      <c r="F4249" s="4">
        <v>48.0</v>
      </c>
      <c r="G4249" s="4" t="s">
        <v>7083</v>
      </c>
    </row>
    <row r="4250">
      <c r="A4250" s="1">
        <v>4248.0</v>
      </c>
      <c r="B4250" s="4" t="s">
        <v>7013</v>
      </c>
      <c r="C4250" s="4" t="str">
        <f>IFERROR(__xludf.DUMMYFUNCTION("GOOGLETRANSLATE(D:D,""auto"",""en"")"),"Serbian President praised China is a good friend 3 years ago")</f>
        <v>Serbian President praised China is a good friend 3 years ago</v>
      </c>
      <c r="D4250" s="4" t="s">
        <v>6888</v>
      </c>
      <c r="E4250" s="4">
        <v>6277073.0</v>
      </c>
      <c r="F4250" s="4">
        <v>49.0</v>
      </c>
      <c r="G4250" s="4" t="s">
        <v>6889</v>
      </c>
    </row>
    <row r="4251">
      <c r="A4251" s="1">
        <v>4249.0</v>
      </c>
      <c r="B4251" s="4" t="s">
        <v>7013</v>
      </c>
      <c r="C4251" s="4" t="str">
        <f>IFERROR(__xludf.DUMMYFUNCTION("GOOGLETRANSLATE(D:D,""auto"",""en"")"),"In addition to Wuhan, Hubei restore passenger rail")</f>
        <v>In addition to Wuhan, Hubei restore passenger rail</v>
      </c>
      <c r="D4251" s="4" t="s">
        <v>7084</v>
      </c>
      <c r="E4251" s="4">
        <v>6265687.0</v>
      </c>
      <c r="F4251" s="4">
        <v>50.0</v>
      </c>
      <c r="G4251" s="4" t="s">
        <v>7085</v>
      </c>
    </row>
    <row r="4252">
      <c r="A4252" s="1">
        <v>4250.0</v>
      </c>
      <c r="B4252" s="4" t="s">
        <v>7086</v>
      </c>
      <c r="C4252" s="4" t="str">
        <f>IFERROR(__xludf.DUMMYFUNCTION("GOOGLETRANSLATE(D:D,""auto"",""en"")"),"Cai Xu Kun 3D large")</f>
        <v>Cai Xu Kun 3D large</v>
      </c>
      <c r="D4252" s="4" t="s">
        <v>7087</v>
      </c>
      <c r="E4252" s="4">
        <v>9803474.0</v>
      </c>
      <c r="F4252" s="4">
        <v>1.0</v>
      </c>
      <c r="G4252" s="4" t="s">
        <v>7088</v>
      </c>
    </row>
    <row r="4253">
      <c r="A4253" s="1">
        <v>4251.0</v>
      </c>
      <c r="B4253" s="4" t="s">
        <v>7086</v>
      </c>
      <c r="C4253" s="4" t="str">
        <f>IFERROR(__xludf.DUMMYFUNCTION("GOOGLETRANSLATE(D:D,""auto"",""en"")"),"Jackson Wang 100ways teleport")</f>
        <v>Jackson Wang 100ways teleport</v>
      </c>
      <c r="D4253" s="4" t="s">
        <v>7089</v>
      </c>
      <c r="E4253" s="4">
        <v>9713594.0</v>
      </c>
      <c r="F4253" s="4">
        <v>2.0</v>
      </c>
      <c r="G4253" s="4" t="s">
        <v>7090</v>
      </c>
    </row>
    <row r="4254">
      <c r="A4254" s="1">
        <v>4252.0</v>
      </c>
      <c r="B4254" s="4" t="s">
        <v>7086</v>
      </c>
      <c r="C4254" s="4" t="str">
        <f>IFERROR(__xludf.DUMMYFUNCTION("GOOGLETRANSLATE(D:D,""auto"",""en"")"),"Ministry of Foreign Affairs hotline is close to 7 Wantong phone")</f>
        <v>Ministry of Foreign Affairs hotline is close to 7 Wantong phone</v>
      </c>
      <c r="D4254" s="4" t="s">
        <v>7091</v>
      </c>
      <c r="E4254" s="4">
        <v>9646322.0</v>
      </c>
      <c r="F4254" s="4">
        <v>3.0</v>
      </c>
      <c r="G4254" s="4" t="s">
        <v>7092</v>
      </c>
    </row>
    <row r="4255">
      <c r="A4255" s="1">
        <v>4253.0</v>
      </c>
      <c r="B4255" s="4" t="s">
        <v>7086</v>
      </c>
      <c r="C4255" s="4" t="str">
        <f>IFERROR(__xludf.DUMMYFUNCTION("GOOGLETRANSLATE(D:D,""auto"",""en"")"),"Zhao Yi Huan published romance")</f>
        <v>Zhao Yi Huan published romance</v>
      </c>
      <c r="D4255" s="4" t="s">
        <v>7074</v>
      </c>
      <c r="E4255" s="4">
        <v>9566202.0</v>
      </c>
      <c r="F4255" s="4">
        <v>4.0</v>
      </c>
      <c r="G4255" s="4" t="s">
        <v>7075</v>
      </c>
    </row>
    <row r="4256">
      <c r="A4256" s="1">
        <v>4254.0</v>
      </c>
      <c r="B4256" s="4" t="s">
        <v>7086</v>
      </c>
      <c r="C4256" s="4" t="str">
        <f>IFERROR(__xludf.DUMMYFUNCTION("GOOGLETRANSLATE(D:D,""auto"",""en"")"),"The site of a suspected underground, Guangdong dug a car")</f>
        <v>The site of a suspected underground, Guangdong dug a car</v>
      </c>
      <c r="D4256" s="4" t="s">
        <v>7093</v>
      </c>
      <c r="E4256" s="4">
        <v>9551559.0</v>
      </c>
      <c r="F4256" s="4">
        <v>5.0</v>
      </c>
      <c r="G4256" s="4" t="s">
        <v>7094</v>
      </c>
    </row>
    <row r="4257">
      <c r="A4257" s="1">
        <v>4255.0</v>
      </c>
      <c r="B4257" s="4" t="s">
        <v>7086</v>
      </c>
      <c r="C4257" s="4" t="str">
        <f>IFERROR(__xludf.DUMMYFUNCTION("GOOGLETRANSLATE(D:D,""auto"",""en"")"),"Wuling Automobile started production snail powder")</f>
        <v>Wuling Automobile started production snail powder</v>
      </c>
      <c r="D4257" s="4" t="s">
        <v>7095</v>
      </c>
      <c r="E4257" s="4">
        <v>9479884.0</v>
      </c>
      <c r="F4257" s="4">
        <v>6.0</v>
      </c>
      <c r="G4257" s="4" t="s">
        <v>7096</v>
      </c>
    </row>
    <row r="4258">
      <c r="A4258" s="1">
        <v>4256.0</v>
      </c>
      <c r="B4258" s="4" t="s">
        <v>7086</v>
      </c>
      <c r="C4258" s="4" t="str">
        <f>IFERROR(__xludf.DUMMYFUNCTION("GOOGLETRANSLATE(D:D,""auto"",""en"")"),"Chen Ling Ye He fancy burp challenge")</f>
        <v>Chen Ling Ye He fancy burp challenge</v>
      </c>
      <c r="D4258" s="4" t="s">
        <v>7016</v>
      </c>
      <c r="E4258" s="4">
        <v>9196293.0</v>
      </c>
      <c r="F4258" s="4">
        <v>7.0</v>
      </c>
      <c r="G4258" s="4" t="s">
        <v>7017</v>
      </c>
    </row>
    <row r="4259">
      <c r="A4259" s="1">
        <v>4257.0</v>
      </c>
      <c r="B4259" s="4" t="s">
        <v>7086</v>
      </c>
      <c r="C4259" s="4" t="str">
        <f>IFERROR(__xludf.DUMMYFUNCTION("GOOGLETRANSLATE(D:D,""auto"",""en"")"),"Cat derailment site")</f>
        <v>Cat derailment site</v>
      </c>
      <c r="D4259" s="4" t="s">
        <v>7097</v>
      </c>
      <c r="E4259" s="4">
        <v>9017496.0</v>
      </c>
      <c r="F4259" s="4">
        <v>8.0</v>
      </c>
      <c r="G4259" s="4" t="s">
        <v>7098</v>
      </c>
    </row>
    <row r="4260">
      <c r="A4260" s="1">
        <v>4258.0</v>
      </c>
      <c r="B4260" s="4" t="s">
        <v>7086</v>
      </c>
      <c r="C4260" s="4" t="str">
        <f>IFERROR(__xludf.DUMMYFUNCTION("GOOGLETRANSLATE(D:D,""auto"",""en"")"),"Because the plane is sitting next to Hubei Ji landing is isolated")</f>
        <v>Because the plane is sitting next to Hubei Ji landing is isolated</v>
      </c>
      <c r="D4260" s="4" t="s">
        <v>7036</v>
      </c>
      <c r="E4260" s="4">
        <v>8869512.0</v>
      </c>
      <c r="F4260" s="4">
        <v>9.0</v>
      </c>
      <c r="G4260" s="4" t="s">
        <v>7037</v>
      </c>
    </row>
    <row r="4261">
      <c r="A4261" s="1">
        <v>4259.0</v>
      </c>
      <c r="B4261" s="4" t="s">
        <v>7086</v>
      </c>
      <c r="C4261" s="4" t="str">
        <f>IFERROR(__xludf.DUMMYFUNCTION("GOOGLETRANSLATE(D:D,""auto"",""en"")"),"Fashionable Identification Bureau")</f>
        <v>Fashionable Identification Bureau</v>
      </c>
      <c r="D4261" s="4" t="s">
        <v>7040</v>
      </c>
      <c r="E4261" s="4">
        <v>8845203.0</v>
      </c>
      <c r="F4261" s="4">
        <v>10.0</v>
      </c>
      <c r="G4261" s="4" t="s">
        <v>7041</v>
      </c>
    </row>
    <row r="4262">
      <c r="A4262" s="1">
        <v>4260.0</v>
      </c>
      <c r="B4262" s="4" t="s">
        <v>7086</v>
      </c>
      <c r="C4262" s="4" t="str">
        <f>IFERROR(__xludf.DUMMYFUNCTION("GOOGLETRANSLATE(D:D,""auto"",""en"")"),"Overheating official declared vibrato live")</f>
        <v>Overheating official declared vibrato live</v>
      </c>
      <c r="D4262" s="4" t="s">
        <v>7099</v>
      </c>
      <c r="E4262" s="4">
        <v>8843865.0</v>
      </c>
      <c r="F4262" s="4">
        <v>11.0</v>
      </c>
      <c r="G4262" s="4" t="s">
        <v>7100</v>
      </c>
    </row>
    <row r="4263">
      <c r="A4263" s="1">
        <v>4261.0</v>
      </c>
      <c r="B4263" s="4" t="s">
        <v>7086</v>
      </c>
      <c r="C4263" s="4" t="str">
        <f>IFERROR(__xludf.DUMMYFUNCTION("GOOGLETRANSLATE(D:D,""auto"",""en"")"),"Challenge upgraded version of seaweed dance")</f>
        <v>Challenge upgraded version of seaweed dance</v>
      </c>
      <c r="D4263" s="4" t="s">
        <v>7032</v>
      </c>
      <c r="E4263" s="4">
        <v>8161321.0</v>
      </c>
      <c r="F4263" s="4">
        <v>12.0</v>
      </c>
      <c r="G4263" s="4" t="s">
        <v>7033</v>
      </c>
    </row>
    <row r="4264">
      <c r="A4264" s="1">
        <v>4262.0</v>
      </c>
      <c r="B4264" s="4" t="s">
        <v>7086</v>
      </c>
      <c r="C4264" s="4" t="str">
        <f>IFERROR(__xludf.DUMMYFUNCTION("GOOGLETRANSLATE(D:D,""auto"",""en"")"),"Yoon fajitas at a chew 121")</f>
        <v>Yoon fajitas at a chew 121</v>
      </c>
      <c r="D4264" s="4" t="s">
        <v>7018</v>
      </c>
      <c r="E4264" s="4">
        <v>8140900.0</v>
      </c>
      <c r="F4264" s="4">
        <v>13.0</v>
      </c>
      <c r="G4264" s="4" t="s">
        <v>7019</v>
      </c>
    </row>
    <row r="4265">
      <c r="A4265" s="1">
        <v>4263.0</v>
      </c>
      <c r="B4265" s="4" t="s">
        <v>7086</v>
      </c>
      <c r="C4265" s="4" t="str">
        <f>IFERROR(__xludf.DUMMYFUNCTION("GOOGLETRANSLATE(D:D,""auto"",""en"")"),"Good health was new tricks")</f>
        <v>Good health was new tricks</v>
      </c>
      <c r="D4265" s="4" t="s">
        <v>7101</v>
      </c>
      <c r="E4265" s="4">
        <v>8130106.0</v>
      </c>
      <c r="F4265" s="4">
        <v>14.0</v>
      </c>
      <c r="G4265" s="4" t="s">
        <v>7102</v>
      </c>
    </row>
    <row r="4266">
      <c r="A4266" s="1">
        <v>4264.0</v>
      </c>
      <c r="B4266" s="4" t="s">
        <v>7086</v>
      </c>
      <c r="C4266" s="4" t="str">
        <f>IFERROR(__xludf.DUMMYFUNCTION("GOOGLETRANSLATE(D:D,""auto"",""en"")"),"City of Heroes")</f>
        <v>City of Heroes</v>
      </c>
      <c r="D4266" s="4" t="s">
        <v>7103</v>
      </c>
      <c r="E4266" s="4">
        <v>8047681.0</v>
      </c>
      <c r="F4266" s="4">
        <v>15.0</v>
      </c>
      <c r="G4266" s="4" t="s">
        <v>7104</v>
      </c>
    </row>
    <row r="4267">
      <c r="A4267" s="1">
        <v>4265.0</v>
      </c>
      <c r="B4267" s="4" t="s">
        <v>7086</v>
      </c>
      <c r="C4267" s="4" t="str">
        <f>IFERROR(__xludf.DUMMYFUNCTION("GOOGLETRANSLATE(D:D,""auto"",""en"")"),"Zhang Weili stranded American homesick tears")</f>
        <v>Zhang Weili stranded American homesick tears</v>
      </c>
      <c r="D4267" s="4" t="s">
        <v>7105</v>
      </c>
      <c r="E4267" s="4">
        <v>7867781.0</v>
      </c>
      <c r="F4267" s="4">
        <v>16.0</v>
      </c>
      <c r="G4267" s="4" t="s">
        <v>7106</v>
      </c>
    </row>
    <row r="4268">
      <c r="A4268" s="1">
        <v>4266.0</v>
      </c>
      <c r="B4268" s="4" t="s">
        <v>7086</v>
      </c>
      <c r="C4268" s="4" t="str">
        <f>IFERROR(__xludf.DUMMYFUNCTION("GOOGLETRANSLATE(D:D,""auto"",""en"")"),"Delayed opening of contemporary college students")</f>
        <v>Delayed opening of contemporary college students</v>
      </c>
      <c r="D4268" s="4" t="s">
        <v>7107</v>
      </c>
      <c r="E4268" s="4">
        <v>7819188.0</v>
      </c>
      <c r="F4268" s="4">
        <v>17.0</v>
      </c>
      <c r="G4268" s="4" t="s">
        <v>7108</v>
      </c>
    </row>
    <row r="4269">
      <c r="A4269" s="1">
        <v>4267.0</v>
      </c>
      <c r="B4269" s="4" t="s">
        <v>7086</v>
      </c>
      <c r="C4269" s="4" t="str">
        <f>IFERROR(__xludf.DUMMYFUNCTION("GOOGLETRANSLATE(D:D,""auto"",""en"")"),"Are you sure young Remapping")</f>
        <v>Are you sure young Remapping</v>
      </c>
      <c r="D4269" s="4" t="s">
        <v>7028</v>
      </c>
      <c r="E4269" s="4">
        <v>7811245.0</v>
      </c>
      <c r="F4269" s="4">
        <v>18.0</v>
      </c>
      <c r="G4269" s="4" t="s">
        <v>7029</v>
      </c>
    </row>
    <row r="4270">
      <c r="A4270" s="1">
        <v>4268.0</v>
      </c>
      <c r="B4270" s="4" t="s">
        <v>7086</v>
      </c>
      <c r="C4270" s="4" t="str">
        <f>IFERROR(__xludf.DUMMYFUNCTION("GOOGLETRANSLATE(D:D,""auto"",""en"")"),"I woke up this morning was 100 individuals Meme da What experience")</f>
        <v>I woke up this morning was 100 individuals Meme da What experience</v>
      </c>
      <c r="D4270" s="4" t="s">
        <v>6975</v>
      </c>
      <c r="E4270" s="4">
        <v>7752857.0</v>
      </c>
      <c r="F4270" s="4">
        <v>19.0</v>
      </c>
      <c r="G4270" s="4" t="s">
        <v>6976</v>
      </c>
    </row>
    <row r="4271">
      <c r="A4271" s="1">
        <v>4269.0</v>
      </c>
      <c r="B4271" s="4" t="s">
        <v>7086</v>
      </c>
      <c r="C4271" s="4" t="str">
        <f>IFERROR(__xludf.DUMMYFUNCTION("GOOGLETRANSLATE(D:D,""auto"",""en"")"),"When your vibrato is flop Liu Yifei")</f>
        <v>When your vibrato is flop Liu Yifei</v>
      </c>
      <c r="D4271" s="4" t="s">
        <v>7109</v>
      </c>
      <c r="E4271" s="4">
        <v>7750644.0</v>
      </c>
      <c r="F4271" s="4">
        <v>20.0</v>
      </c>
      <c r="G4271" s="4" t="s">
        <v>7110</v>
      </c>
    </row>
    <row r="4272">
      <c r="A4272" s="1">
        <v>4270.0</v>
      </c>
      <c r="B4272" s="4" t="s">
        <v>7086</v>
      </c>
      <c r="C4272" s="4" t="str">
        <f>IFERROR(__xludf.DUMMYFUNCTION("GOOGLETRANSLATE(D:D,""auto"",""en"")"),"Mold and mildew in response to exposure Kanye call recording")</f>
        <v>Mold and mildew in response to exposure Kanye call recording</v>
      </c>
      <c r="D4272" s="4" t="s">
        <v>6947</v>
      </c>
      <c r="E4272" s="4">
        <v>7622879.0</v>
      </c>
      <c r="F4272" s="4">
        <v>21.0</v>
      </c>
      <c r="G4272" s="4" t="s">
        <v>6948</v>
      </c>
    </row>
    <row r="4273">
      <c r="A4273" s="1">
        <v>4271.0</v>
      </c>
      <c r="B4273" s="4" t="s">
        <v>7086</v>
      </c>
      <c r="C4273" s="4" t="str">
        <f>IFERROR(__xludf.DUMMYFUNCTION("GOOGLETRANSLATE(D:D,""auto"",""en"")"),"Xiamen handsome Dr. Xiao long siege")</f>
        <v>Xiamen handsome Dr. Xiao long siege</v>
      </c>
      <c r="D4273" s="4" t="s">
        <v>7024</v>
      </c>
      <c r="E4273" s="4">
        <v>7607579.0</v>
      </c>
      <c r="F4273" s="4">
        <v>22.0</v>
      </c>
      <c r="G4273" s="4" t="s">
        <v>7025</v>
      </c>
    </row>
    <row r="4274">
      <c r="A4274" s="1">
        <v>4272.0</v>
      </c>
      <c r="B4274" s="4" t="s">
        <v>7086</v>
      </c>
      <c r="C4274" s="4" t="str">
        <f>IFERROR(__xludf.DUMMYFUNCTION("GOOGLETRANSLATE(D:D,""auto"",""en"")"),"Site construction dug follow-up car")</f>
        <v>Site construction dug follow-up car</v>
      </c>
      <c r="D4274" s="4" t="s">
        <v>7111</v>
      </c>
      <c r="E4274" s="4">
        <v>7492523.0</v>
      </c>
      <c r="F4274" s="4">
        <v>23.0</v>
      </c>
      <c r="G4274" s="4" t="s">
        <v>7112</v>
      </c>
    </row>
    <row r="4275">
      <c r="A4275" s="1">
        <v>4273.0</v>
      </c>
      <c r="B4275" s="4" t="s">
        <v>7086</v>
      </c>
      <c r="C4275" s="4" t="str">
        <f>IFERROR(__xludf.DUMMYFUNCTION("GOOGLETRANSLATE(D:D,""auto"",""en"")"),"Jiangsu, a university without having to return to school this semester")</f>
        <v>Jiangsu, a university without having to return to school this semester</v>
      </c>
      <c r="D4275" s="4" t="s">
        <v>7113</v>
      </c>
      <c r="E4275" s="4">
        <v>7292053.0</v>
      </c>
      <c r="F4275" s="4">
        <v>24.0</v>
      </c>
      <c r="G4275" s="4" t="s">
        <v>7114</v>
      </c>
    </row>
    <row r="4276">
      <c r="A4276" s="1">
        <v>4274.0</v>
      </c>
      <c r="B4276" s="4" t="s">
        <v>7086</v>
      </c>
      <c r="C4276" s="4" t="str">
        <f>IFERROR(__xludf.DUMMYFUNCTION("GOOGLETRANSLATE(D:D,""auto"",""en"")"),"ZhouDongYu")</f>
        <v>ZhouDongYu</v>
      </c>
      <c r="D4276" s="4" t="s">
        <v>7115</v>
      </c>
      <c r="E4276" s="4">
        <v>7288022.0</v>
      </c>
      <c r="F4276" s="4">
        <v>25.0</v>
      </c>
      <c r="G4276" s="4" t="s">
        <v>7116</v>
      </c>
    </row>
    <row r="4277">
      <c r="A4277" s="1">
        <v>4275.0</v>
      </c>
      <c r="B4277" s="4" t="s">
        <v>7086</v>
      </c>
      <c r="C4277" s="4" t="str">
        <f>IFERROR(__xludf.DUMMYFUNCTION("GOOGLETRANSLATE(D:D,""auto"",""en"")"),"67 cases of new confirmed cases nationwide")</f>
        <v>67 cases of new confirmed cases nationwide</v>
      </c>
      <c r="D4277" s="4" t="s">
        <v>7117</v>
      </c>
      <c r="E4277" s="4">
        <v>7270717.0</v>
      </c>
      <c r="F4277" s="4">
        <v>26.0</v>
      </c>
      <c r="G4277" s="4" t="s">
        <v>7118</v>
      </c>
    </row>
    <row r="4278">
      <c r="A4278" s="1">
        <v>4276.0</v>
      </c>
      <c r="B4278" s="4" t="s">
        <v>7086</v>
      </c>
      <c r="C4278" s="4" t="str">
        <f>IFERROR(__xludf.DUMMYFUNCTION("GOOGLETRANSLATE(D:D,""auto"",""en"")"),"Jackson Wang dance song")</f>
        <v>Jackson Wang dance song</v>
      </c>
      <c r="D4278" s="4" t="s">
        <v>7034</v>
      </c>
      <c r="E4278" s="4">
        <v>7158006.0</v>
      </c>
      <c r="F4278" s="4">
        <v>27.0</v>
      </c>
      <c r="G4278" s="4" t="s">
        <v>7035</v>
      </c>
    </row>
    <row r="4279">
      <c r="A4279" s="1">
        <v>4277.0</v>
      </c>
      <c r="B4279" s="4" t="s">
        <v>7086</v>
      </c>
      <c r="C4279" s="4" t="str">
        <f>IFERROR(__xludf.DUMMYFUNCTION("GOOGLETRANSLATE(D:D,""auto"",""en"")"),"Zhang Meng, a family of three wearing masks appeared restaurant")</f>
        <v>Zhang Meng, a family of three wearing masks appeared restaurant</v>
      </c>
      <c r="D4279" s="4" t="s">
        <v>7119</v>
      </c>
      <c r="E4279" s="4">
        <v>7156895.0</v>
      </c>
      <c r="F4279" s="4">
        <v>28.0</v>
      </c>
      <c r="G4279" s="4" t="s">
        <v>7120</v>
      </c>
    </row>
    <row r="4280">
      <c r="A4280" s="1">
        <v>4278.0</v>
      </c>
      <c r="B4280" s="4" t="s">
        <v>7086</v>
      </c>
      <c r="C4280" s="4" t="str">
        <f>IFERROR(__xludf.DUMMYFUNCTION("GOOGLETRANSLATE(D:D,""auto"",""en"")"),"China suspended the entry of foreigners with valid visas")</f>
        <v>China suspended the entry of foreigners with valid visas</v>
      </c>
      <c r="D4280" s="4" t="s">
        <v>7121</v>
      </c>
      <c r="E4280" s="4">
        <v>7106228.0</v>
      </c>
      <c r="F4280" s="4">
        <v>29.0</v>
      </c>
      <c r="G4280" s="4" t="s">
        <v>7122</v>
      </c>
    </row>
    <row r="4281">
      <c r="A4281" s="1">
        <v>4279.0</v>
      </c>
      <c r="B4281" s="4" t="s">
        <v>7086</v>
      </c>
      <c r="C4281" s="4" t="str">
        <f>IFERROR(__xludf.DUMMYFUNCTION("GOOGLETRANSLATE(D:D,""auto"",""en"")"),"The new crown damage male reproductive function is now clinical evidence")</f>
        <v>The new crown damage male reproductive function is now clinical evidence</v>
      </c>
      <c r="D4281" s="4" t="s">
        <v>7123</v>
      </c>
      <c r="E4281" s="4">
        <v>7079502.0</v>
      </c>
      <c r="F4281" s="4">
        <v>30.0</v>
      </c>
      <c r="G4281" s="4" t="s">
        <v>7124</v>
      </c>
    </row>
    <row r="4282">
      <c r="A4282" s="1">
        <v>4280.0</v>
      </c>
      <c r="B4282" s="4" t="s">
        <v>7086</v>
      </c>
      <c r="C4282" s="4" t="str">
        <f>IFERROR(__xludf.DUMMYFUNCTION("GOOGLETRANSLATE(D:D,""auto"",""en"")"),"Giant Panda Starry Mood")</f>
        <v>Giant Panda Starry Mood</v>
      </c>
      <c r="D4282" s="4" t="s">
        <v>7125</v>
      </c>
      <c r="E4282" s="4">
        <v>7043914.0</v>
      </c>
      <c r="F4282" s="4">
        <v>31.0</v>
      </c>
      <c r="G4282" s="4" t="s">
        <v>7126</v>
      </c>
    </row>
    <row r="4283">
      <c r="A4283" s="1">
        <v>4281.0</v>
      </c>
      <c r="B4283" s="4" t="s">
        <v>7086</v>
      </c>
      <c r="C4283" s="4" t="str">
        <f>IFERROR(__xludf.DUMMYFUNCTION("GOOGLETRANSLATE(D:D,""auto"",""en"")"),"Chen Yao blackening trilogy")</f>
        <v>Chen Yao blackening trilogy</v>
      </c>
      <c r="D4283" s="4" t="s">
        <v>7127</v>
      </c>
      <c r="E4283" s="4">
        <v>7036422.0</v>
      </c>
      <c r="F4283" s="4">
        <v>32.0</v>
      </c>
      <c r="G4283" s="4" t="s">
        <v>7128</v>
      </c>
    </row>
    <row r="4284">
      <c r="A4284" s="1">
        <v>4282.0</v>
      </c>
      <c r="B4284" s="4" t="s">
        <v>7086</v>
      </c>
      <c r="C4284" s="4" t="str">
        <f>IFERROR(__xludf.DUMMYFUNCTION("GOOGLETRANSLATE(D:D,""auto"",""en"")"),"Zhang Yixing announcer for the Beijing 2022 Olympic Winter Games")</f>
        <v>Zhang Yixing announcer for the Beijing 2022 Olympic Winter Games</v>
      </c>
      <c r="D4284" s="4" t="s">
        <v>7129</v>
      </c>
      <c r="E4284" s="4">
        <v>6959265.0</v>
      </c>
      <c r="F4284" s="4">
        <v>33.0</v>
      </c>
      <c r="G4284" s="4" t="s">
        <v>7130</v>
      </c>
    </row>
    <row r="4285">
      <c r="A4285" s="1">
        <v>4283.0</v>
      </c>
      <c r="B4285" s="4" t="s">
        <v>7086</v>
      </c>
      <c r="C4285" s="4" t="str">
        <f>IFERROR(__xludf.DUMMYFUNCTION("GOOGLETRANSLATE(D:D,""auto"",""en"")"),"Deputy Prime Minister of Spain tested positive for the new virus crown")</f>
        <v>Deputy Prime Minister of Spain tested positive for the new virus crown</v>
      </c>
      <c r="D4285" s="4" t="s">
        <v>7131</v>
      </c>
      <c r="E4285" s="4">
        <v>6917214.0</v>
      </c>
      <c r="F4285" s="4">
        <v>34.0</v>
      </c>
      <c r="G4285" s="4" t="s">
        <v>7132</v>
      </c>
    </row>
    <row r="4286">
      <c r="A4286" s="1">
        <v>4284.0</v>
      </c>
      <c r="B4286" s="4" t="s">
        <v>7086</v>
      </c>
      <c r="C4286" s="4" t="str">
        <f>IFERROR(__xludf.DUMMYFUNCTION("GOOGLETRANSLATE(D:D,""auto"",""en"")"),"March three")</f>
        <v>March three</v>
      </c>
      <c r="D4286" s="4" t="s">
        <v>7133</v>
      </c>
      <c r="E4286" s="4">
        <v>6915330.0</v>
      </c>
      <c r="F4286" s="4">
        <v>35.0</v>
      </c>
      <c r="G4286" s="4" t="s">
        <v>7134</v>
      </c>
    </row>
    <row r="4287">
      <c r="A4287" s="1">
        <v>4285.0</v>
      </c>
      <c r="B4287" s="4" t="s">
        <v>7086</v>
      </c>
      <c r="C4287" s="4" t="str">
        <f>IFERROR(__xludf.DUMMYFUNCTION("GOOGLETRANSLATE(D:D,""auto"",""en"")"),"Dancing and singing trainee O'Neill")</f>
        <v>Dancing and singing trainee O'Neill</v>
      </c>
      <c r="D4287" s="4" t="s">
        <v>7135</v>
      </c>
      <c r="E4287" s="4">
        <v>6899078.0</v>
      </c>
      <c r="F4287" s="4">
        <v>36.0</v>
      </c>
      <c r="G4287" s="4" t="s">
        <v>7136</v>
      </c>
    </row>
    <row r="4288">
      <c r="A4288" s="1">
        <v>4286.0</v>
      </c>
      <c r="B4288" s="4" t="s">
        <v>7086</v>
      </c>
      <c r="C4288" s="4" t="str">
        <f>IFERROR(__xludf.DUMMYFUNCTION("GOOGLETRANSLATE(D:D,""auto"",""en"")"),"China routes to foreign airlines can retain a")</f>
        <v>China routes to foreign airlines can retain a</v>
      </c>
      <c r="D4288" s="4" t="s">
        <v>7137</v>
      </c>
      <c r="E4288" s="4">
        <v>6731147.0</v>
      </c>
      <c r="F4288" s="4">
        <v>37.0</v>
      </c>
      <c r="G4288" s="4" t="s">
        <v>7138</v>
      </c>
    </row>
    <row r="4289">
      <c r="A4289" s="1">
        <v>4287.0</v>
      </c>
      <c r="B4289" s="4" t="s">
        <v>7086</v>
      </c>
      <c r="C4289" s="4" t="str">
        <f>IFERROR(__xludf.DUMMYFUNCTION("GOOGLETRANSLATE(D:D,""auto"",""en"")"),"Shouted a promise I'm Chinese")</f>
        <v>Shouted a promise I'm Chinese</v>
      </c>
      <c r="D4289" s="4" t="s">
        <v>7026</v>
      </c>
      <c r="E4289" s="4">
        <v>6726627.0</v>
      </c>
      <c r="F4289" s="4">
        <v>38.0</v>
      </c>
      <c r="G4289" s="4" t="s">
        <v>7027</v>
      </c>
    </row>
    <row r="4290">
      <c r="A4290" s="1">
        <v>4288.0</v>
      </c>
      <c r="B4290" s="4" t="s">
        <v>7086</v>
      </c>
      <c r="C4290" s="4" t="str">
        <f>IFERROR(__xludf.DUMMYFUNCTION("GOOGLETRANSLATE(D:D,""auto"",""en"")"),"Chen Yao seems to have seen this sister")</f>
        <v>Chen Yao seems to have seen this sister</v>
      </c>
      <c r="D4290" s="4" t="s">
        <v>7046</v>
      </c>
      <c r="E4290" s="4">
        <v>6665677.0</v>
      </c>
      <c r="F4290" s="4">
        <v>39.0</v>
      </c>
      <c r="G4290" s="4" t="s">
        <v>7047</v>
      </c>
    </row>
    <row r="4291">
      <c r="A4291" s="1">
        <v>4289.0</v>
      </c>
      <c r="B4291" s="4" t="s">
        <v>7086</v>
      </c>
      <c r="C4291" s="4" t="str">
        <f>IFERROR(__xludf.DUMMYFUNCTION("GOOGLETRANSLATE(D:D,""auto"",""en"")"),"US crown new confirmed cases has reached 62,086 cases of pneumonia")</f>
        <v>US crown new confirmed cases has reached 62,086 cases of pneumonia</v>
      </c>
      <c r="D4291" s="4" t="s">
        <v>7139</v>
      </c>
      <c r="E4291" s="4">
        <v>6640237.0</v>
      </c>
      <c r="F4291" s="4">
        <v>40.0</v>
      </c>
      <c r="G4291" s="4" t="s">
        <v>7140</v>
      </c>
    </row>
    <row r="4292">
      <c r="A4292" s="1">
        <v>4290.0</v>
      </c>
      <c r="B4292" s="4" t="s">
        <v>7086</v>
      </c>
      <c r="C4292" s="4" t="str">
        <f>IFERROR(__xludf.DUMMYFUNCTION("GOOGLETRANSLATE(D:D,""auto"",""en"")"),"Overheating signing vibrato live")</f>
        <v>Overheating signing vibrato live</v>
      </c>
      <c r="D4292" s="4" t="s">
        <v>7141</v>
      </c>
      <c r="E4292" s="4">
        <v>6579623.0</v>
      </c>
      <c r="F4292" s="4">
        <v>41.0</v>
      </c>
      <c r="G4292" s="4" t="s">
        <v>7142</v>
      </c>
    </row>
    <row r="4293">
      <c r="A4293" s="1">
        <v>4291.0</v>
      </c>
      <c r="B4293" s="4" t="s">
        <v>7086</v>
      </c>
      <c r="C4293" s="4" t="str">
        <f>IFERROR(__xludf.DUMMYFUNCTION("GOOGLETRANSLATE(D:D,""auto"",""en"")"),"Deng Chao Sun Li invited fans to tear care brand")</f>
        <v>Deng Chao Sun Li invited fans to tear care brand</v>
      </c>
      <c r="D4293" s="4" t="s">
        <v>7143</v>
      </c>
      <c r="E4293" s="4">
        <v>6515571.0</v>
      </c>
      <c r="F4293" s="4">
        <v>42.0</v>
      </c>
      <c r="G4293" s="4" t="s">
        <v>7144</v>
      </c>
    </row>
    <row r="4294">
      <c r="A4294" s="1">
        <v>4292.0</v>
      </c>
      <c r="B4294" s="4" t="s">
        <v>7086</v>
      </c>
      <c r="C4294" s="4" t="str">
        <f>IFERROR(__xludf.DUMMYFUNCTION("GOOGLETRANSLATE(D:D,""auto"",""en"")"),"King St. statement studio")</f>
        <v>King St. statement studio</v>
      </c>
      <c r="D4294" s="4" t="s">
        <v>6957</v>
      </c>
      <c r="E4294" s="4">
        <v>6514109.0</v>
      </c>
      <c r="F4294" s="4">
        <v>43.0</v>
      </c>
      <c r="G4294" s="4" t="s">
        <v>6958</v>
      </c>
    </row>
    <row r="4295">
      <c r="A4295" s="1">
        <v>4293.0</v>
      </c>
      <c r="B4295" s="4" t="s">
        <v>7086</v>
      </c>
      <c r="C4295" s="4" t="str">
        <f>IFERROR(__xludf.DUMMYFUNCTION("GOOGLETRANSLATE(D:D,""auto"",""en"")"),"Sichuan Airlines respond because sitting next to a red code is isolated Claims")</f>
        <v>Sichuan Airlines respond because sitting next to a red code is isolated Claims</v>
      </c>
      <c r="D4295" s="4" t="s">
        <v>7145</v>
      </c>
      <c r="E4295" s="4">
        <v>6512445.0</v>
      </c>
      <c r="F4295" s="4">
        <v>44.0</v>
      </c>
      <c r="G4295" s="4" t="s">
        <v>7146</v>
      </c>
    </row>
    <row r="4296">
      <c r="A4296" s="1">
        <v>4294.0</v>
      </c>
      <c r="B4296" s="4" t="s">
        <v>7086</v>
      </c>
      <c r="C4296" s="4" t="str">
        <f>IFERROR(__xludf.DUMMYFUNCTION("GOOGLETRANSLATE(D:D,""auto"",""en"")"),"Earthy video author looks after the flop Liu Yifei")</f>
        <v>Earthy video author looks after the flop Liu Yifei</v>
      </c>
      <c r="D4296" s="4" t="s">
        <v>7147</v>
      </c>
      <c r="E4296" s="4">
        <v>6493274.0</v>
      </c>
      <c r="F4296" s="4">
        <v>45.0</v>
      </c>
      <c r="G4296" s="4" t="s">
        <v>7148</v>
      </c>
    </row>
    <row r="4297">
      <c r="A4297" s="1">
        <v>4295.0</v>
      </c>
      <c r="B4297" s="4" t="s">
        <v>7086</v>
      </c>
      <c r="C4297" s="4" t="str">
        <f>IFERROR(__xludf.DUMMYFUNCTION("GOOGLETRANSLATE(D:D,""auto"",""en"")"),"New 8578 cases of confirmed cases in Spain")</f>
        <v>New 8578 cases of confirmed cases in Spain</v>
      </c>
      <c r="D4297" s="4" t="s">
        <v>7149</v>
      </c>
      <c r="E4297" s="4">
        <v>6483359.0</v>
      </c>
      <c r="F4297" s="4">
        <v>46.0</v>
      </c>
      <c r="G4297" s="4" t="s">
        <v>7150</v>
      </c>
    </row>
    <row r="4298">
      <c r="A4298" s="1">
        <v>4296.0</v>
      </c>
      <c r="B4298" s="4" t="s">
        <v>7086</v>
      </c>
      <c r="C4298" s="4" t="str">
        <f>IFERROR(__xludf.DUMMYFUNCTION("GOOGLETRANSLATE(D:D,""auto"",""en"")"),"Healthcare fans back to remind Zhou Zhennan mathematical formula")</f>
        <v>Healthcare fans back to remind Zhou Zhennan mathematical formula</v>
      </c>
      <c r="D4298" s="4" t="s">
        <v>7050</v>
      </c>
      <c r="E4298" s="4">
        <v>6471230.0</v>
      </c>
      <c r="F4298" s="4">
        <v>47.0</v>
      </c>
      <c r="G4298" s="4" t="s">
        <v>7051</v>
      </c>
    </row>
    <row r="4299">
      <c r="A4299" s="1">
        <v>4297.0</v>
      </c>
      <c r="B4299" s="4" t="s">
        <v>7086</v>
      </c>
      <c r="C4299" s="4" t="str">
        <f>IFERROR(__xludf.DUMMYFUNCTION("GOOGLETRANSLATE(D:D,""auto"",""en"")"),"When dogs learn to make money")</f>
        <v>When dogs learn to make money</v>
      </c>
      <c r="D4299" s="4" t="s">
        <v>7151</v>
      </c>
      <c r="E4299" s="4">
        <v>6470741.0</v>
      </c>
      <c r="F4299" s="4">
        <v>48.0</v>
      </c>
      <c r="G4299" s="4" t="s">
        <v>7152</v>
      </c>
    </row>
    <row r="4300">
      <c r="A4300" s="1">
        <v>4298.0</v>
      </c>
      <c r="B4300" s="4" t="s">
        <v>7086</v>
      </c>
      <c r="C4300" s="4" t="str">
        <f>IFERROR(__xludf.DUMMYFUNCTION("GOOGLETRANSLATE(D:D,""auto"",""en"")"),"Iran's new 2389 cases of confirmed cases")</f>
        <v>Iran's new 2389 cases of confirmed cases</v>
      </c>
      <c r="D4300" s="4" t="s">
        <v>7153</v>
      </c>
      <c r="E4300" s="4">
        <v>6432697.0</v>
      </c>
      <c r="F4300" s="4">
        <v>49.0</v>
      </c>
      <c r="G4300" s="4" t="s">
        <v>7154</v>
      </c>
    </row>
    <row r="4301">
      <c r="A4301" s="1">
        <v>4299.0</v>
      </c>
      <c r="B4301" s="4" t="s">
        <v>7086</v>
      </c>
      <c r="C4301" s="4" t="str">
        <f>IFERROR(__xludf.DUMMYFUNCTION("GOOGLETRANSLATE(D:D,""auto"",""en"")"),"Venus accompanied month")</f>
        <v>Venus accompanied month</v>
      </c>
      <c r="D4301" s="4" t="s">
        <v>7155</v>
      </c>
      <c r="E4301" s="4">
        <v>6397730.0</v>
      </c>
      <c r="F4301" s="4">
        <v>50.0</v>
      </c>
      <c r="G4301" s="4" t="s">
        <v>7156</v>
      </c>
    </row>
    <row r="4302">
      <c r="A4302" s="1">
        <v>4300.0</v>
      </c>
      <c r="B4302" s="4" t="s">
        <v>7157</v>
      </c>
      <c r="C4302" s="4" t="str">
        <f>IFERROR(__xludf.DUMMYFUNCTION("GOOGLETRANSLATE(D:D,""auto"",""en"")"),"National new cases of 55 patients")</f>
        <v>National new cases of 55 patients</v>
      </c>
      <c r="D4302" s="4" t="s">
        <v>7158</v>
      </c>
      <c r="E4302" s="4">
        <v>1.0404222E7</v>
      </c>
      <c r="F4302" s="4">
        <v>1.0</v>
      </c>
      <c r="G4302" s="4" t="s">
        <v>7159</v>
      </c>
    </row>
    <row r="4303">
      <c r="A4303" s="1">
        <v>4301.0</v>
      </c>
      <c r="B4303" s="4" t="s">
        <v>7157</v>
      </c>
      <c r="C4303" s="4" t="str">
        <f>IFERROR(__xludf.DUMMYFUNCTION("GOOGLETRANSLATE(D:D,""auto"",""en"")"),"Xiamen handsome Dr. Xiao long siege")</f>
        <v>Xiamen handsome Dr. Xiao long siege</v>
      </c>
      <c r="D4303" s="4" t="s">
        <v>7024</v>
      </c>
      <c r="E4303" s="4">
        <v>1.0374194E7</v>
      </c>
      <c r="F4303" s="4">
        <v>2.0</v>
      </c>
      <c r="G4303" s="4" t="s">
        <v>7025</v>
      </c>
    </row>
    <row r="4304">
      <c r="A4304" s="1">
        <v>4302.0</v>
      </c>
      <c r="B4304" s="4" t="s">
        <v>7157</v>
      </c>
      <c r="C4304" s="4" t="str">
        <f>IFERROR(__xludf.DUMMYFUNCTION("GOOGLETRANSLATE(D:D,""auto"",""en"")"),"This fleeting dance Hung came")</f>
        <v>This fleeting dance Hung came</v>
      </c>
      <c r="D4304" s="4" t="s">
        <v>7160</v>
      </c>
      <c r="E4304" s="4">
        <v>1.0345986E7</v>
      </c>
      <c r="F4304" s="4">
        <v>3.0</v>
      </c>
      <c r="G4304" s="4" t="s">
        <v>7161</v>
      </c>
    </row>
    <row r="4305">
      <c r="A4305" s="1">
        <v>4303.0</v>
      </c>
      <c r="B4305" s="4" t="s">
        <v>7157</v>
      </c>
      <c r="C4305" s="4" t="str">
        <f>IFERROR(__xludf.DUMMYFUNCTION("GOOGLETRANSLATE(D:D,""auto"",""en"")"),"Trump said that the death of a car accident more than the new crown pneumonia")</f>
        <v>Trump said that the death of a car accident more than the new crown pneumonia</v>
      </c>
      <c r="D4305" s="4" t="s">
        <v>7162</v>
      </c>
      <c r="E4305" s="4">
        <v>1.0240183E7</v>
      </c>
      <c r="F4305" s="4">
        <v>4.0</v>
      </c>
      <c r="G4305" s="4" t="s">
        <v>7163</v>
      </c>
    </row>
    <row r="4306">
      <c r="A4306" s="1">
        <v>4304.0</v>
      </c>
      <c r="B4306" s="4" t="s">
        <v>7157</v>
      </c>
      <c r="C4306" s="4" t="str">
        <f>IFERROR(__xludf.DUMMYFUNCTION("GOOGLETRANSLATE(D:D,""auto"",""en"")"),"Yiyangqianxi want to lie sowing")</f>
        <v>Yiyangqianxi want to lie sowing</v>
      </c>
      <c r="D4306" s="4" t="s">
        <v>7164</v>
      </c>
      <c r="E4306" s="4">
        <v>9987491.0</v>
      </c>
      <c r="F4306" s="4">
        <v>5.0</v>
      </c>
      <c r="G4306" s="4" t="s">
        <v>7165</v>
      </c>
    </row>
    <row r="4307">
      <c r="A4307" s="1">
        <v>4305.0</v>
      </c>
      <c r="B4307" s="4" t="s">
        <v>7157</v>
      </c>
      <c r="C4307" s="4" t="str">
        <f>IFERROR(__xludf.DUMMYFUNCTION("GOOGLETRANSLATE(D:D,""auto"",""en"")"),"Trump emphasized that Americans must return to work as soon as possible")</f>
        <v>Trump emphasized that Americans must return to work as soon as possible</v>
      </c>
      <c r="D4307" s="4" t="s">
        <v>7166</v>
      </c>
      <c r="E4307" s="4">
        <v>9987377.0</v>
      </c>
      <c r="F4307" s="4">
        <v>6.0</v>
      </c>
      <c r="G4307" s="4" t="s">
        <v>7167</v>
      </c>
    </row>
    <row r="4308">
      <c r="A4308" s="1">
        <v>4306.0</v>
      </c>
      <c r="B4308" s="4" t="s">
        <v>7157</v>
      </c>
      <c r="C4308" s="4" t="str">
        <f>IFERROR(__xludf.DUMMYFUNCTION("GOOGLETRANSLATE(D:D,""auto"",""en"")"),"Qin cover of rap cattle Granville")</f>
        <v>Qin cover of rap cattle Granville</v>
      </c>
      <c r="D4308" s="4" t="s">
        <v>7168</v>
      </c>
      <c r="E4308" s="4">
        <v>9629909.0</v>
      </c>
      <c r="F4308" s="4">
        <v>7.0</v>
      </c>
      <c r="G4308" s="4" t="s">
        <v>7169</v>
      </c>
    </row>
    <row r="4309">
      <c r="A4309" s="1">
        <v>4307.0</v>
      </c>
      <c r="B4309" s="4" t="s">
        <v>7157</v>
      </c>
      <c r="C4309" s="4" t="str">
        <f>IFERROR(__xludf.DUMMYFUNCTION("GOOGLETRANSLATE(D:D,""auto"",""en"")"),"Site construction dug follow-up car")</f>
        <v>Site construction dug follow-up car</v>
      </c>
      <c r="D4309" s="4" t="s">
        <v>7111</v>
      </c>
      <c r="E4309" s="4">
        <v>9604717.0</v>
      </c>
      <c r="F4309" s="4">
        <v>8.0</v>
      </c>
      <c r="G4309" s="4" t="s">
        <v>7112</v>
      </c>
    </row>
    <row r="4310">
      <c r="A4310" s="1">
        <v>4308.0</v>
      </c>
      <c r="B4310" s="4" t="s">
        <v>7157</v>
      </c>
      <c r="C4310" s="4" t="str">
        <f>IFERROR(__xludf.DUMMYFUNCTION("GOOGLETRANSLATE(D:D,""auto"",""en"")"),"The name fairy lineup with family")</f>
        <v>The name fairy lineup with family</v>
      </c>
      <c r="D4310" s="4" t="s">
        <v>7170</v>
      </c>
      <c r="E4310" s="4">
        <v>9493518.0</v>
      </c>
      <c r="F4310" s="4">
        <v>9.0</v>
      </c>
      <c r="G4310" s="4" t="s">
        <v>7171</v>
      </c>
    </row>
    <row r="4311">
      <c r="A4311" s="1">
        <v>4309.0</v>
      </c>
      <c r="B4311" s="4" t="s">
        <v>7157</v>
      </c>
      <c r="C4311" s="4" t="str">
        <f>IFERROR(__xludf.DUMMYFUNCTION("GOOGLETRANSLATE(D:D,""auto"",""en"")"),"Shouted a promise I'm Chinese")</f>
        <v>Shouted a promise I'm Chinese</v>
      </c>
      <c r="D4311" s="4" t="s">
        <v>7026</v>
      </c>
      <c r="E4311" s="4">
        <v>9381211.0</v>
      </c>
      <c r="F4311" s="4">
        <v>10.0</v>
      </c>
      <c r="G4311" s="4" t="s">
        <v>7027</v>
      </c>
    </row>
    <row r="4312">
      <c r="A4312" s="1">
        <v>4310.0</v>
      </c>
      <c r="B4312" s="4" t="s">
        <v>7157</v>
      </c>
      <c r="C4312" s="4" t="str">
        <f>IFERROR(__xludf.DUMMYFUNCTION("GOOGLETRANSLATE(D:D,""auto"",""en"")"),"Lu Han Huang Zitao biubiu tune")</f>
        <v>Lu Han Huang Zitao biubiu tune</v>
      </c>
      <c r="D4312" s="4" t="s">
        <v>7172</v>
      </c>
      <c r="E4312" s="4">
        <v>9149845.0</v>
      </c>
      <c r="F4312" s="4">
        <v>11.0</v>
      </c>
      <c r="G4312" s="4" t="s">
        <v>7173</v>
      </c>
    </row>
    <row r="4313">
      <c r="A4313" s="1">
        <v>4311.0</v>
      </c>
      <c r="B4313" s="4" t="s">
        <v>7157</v>
      </c>
      <c r="C4313" s="4" t="str">
        <f>IFERROR(__xludf.DUMMYFUNCTION("GOOGLETRANSLATE(D:D,""auto"",""en"")"),"Buy 450 flat double room but spent 4500 yuan renovation")</f>
        <v>Buy 450 flat double room but spent 4500 yuan renovation</v>
      </c>
      <c r="D4313" s="4" t="s">
        <v>7174</v>
      </c>
      <c r="E4313" s="4">
        <v>9041937.0</v>
      </c>
      <c r="F4313" s="4">
        <v>12.0</v>
      </c>
      <c r="G4313" s="4" t="s">
        <v>7175</v>
      </c>
    </row>
    <row r="4314">
      <c r="A4314" s="1">
        <v>4312.0</v>
      </c>
      <c r="B4314" s="4" t="s">
        <v>7157</v>
      </c>
      <c r="C4314" s="4" t="str">
        <f>IFERROR(__xludf.DUMMYFUNCTION("GOOGLETRANSLATE(D:D,""auto"",""en"")"),"Yoon fajitas at a chew 121")</f>
        <v>Yoon fajitas at a chew 121</v>
      </c>
      <c r="D4314" s="4" t="s">
        <v>7018</v>
      </c>
      <c r="E4314" s="4">
        <v>8902689.0</v>
      </c>
      <c r="F4314" s="4">
        <v>13.0</v>
      </c>
      <c r="G4314" s="4" t="s">
        <v>7019</v>
      </c>
    </row>
    <row r="4315">
      <c r="A4315" s="1">
        <v>4313.0</v>
      </c>
      <c r="B4315" s="4" t="s">
        <v>7157</v>
      </c>
      <c r="C4315" s="4" t="str">
        <f>IFERROR(__xludf.DUMMYFUNCTION("GOOGLETRANSLATE(D:D,""auto"",""en"")"),"British Prime Minister virus tested positive for the new crown")</f>
        <v>British Prime Minister virus tested positive for the new crown</v>
      </c>
      <c r="D4315" s="4" t="s">
        <v>7176</v>
      </c>
      <c r="E4315" s="4">
        <v>8876687.0</v>
      </c>
      <c r="F4315" s="4">
        <v>14.0</v>
      </c>
      <c r="G4315" s="4" t="s">
        <v>7177</v>
      </c>
    </row>
    <row r="4316">
      <c r="A4316" s="1">
        <v>4314.0</v>
      </c>
      <c r="B4316" s="4" t="s">
        <v>7157</v>
      </c>
      <c r="C4316" s="4" t="str">
        <f>IFERROR(__xludf.DUMMYFUNCTION("GOOGLETRANSLATE(D:D,""auto"",""en"")"),"Huawei P40 conference")</f>
        <v>Huawei P40 conference</v>
      </c>
      <c r="D4316" s="4" t="s">
        <v>7178</v>
      </c>
      <c r="E4316" s="4">
        <v>8566352.0</v>
      </c>
      <c r="F4316" s="4">
        <v>15.0</v>
      </c>
      <c r="G4316" s="4" t="s">
        <v>7179</v>
      </c>
    </row>
    <row r="4317">
      <c r="A4317" s="1">
        <v>4315.0</v>
      </c>
      <c r="B4317" s="4" t="s">
        <v>7157</v>
      </c>
      <c r="C4317" s="4" t="str">
        <f>IFERROR(__xludf.DUMMYFUNCTION("GOOGLETRANSLATE(D:D,""auto"",""en"")"),"Three thousand crow kill bathhouse kiss")</f>
        <v>Three thousand crow kill bathhouse kiss</v>
      </c>
      <c r="D4317" s="4" t="s">
        <v>7180</v>
      </c>
      <c r="E4317" s="4">
        <v>8256999.0</v>
      </c>
      <c r="F4317" s="4">
        <v>16.0</v>
      </c>
      <c r="G4317" s="4" t="s">
        <v>7181</v>
      </c>
    </row>
    <row r="4318">
      <c r="A4318" s="1">
        <v>4316.0</v>
      </c>
      <c r="B4318" s="4" t="s">
        <v>7157</v>
      </c>
      <c r="C4318" s="4" t="str">
        <f>IFERROR(__xludf.DUMMYFUNCTION("GOOGLETRANSLATE(D:D,""auto"",""en"")"),"Russia will stop all international scheduled flights and charter flights")</f>
        <v>Russia will stop all international scheduled flights and charter flights</v>
      </c>
      <c r="D4318" s="4" t="s">
        <v>7182</v>
      </c>
      <c r="E4318" s="4">
        <v>8172222.0</v>
      </c>
      <c r="F4318" s="4">
        <v>17.0</v>
      </c>
      <c r="G4318" s="4" t="s">
        <v>7183</v>
      </c>
    </row>
    <row r="4319">
      <c r="A4319" s="1">
        <v>4317.0</v>
      </c>
      <c r="B4319" s="4" t="s">
        <v>7157</v>
      </c>
      <c r="C4319" s="4" t="str">
        <f>IFERROR(__xludf.DUMMYFUNCTION("GOOGLETRANSLATE(D:D,""auto"",""en"")"),"Giant Panda Starry Mood")</f>
        <v>Giant Panda Starry Mood</v>
      </c>
      <c r="D4319" s="4" t="s">
        <v>7125</v>
      </c>
      <c r="E4319" s="4">
        <v>7988269.0</v>
      </c>
      <c r="F4319" s="4">
        <v>18.0</v>
      </c>
      <c r="G4319" s="4" t="s">
        <v>7126</v>
      </c>
    </row>
    <row r="4320">
      <c r="A4320" s="1">
        <v>4318.0</v>
      </c>
      <c r="B4320" s="4" t="s">
        <v>7157</v>
      </c>
      <c r="C4320" s="4" t="str">
        <f>IFERROR(__xludf.DUMMYFUNCTION("GOOGLETRANSLATE(D:D,""auto"",""en"")"),"That is the pinnacle of a debut")</f>
        <v>That is the pinnacle of a debut</v>
      </c>
      <c r="D4320" s="4" t="s">
        <v>6665</v>
      </c>
      <c r="E4320" s="4">
        <v>7941078.0</v>
      </c>
      <c r="F4320" s="4">
        <v>19.0</v>
      </c>
      <c r="G4320" s="4" t="s">
        <v>6666</v>
      </c>
    </row>
    <row r="4321">
      <c r="A4321" s="1">
        <v>4319.0</v>
      </c>
      <c r="B4321" s="4" t="s">
        <v>7157</v>
      </c>
      <c r="C4321" s="4" t="str">
        <f>IFERROR(__xludf.DUMMYFUNCTION("GOOGLETRANSLATE(D:D,""auto"",""en"")"),"100ways child dog dance")</f>
        <v>100ways child dog dance</v>
      </c>
      <c r="D4321" s="4" t="s">
        <v>7184</v>
      </c>
      <c r="E4321" s="4">
        <v>7895073.0</v>
      </c>
      <c r="F4321" s="4">
        <v>20.0</v>
      </c>
      <c r="G4321" s="4" t="s">
        <v>7185</v>
      </c>
    </row>
    <row r="4322">
      <c r="A4322" s="1">
        <v>4320.0</v>
      </c>
      <c r="B4322" s="4" t="s">
        <v>7157</v>
      </c>
      <c r="C4322" s="4" t="str">
        <f>IFERROR(__xludf.DUMMYFUNCTION("GOOGLETRANSLATE(D:D,""auto"",""en"")"),"Overheating official declared vibrato live")</f>
        <v>Overheating official declared vibrato live</v>
      </c>
      <c r="D4322" s="4" t="s">
        <v>7099</v>
      </c>
      <c r="E4322" s="4">
        <v>7893887.0</v>
      </c>
      <c r="F4322" s="4">
        <v>21.0</v>
      </c>
      <c r="G4322" s="4" t="s">
        <v>7100</v>
      </c>
    </row>
    <row r="4323">
      <c r="A4323" s="1">
        <v>4321.0</v>
      </c>
      <c r="B4323" s="4" t="s">
        <v>7157</v>
      </c>
      <c r="C4323" s="4" t="str">
        <f>IFERROR(__xludf.DUMMYFUNCTION("GOOGLETRANSLATE(D:D,""auto"",""en"")"),"Fashionable Identification Bureau")</f>
        <v>Fashionable Identification Bureau</v>
      </c>
      <c r="D4323" s="4" t="s">
        <v>7040</v>
      </c>
      <c r="E4323" s="4">
        <v>7756290.0</v>
      </c>
      <c r="F4323" s="4">
        <v>22.0</v>
      </c>
      <c r="G4323" s="4" t="s">
        <v>7041</v>
      </c>
    </row>
    <row r="4324">
      <c r="A4324" s="1">
        <v>4322.0</v>
      </c>
      <c r="B4324" s="4" t="s">
        <v>7157</v>
      </c>
      <c r="C4324" s="4" t="str">
        <f>IFERROR(__xludf.DUMMYFUNCTION("GOOGLETRANSLATE(D:D,""auto"",""en"")"),"Zhao Yi Huan published romance")</f>
        <v>Zhao Yi Huan published romance</v>
      </c>
      <c r="D4324" s="4" t="s">
        <v>7074</v>
      </c>
      <c r="E4324" s="4">
        <v>7708628.0</v>
      </c>
      <c r="F4324" s="4">
        <v>23.0</v>
      </c>
      <c r="G4324" s="4" t="s">
        <v>7075</v>
      </c>
    </row>
    <row r="4325">
      <c r="A4325" s="1">
        <v>4323.0</v>
      </c>
      <c r="B4325" s="4" t="s">
        <v>7157</v>
      </c>
      <c r="C4325" s="4" t="str">
        <f>IFERROR(__xludf.DUMMYFUNCTION("GOOGLETRANSLATE(D:D,""auto"",""en"")"),"Isolated dot tease little brother rollover site")</f>
        <v>Isolated dot tease little brother rollover site</v>
      </c>
      <c r="D4325" s="4" t="s">
        <v>7186</v>
      </c>
      <c r="E4325" s="4">
        <v>7674141.0</v>
      </c>
      <c r="F4325" s="4">
        <v>24.0</v>
      </c>
      <c r="G4325" s="4" t="s">
        <v>7187</v>
      </c>
    </row>
    <row r="4326">
      <c r="A4326" s="1">
        <v>4324.0</v>
      </c>
      <c r="B4326" s="4" t="s">
        <v>7157</v>
      </c>
      <c r="C4326" s="4" t="str">
        <f>IFERROR(__xludf.DUMMYFUNCTION("GOOGLETRANSLATE(D:D,""auto"",""en"")"),"Zhong Nanshan, China would respond if a secondary outbreak")</f>
        <v>Zhong Nanshan, China would respond if a secondary outbreak</v>
      </c>
      <c r="D4326" s="4" t="s">
        <v>7188</v>
      </c>
      <c r="E4326" s="4">
        <v>7597429.0</v>
      </c>
      <c r="F4326" s="4">
        <v>25.0</v>
      </c>
      <c r="G4326" s="4" t="s">
        <v>7189</v>
      </c>
    </row>
    <row r="4327">
      <c r="A4327" s="1">
        <v>4325.0</v>
      </c>
      <c r="B4327" s="4" t="s">
        <v>7157</v>
      </c>
      <c r="C4327" s="4" t="str">
        <f>IFERROR(__xludf.DUMMYFUNCTION("GOOGLETRANSLATE(D:D,""auto"",""en"")"),"Cai Xu Kun 3D large")</f>
        <v>Cai Xu Kun 3D large</v>
      </c>
      <c r="D4327" s="4" t="s">
        <v>7087</v>
      </c>
      <c r="E4327" s="4">
        <v>7572092.0</v>
      </c>
      <c r="F4327" s="4">
        <v>26.0</v>
      </c>
      <c r="G4327" s="4" t="s">
        <v>7088</v>
      </c>
    </row>
    <row r="4328">
      <c r="A4328" s="1">
        <v>4326.0</v>
      </c>
      <c r="B4328" s="4" t="s">
        <v>7157</v>
      </c>
      <c r="C4328" s="4" t="str">
        <f>IFERROR(__xludf.DUMMYFUNCTION("GOOGLETRANSLATE(D:D,""auto"",""en"")"),"Xu Xu Juncong Mita connection")</f>
        <v>Xu Xu Juncong Mita connection</v>
      </c>
      <c r="D4328" s="4" t="s">
        <v>7190</v>
      </c>
      <c r="E4328" s="4">
        <v>7566344.0</v>
      </c>
      <c r="F4328" s="4">
        <v>27.0</v>
      </c>
      <c r="G4328" s="4" t="s">
        <v>7191</v>
      </c>
    </row>
    <row r="4329">
      <c r="A4329" s="1">
        <v>4327.0</v>
      </c>
      <c r="B4329" s="4" t="s">
        <v>7157</v>
      </c>
      <c r="C4329" s="4" t="str">
        <f>IFERROR(__xludf.DUMMYFUNCTION("GOOGLETRANSLATE(D:D,""auto"",""en"")"),"UK McDonald's closed shop long queues in front of the vehicle")</f>
        <v>UK McDonald's closed shop long queues in front of the vehicle</v>
      </c>
      <c r="D4329" s="4" t="s">
        <v>7192</v>
      </c>
      <c r="E4329" s="4">
        <v>7336968.0</v>
      </c>
      <c r="F4329" s="4">
        <v>28.0</v>
      </c>
      <c r="G4329" s="4" t="s">
        <v>7193</v>
      </c>
    </row>
    <row r="4330">
      <c r="A4330" s="1">
        <v>4328.0</v>
      </c>
      <c r="B4330" s="4" t="s">
        <v>7157</v>
      </c>
      <c r="C4330" s="4" t="str">
        <f>IFERROR(__xludf.DUMMYFUNCTION("GOOGLETRANSLATE(D:D,""auto"",""en"")"),"Jackson Wang 100ways teleport")</f>
        <v>Jackson Wang 100ways teleport</v>
      </c>
      <c r="D4330" s="4" t="s">
        <v>7089</v>
      </c>
      <c r="E4330" s="4">
        <v>7183458.0</v>
      </c>
      <c r="F4330" s="4">
        <v>29.0</v>
      </c>
      <c r="G4330" s="4" t="s">
        <v>7090</v>
      </c>
    </row>
    <row r="4331">
      <c r="A4331" s="1">
        <v>4329.0</v>
      </c>
      <c r="B4331" s="4" t="s">
        <v>7157</v>
      </c>
      <c r="C4331" s="4" t="str">
        <f>IFERROR(__xludf.DUMMYFUNCTION("GOOGLETRANSLATE(D:D,""auto"",""en"")"),"Zhong Nanshan said the epicenter of the epidemic may be transferred to the United States")</f>
        <v>Zhong Nanshan said the epicenter of the epidemic may be transferred to the United States</v>
      </c>
      <c r="D4331" s="4" t="s">
        <v>7194</v>
      </c>
      <c r="E4331" s="4">
        <v>7159547.0</v>
      </c>
      <c r="F4331" s="4">
        <v>30.0</v>
      </c>
      <c r="G4331" s="4" t="s">
        <v>7195</v>
      </c>
    </row>
    <row r="4332">
      <c r="A4332" s="1">
        <v>4330.0</v>
      </c>
      <c r="B4332" s="4" t="s">
        <v>7157</v>
      </c>
      <c r="C4332" s="4" t="str">
        <f>IFERROR(__xludf.DUMMYFUNCTION("GOOGLETRANSLATE(D:D,""auto"",""en"")"),"The site of a suspected underground, Guangdong dug a car")</f>
        <v>The site of a suspected underground, Guangdong dug a car</v>
      </c>
      <c r="D4332" s="4" t="s">
        <v>7093</v>
      </c>
      <c r="E4332" s="4">
        <v>7066932.0</v>
      </c>
      <c r="F4332" s="4">
        <v>31.0</v>
      </c>
      <c r="G4332" s="4" t="s">
        <v>7094</v>
      </c>
    </row>
    <row r="4333">
      <c r="A4333" s="1">
        <v>4331.0</v>
      </c>
      <c r="B4333" s="4" t="s">
        <v>7157</v>
      </c>
      <c r="C4333" s="4" t="str">
        <f>IFERROR(__xludf.DUMMYFUNCTION("GOOGLETRANSLATE(D:D,""auto"",""en"")"),"Spain 7871 cases of new cases")</f>
        <v>Spain 7871 cases of new cases</v>
      </c>
      <c r="D4333" s="4" t="s">
        <v>7196</v>
      </c>
      <c r="E4333" s="4">
        <v>7005040.0</v>
      </c>
      <c r="F4333" s="4">
        <v>32.0</v>
      </c>
      <c r="G4333" s="4" t="s">
        <v>7197</v>
      </c>
    </row>
    <row r="4334">
      <c r="A4334" s="1">
        <v>4332.0</v>
      </c>
      <c r="B4334" s="4" t="s">
        <v>7157</v>
      </c>
      <c r="C4334" s="4" t="str">
        <f>IFERROR(__xludf.DUMMYFUNCTION("GOOGLETRANSLATE(D:D,""auto"",""en"")"),"China suspended the entry of foreigners with valid visas")</f>
        <v>China suspended the entry of foreigners with valid visas</v>
      </c>
      <c r="D4334" s="4" t="s">
        <v>7121</v>
      </c>
      <c r="E4334" s="4">
        <v>6990016.0</v>
      </c>
      <c r="F4334" s="4">
        <v>33.0</v>
      </c>
      <c r="G4334" s="4" t="s">
        <v>7122</v>
      </c>
    </row>
    <row r="4335">
      <c r="A4335" s="1">
        <v>4333.0</v>
      </c>
      <c r="B4335" s="4" t="s">
        <v>7157</v>
      </c>
      <c r="C4335" s="4" t="str">
        <f>IFERROR(__xludf.DUMMYFUNCTION("GOOGLETRANSLATE(D:D,""auto"",""en"")"),"Ministry of Foreign Affairs hotline is close to 7 Wantong phone")</f>
        <v>Ministry of Foreign Affairs hotline is close to 7 Wantong phone</v>
      </c>
      <c r="D4335" s="4" t="s">
        <v>7091</v>
      </c>
      <c r="E4335" s="4">
        <v>6989761.0</v>
      </c>
      <c r="F4335" s="4">
        <v>34.0</v>
      </c>
      <c r="G4335" s="4" t="s">
        <v>7092</v>
      </c>
    </row>
    <row r="4336">
      <c r="A4336" s="1">
        <v>4334.0</v>
      </c>
      <c r="B4336" s="4" t="s">
        <v>7157</v>
      </c>
      <c r="C4336" s="4" t="str">
        <f>IFERROR(__xludf.DUMMYFUNCTION("GOOGLETRANSLATE(D:D,""auto"",""en"")"),"Zhang Meng, a family of three wearing masks appeared restaurant")</f>
        <v>Zhang Meng, a family of three wearing masks appeared restaurant</v>
      </c>
      <c r="D4336" s="4" t="s">
        <v>7119</v>
      </c>
      <c r="E4336" s="4">
        <v>6949852.0</v>
      </c>
      <c r="F4336" s="4">
        <v>35.0</v>
      </c>
      <c r="G4336" s="4" t="s">
        <v>7120</v>
      </c>
    </row>
    <row r="4337">
      <c r="A4337" s="1">
        <v>4335.0</v>
      </c>
      <c r="B4337" s="4" t="s">
        <v>7157</v>
      </c>
      <c r="C4337" s="4" t="str">
        <f>IFERROR(__xludf.DUMMYFUNCTION("GOOGLETRANSLATE(D:D,""auto"",""en"")"),"Tong Li Language snow ice Chorus")</f>
        <v>Tong Li Language snow ice Chorus</v>
      </c>
      <c r="D4337" s="4" t="s">
        <v>7198</v>
      </c>
      <c r="E4337" s="4">
        <v>6938877.0</v>
      </c>
      <c r="F4337" s="4">
        <v>36.0</v>
      </c>
      <c r="G4337" s="4" t="s">
        <v>7199</v>
      </c>
    </row>
    <row r="4338">
      <c r="A4338" s="1">
        <v>4336.0</v>
      </c>
      <c r="B4338" s="4" t="s">
        <v>7157</v>
      </c>
      <c r="C4338" s="4" t="str">
        <f>IFERROR(__xludf.DUMMYFUNCTION("GOOGLETRANSLATE(D:D,""auto"",""en"")"),"US stocks surge")</f>
        <v>US stocks surge</v>
      </c>
      <c r="D4338" s="4" t="s">
        <v>7200</v>
      </c>
      <c r="E4338" s="4">
        <v>6904074.0</v>
      </c>
      <c r="F4338" s="4">
        <v>37.0</v>
      </c>
      <c r="G4338" s="4" t="s">
        <v>7201</v>
      </c>
    </row>
    <row r="4339">
      <c r="A4339" s="1">
        <v>4337.0</v>
      </c>
      <c r="B4339" s="4" t="s">
        <v>7157</v>
      </c>
      <c r="C4339" s="4" t="str">
        <f>IFERROR(__xludf.DUMMYFUNCTION("GOOGLETRANSLATE(D:D,""auto"",""en"")"),"Yoga Lin second child was female")</f>
        <v>Yoga Lin second child was female</v>
      </c>
      <c r="D4339" s="4" t="s">
        <v>7202</v>
      </c>
      <c r="E4339" s="4">
        <v>6894542.0</v>
      </c>
      <c r="F4339" s="4">
        <v>38.0</v>
      </c>
      <c r="G4339" s="4" t="s">
        <v>7203</v>
      </c>
    </row>
    <row r="4340">
      <c r="A4340" s="1">
        <v>4338.0</v>
      </c>
      <c r="B4340" s="4" t="s">
        <v>7157</v>
      </c>
      <c r="C4340" s="4" t="str">
        <f>IFERROR(__xludf.DUMMYFUNCTION("GOOGLETRANSLATE(D:D,""auto"",""en"")"),"Men's affection after donation refused to repay requirements")</f>
        <v>Men's affection after donation refused to repay requirements</v>
      </c>
      <c r="D4340" s="4" t="s">
        <v>7204</v>
      </c>
      <c r="E4340" s="4">
        <v>6861240.0</v>
      </c>
      <c r="F4340" s="4">
        <v>39.0</v>
      </c>
      <c r="G4340" s="4" t="s">
        <v>7205</v>
      </c>
    </row>
    <row r="4341">
      <c r="A4341" s="1">
        <v>4339.0</v>
      </c>
      <c r="B4341" s="4" t="s">
        <v>7157</v>
      </c>
      <c r="C4341" s="4" t="str">
        <f>IFERROR(__xludf.DUMMYFUNCTION("GOOGLETRANSLATE(D:D,""auto"",""en"")"),"Li Xueqin shout Overheating sell satellite")</f>
        <v>Li Xueqin shout Overheating sell satellite</v>
      </c>
      <c r="D4341" s="4" t="s">
        <v>7206</v>
      </c>
      <c r="E4341" s="4">
        <v>6823681.0</v>
      </c>
      <c r="F4341" s="4">
        <v>40.0</v>
      </c>
      <c r="G4341" s="4" t="s">
        <v>7207</v>
      </c>
    </row>
    <row r="4342">
      <c r="A4342" s="1">
        <v>4340.0</v>
      </c>
      <c r="B4342" s="4" t="s">
        <v>7157</v>
      </c>
      <c r="C4342" s="4" t="str">
        <f>IFERROR(__xludf.DUMMYFUNCTION("GOOGLETRANSLATE(D:D,""auto"",""en"")"),"Overheating please sell it")</f>
        <v>Overheating please sell it</v>
      </c>
      <c r="D4342" s="4" t="s">
        <v>7208</v>
      </c>
      <c r="E4342" s="4">
        <v>6818346.0</v>
      </c>
      <c r="F4342" s="4">
        <v>41.0</v>
      </c>
      <c r="G4342" s="4" t="s">
        <v>7209</v>
      </c>
    </row>
    <row r="4343">
      <c r="A4343" s="1">
        <v>4341.0</v>
      </c>
      <c r="B4343" s="4" t="s">
        <v>7157</v>
      </c>
      <c r="C4343" s="4" t="str">
        <f>IFERROR(__xludf.DUMMYFUNCTION("GOOGLETRANSLATE(D:D,""auto"",""en"")"),"United States to most countries of the world confirmed cases")</f>
        <v>United States to most countries of the world confirmed cases</v>
      </c>
      <c r="D4343" s="4" t="s">
        <v>7210</v>
      </c>
      <c r="E4343" s="4">
        <v>6767908.0</v>
      </c>
      <c r="F4343" s="4">
        <v>42.0</v>
      </c>
      <c r="G4343" s="4" t="s">
        <v>7211</v>
      </c>
    </row>
    <row r="4344">
      <c r="A4344" s="1">
        <v>4342.0</v>
      </c>
      <c r="B4344" s="4" t="s">
        <v>7157</v>
      </c>
      <c r="C4344" s="4" t="str">
        <f>IFERROR(__xludf.DUMMYFUNCTION("GOOGLETRANSLATE(D:D,""auto"",""en"")"),"Zhejiang new one cases of indigenous cases")</f>
        <v>Zhejiang new one cases of indigenous cases</v>
      </c>
      <c r="D4344" s="4" t="s">
        <v>7212</v>
      </c>
      <c r="E4344" s="4">
        <v>6710067.0</v>
      </c>
      <c r="F4344" s="4">
        <v>43.0</v>
      </c>
      <c r="G4344" s="4" t="s">
        <v>7213</v>
      </c>
    </row>
    <row r="4345">
      <c r="A4345" s="1">
        <v>4343.0</v>
      </c>
      <c r="B4345" s="4" t="s">
        <v>7157</v>
      </c>
      <c r="C4345" s="4" t="str">
        <f>IFERROR(__xludf.DUMMYFUNCTION("GOOGLETRANSLATE(D:D,""auto"",""en"")"),"Iran Army shelter hospital internal screen")</f>
        <v>Iran Army shelter hospital internal screen</v>
      </c>
      <c r="D4345" s="4" t="s">
        <v>7214</v>
      </c>
      <c r="E4345" s="4">
        <v>6672727.0</v>
      </c>
      <c r="F4345" s="4">
        <v>44.0</v>
      </c>
      <c r="G4345" s="4" t="s">
        <v>7215</v>
      </c>
    </row>
    <row r="4346">
      <c r="A4346" s="1">
        <v>4344.0</v>
      </c>
      <c r="B4346" s="4" t="s">
        <v>7157</v>
      </c>
      <c r="C4346" s="4" t="str">
        <f>IFERROR(__xludf.DUMMYFUNCTION("GOOGLETRANSLATE(D:D,""auto"",""en"")"),"Wang Fei hotel an epidemic hotel")</f>
        <v>Wang Fei hotel an epidemic hotel</v>
      </c>
      <c r="D4346" s="4" t="s">
        <v>7216</v>
      </c>
      <c r="E4346" s="4">
        <v>6665342.0</v>
      </c>
      <c r="F4346" s="4">
        <v>45.0</v>
      </c>
      <c r="G4346" s="4" t="s">
        <v>7217</v>
      </c>
    </row>
    <row r="4347">
      <c r="A4347" s="1">
        <v>4345.0</v>
      </c>
      <c r="B4347" s="4" t="s">
        <v>7157</v>
      </c>
      <c r="C4347" s="4" t="str">
        <f>IFERROR(__xludf.DUMMYFUNCTION("GOOGLETRANSLATE(D:D,""auto"",""en"")"),"Italy's new crown over 80,000 confirmed cases of pneumonia")</f>
        <v>Italy's new crown over 80,000 confirmed cases of pneumonia</v>
      </c>
      <c r="D4347" s="4" t="s">
        <v>7218</v>
      </c>
      <c r="E4347" s="4">
        <v>6664790.0</v>
      </c>
      <c r="F4347" s="4">
        <v>46.0</v>
      </c>
      <c r="G4347" s="4" t="s">
        <v>7219</v>
      </c>
    </row>
    <row r="4348">
      <c r="A4348" s="1">
        <v>4346.0</v>
      </c>
      <c r="B4348" s="4" t="s">
        <v>7157</v>
      </c>
      <c r="C4348" s="4" t="str">
        <f>IFERROR(__xludf.DUMMYFUNCTION("GOOGLETRANSLATE(D:D,""auto"",""en"")"),"South Korea's new crown of confirmed cases increased to 9332 cases of pneumonia")</f>
        <v>South Korea's new crown of confirmed cases increased to 9332 cases of pneumonia</v>
      </c>
      <c r="D4348" s="4" t="s">
        <v>7220</v>
      </c>
      <c r="E4348" s="4">
        <v>6614987.0</v>
      </c>
      <c r="F4348" s="4">
        <v>47.0</v>
      </c>
      <c r="G4348" s="4" t="s">
        <v>7221</v>
      </c>
    </row>
    <row r="4349">
      <c r="A4349" s="1">
        <v>4347.0</v>
      </c>
      <c r="B4349" s="4" t="s">
        <v>7157</v>
      </c>
      <c r="C4349" s="4" t="str">
        <f>IFERROR(__xludf.DUMMYFUNCTION("GOOGLETRANSLATE(D:D,""auto"",""en"")"),"City of Heroes")</f>
        <v>City of Heroes</v>
      </c>
      <c r="D4349" s="4" t="s">
        <v>7103</v>
      </c>
      <c r="E4349" s="4">
        <v>6611929.0</v>
      </c>
      <c r="F4349" s="4">
        <v>48.0</v>
      </c>
      <c r="G4349" s="4" t="s">
        <v>7104</v>
      </c>
    </row>
    <row r="4350">
      <c r="A4350" s="1">
        <v>4348.0</v>
      </c>
      <c r="B4350" s="4" t="s">
        <v>7157</v>
      </c>
      <c r="C4350" s="4" t="str">
        <f>IFERROR(__xludf.DUMMYFUNCTION("GOOGLETRANSLATE(D:D,""auto"",""en"")"),"15% of patients diagnosed with smell loss of taste Daegu, South Korea")</f>
        <v>15% of patients diagnosed with smell loss of taste Daegu, South Korea</v>
      </c>
      <c r="D4350" s="4" t="s">
        <v>7222</v>
      </c>
      <c r="E4350" s="4">
        <v>6550022.0</v>
      </c>
      <c r="F4350" s="4">
        <v>49.0</v>
      </c>
      <c r="G4350" s="4" t="s">
        <v>7223</v>
      </c>
    </row>
    <row r="4351">
      <c r="A4351" s="1">
        <v>4349.0</v>
      </c>
      <c r="B4351" s="4" t="s">
        <v>7157</v>
      </c>
      <c r="C4351" s="4" t="str">
        <f>IFERROR(__xludf.DUMMYFUNCTION("GOOGLETRANSLATE(D:D,""auto"",""en"")"),"Wuling Automobile started production snail powder")</f>
        <v>Wuling Automobile started production snail powder</v>
      </c>
      <c r="D4351" s="4" t="s">
        <v>7095</v>
      </c>
      <c r="E4351" s="4">
        <v>6338590.0</v>
      </c>
      <c r="F4351" s="4">
        <v>50.0</v>
      </c>
      <c r="G4351" s="4" t="s">
        <v>7096</v>
      </c>
    </row>
    <row r="4352">
      <c r="A4352" s="1">
        <v>4350.0</v>
      </c>
      <c r="B4352" s="4" t="s">
        <v>7224</v>
      </c>
      <c r="C4352" s="4" t="str">
        <f>IFERROR(__xludf.DUMMYFUNCTION("GOOGLETRANSLATE(D:D,""auto"",""en"")"),"54 cases of new confirmed cases nationwide")</f>
        <v>54 cases of new confirmed cases nationwide</v>
      </c>
      <c r="D4352" s="4" t="s">
        <v>7225</v>
      </c>
      <c r="E4352" s="4">
        <v>1.7616263E7</v>
      </c>
      <c r="F4352" s="4">
        <v>1.0</v>
      </c>
      <c r="G4352" s="4" t="s">
        <v>7226</v>
      </c>
    </row>
    <row r="4353">
      <c r="A4353" s="1">
        <v>4351.0</v>
      </c>
      <c r="B4353" s="4" t="s">
        <v>7224</v>
      </c>
      <c r="C4353" s="4" t="str">
        <f>IFERROR(__xludf.DUMMYFUNCTION("GOOGLETRANSLATE(D:D,""auto"",""en"")"),"US new crown viral infections over 100,000")</f>
        <v>US new crown viral infections over 100,000</v>
      </c>
      <c r="D4353" s="4" t="s">
        <v>7227</v>
      </c>
      <c r="E4353" s="4">
        <v>1.7405508E7</v>
      </c>
      <c r="F4353" s="4">
        <v>2.0</v>
      </c>
      <c r="G4353" s="4" t="s">
        <v>7228</v>
      </c>
    </row>
    <row r="4354">
      <c r="A4354" s="1">
        <v>4352.0</v>
      </c>
      <c r="B4354" s="4" t="s">
        <v>7224</v>
      </c>
      <c r="C4354" s="4" t="str">
        <f>IFERROR(__xludf.DUMMYFUNCTION("GOOGLETRANSLATE(D:D,""auto"",""en"")"),"In addition to Wuhan, Hubei resume passenger flights to other airports")</f>
        <v>In addition to Wuhan, Hubei resume passenger flights to other airports</v>
      </c>
      <c r="D4354" s="4" t="s">
        <v>7229</v>
      </c>
      <c r="E4354" s="4">
        <v>1.7373121E7</v>
      </c>
      <c r="F4354" s="4">
        <v>3.0</v>
      </c>
      <c r="G4354" s="4" t="s">
        <v>7230</v>
      </c>
    </row>
    <row r="4355">
      <c r="A4355" s="1">
        <v>4353.0</v>
      </c>
      <c r="B4355" s="4" t="s">
        <v>7224</v>
      </c>
      <c r="C4355" s="4" t="str">
        <f>IFERROR(__xludf.DUMMYFUNCTION("GOOGLETRANSLATE(D:D,""auto"",""en"")"),"Xiao Wang Taili central to refuel daughter")</f>
        <v>Xiao Wang Taili central to refuel daughter</v>
      </c>
      <c r="D4355" s="4" t="s">
        <v>7231</v>
      </c>
      <c r="E4355" s="4">
        <v>1.7356676E7</v>
      </c>
      <c r="F4355" s="4">
        <v>4.0</v>
      </c>
      <c r="G4355" s="4" t="s">
        <v>7232</v>
      </c>
    </row>
    <row r="4356">
      <c r="A4356" s="1">
        <v>4354.0</v>
      </c>
      <c r="B4356" s="4" t="s">
        <v>7224</v>
      </c>
      <c r="C4356" s="4" t="str">
        <f>IFERROR(__xludf.DUMMYFUNCTION("GOOGLETRANSLATE(D:D,""auto"",""en"")"),"Site construction dug follow-up car")</f>
        <v>Site construction dug follow-up car</v>
      </c>
      <c r="D4356" s="4" t="s">
        <v>7111</v>
      </c>
      <c r="E4356" s="4">
        <v>1.4919386E7</v>
      </c>
      <c r="F4356" s="4">
        <v>5.0</v>
      </c>
      <c r="G4356" s="4" t="s">
        <v>7112</v>
      </c>
    </row>
    <row r="4357">
      <c r="A4357" s="1">
        <v>4355.0</v>
      </c>
      <c r="B4357" s="4" t="s">
        <v>7224</v>
      </c>
      <c r="C4357" s="4" t="str">
        <f>IFERROR(__xludf.DUMMYFUNCTION("GOOGLETRANSLATE(D:D,""auto"",""en"")"),"This year is the second highest temperatures since the year 1961")</f>
        <v>This year is the second highest temperatures since the year 1961</v>
      </c>
      <c r="D4357" s="4" t="s">
        <v>7233</v>
      </c>
      <c r="E4357" s="4">
        <v>1.4112727E7</v>
      </c>
      <c r="F4357" s="4">
        <v>6.0</v>
      </c>
      <c r="G4357" s="4" t="s">
        <v>7234</v>
      </c>
    </row>
    <row r="4358">
      <c r="A4358" s="1">
        <v>4356.0</v>
      </c>
      <c r="B4358" s="4" t="s">
        <v>7224</v>
      </c>
      <c r="C4358" s="4" t="str">
        <f>IFERROR(__xludf.DUMMYFUNCTION("GOOGLETRANSLATE(D:D,""auto"",""en"")"),"Wu Lei wife detect pneumonia were positive for the new crown")</f>
        <v>Wu Lei wife detect pneumonia were positive for the new crown</v>
      </c>
      <c r="D4358" s="4" t="s">
        <v>7235</v>
      </c>
      <c r="E4358" s="4">
        <v>1.2911087E7</v>
      </c>
      <c r="F4358" s="4">
        <v>7.0</v>
      </c>
      <c r="G4358" s="4" t="s">
        <v>7236</v>
      </c>
    </row>
    <row r="4359">
      <c r="A4359" s="1">
        <v>4357.0</v>
      </c>
      <c r="B4359" s="4" t="s">
        <v>7224</v>
      </c>
      <c r="C4359" s="4" t="str">
        <f>IFERROR(__xludf.DUMMYFUNCTION("GOOGLETRANSLATE(D:D,""auto"",""en"")"),"Earth Hour lights-out live")</f>
        <v>Earth Hour lights-out live</v>
      </c>
      <c r="D4359" s="4" t="s">
        <v>7237</v>
      </c>
      <c r="E4359" s="4">
        <v>1.172658E7</v>
      </c>
      <c r="F4359" s="4">
        <v>8.0</v>
      </c>
      <c r="G4359" s="4" t="s">
        <v>7238</v>
      </c>
    </row>
    <row r="4360">
      <c r="A4360" s="1">
        <v>4358.0</v>
      </c>
      <c r="B4360" s="4" t="s">
        <v>7224</v>
      </c>
      <c r="C4360" s="4" t="str">
        <f>IFERROR(__xludf.DUMMYFUNCTION("GOOGLETRANSLATE(D:D,""auto"",""en"")"),"Trump emphasized that Americans must return to work as soon as possible")</f>
        <v>Trump emphasized that Americans must return to work as soon as possible</v>
      </c>
      <c r="D4360" s="4" t="s">
        <v>7166</v>
      </c>
      <c r="E4360" s="4">
        <v>1.0477166E7</v>
      </c>
      <c r="F4360" s="4">
        <v>9.0</v>
      </c>
      <c r="G4360" s="4" t="s">
        <v>7167</v>
      </c>
    </row>
    <row r="4361">
      <c r="A4361" s="1">
        <v>4359.0</v>
      </c>
      <c r="B4361" s="4" t="s">
        <v>7224</v>
      </c>
      <c r="C4361" s="4" t="str">
        <f>IFERROR(__xludf.DUMMYFUNCTION("GOOGLETRANSLATE(D:D,""auto"",""en"")"),"Lu Han Huang Zitao biubiu tune")</f>
        <v>Lu Han Huang Zitao biubiu tune</v>
      </c>
      <c r="D4361" s="4" t="s">
        <v>7172</v>
      </c>
      <c r="E4361" s="4">
        <v>1.0423955E7</v>
      </c>
      <c r="F4361" s="4">
        <v>10.0</v>
      </c>
      <c r="G4361" s="4" t="s">
        <v>7173</v>
      </c>
    </row>
    <row r="4362">
      <c r="A4362" s="1">
        <v>4360.0</v>
      </c>
      <c r="B4362" s="4" t="s">
        <v>7224</v>
      </c>
      <c r="C4362" s="4" t="str">
        <f>IFERROR(__xludf.DUMMYFUNCTION("GOOGLETRANSLATE(D:D,""auto"",""en"")"),"Italy nearly a thousand cases of deaths in a single day")</f>
        <v>Italy nearly a thousand cases of deaths in a single day</v>
      </c>
      <c r="D4362" s="4" t="s">
        <v>7239</v>
      </c>
      <c r="E4362" s="4">
        <v>9907351.0</v>
      </c>
      <c r="F4362" s="4">
        <v>11.0</v>
      </c>
      <c r="G4362" s="4" t="s">
        <v>7240</v>
      </c>
    </row>
    <row r="4363">
      <c r="A4363" s="1">
        <v>4361.0</v>
      </c>
      <c r="B4363" s="4" t="s">
        <v>7224</v>
      </c>
      <c r="C4363" s="4" t="str">
        <f>IFERROR(__xludf.DUMMYFUNCTION("GOOGLETRANSLATE(D:D,""auto"",""en"")"),"Isolated dot tease little brother rollover site")</f>
        <v>Isolated dot tease little brother rollover site</v>
      </c>
      <c r="D4363" s="4" t="s">
        <v>7186</v>
      </c>
      <c r="E4363" s="4">
        <v>9805053.0</v>
      </c>
      <c r="F4363" s="4">
        <v>12.0</v>
      </c>
      <c r="G4363" s="4" t="s">
        <v>7187</v>
      </c>
    </row>
    <row r="4364">
      <c r="A4364" s="1">
        <v>4362.0</v>
      </c>
      <c r="B4364" s="4" t="s">
        <v>7224</v>
      </c>
      <c r="C4364" s="4" t="str">
        <f>IFERROR(__xludf.DUMMYFUNCTION("GOOGLETRANSLATE(D:D,""auto"",""en"")"),"British collective applause to thank the medical staff")</f>
        <v>British collective applause to thank the medical staff</v>
      </c>
      <c r="D4364" s="4" t="s">
        <v>7241</v>
      </c>
      <c r="E4364" s="4">
        <v>9691092.0</v>
      </c>
      <c r="F4364" s="4">
        <v>13.0</v>
      </c>
      <c r="G4364" s="4" t="s">
        <v>7242</v>
      </c>
    </row>
    <row r="4365">
      <c r="A4365" s="1">
        <v>4363.0</v>
      </c>
      <c r="B4365" s="4" t="s">
        <v>7224</v>
      </c>
      <c r="C4365" s="4" t="str">
        <f>IFERROR(__xludf.DUMMYFUNCTION("GOOGLETRANSLATE(D:D,""auto"",""en"")"),"Adult collapse in an instant")</f>
        <v>Adult collapse in an instant</v>
      </c>
      <c r="D4365" s="4" t="s">
        <v>7243</v>
      </c>
      <c r="E4365" s="4">
        <v>9399985.0</v>
      </c>
      <c r="F4365" s="4">
        <v>14.0</v>
      </c>
      <c r="G4365" s="4" t="s">
        <v>7244</v>
      </c>
    </row>
    <row r="4366">
      <c r="A4366" s="1">
        <v>4364.0</v>
      </c>
      <c r="B4366" s="4" t="s">
        <v>7224</v>
      </c>
      <c r="C4366" s="4" t="str">
        <f>IFERROR(__xludf.DUMMYFUNCTION("GOOGLETRANSLATE(D:D,""auto"",""en"")"),"Kan Kiyoko to talk about marriage")</f>
        <v>Kan Kiyoko to talk about marriage</v>
      </c>
      <c r="D4366" s="4" t="s">
        <v>7245</v>
      </c>
      <c r="E4366" s="4">
        <v>8986809.0</v>
      </c>
      <c r="F4366" s="4">
        <v>15.0</v>
      </c>
      <c r="G4366" s="4" t="s">
        <v>7246</v>
      </c>
    </row>
    <row r="4367">
      <c r="A4367" s="1">
        <v>4365.0</v>
      </c>
      <c r="B4367" s="4" t="s">
        <v>7224</v>
      </c>
      <c r="C4367" s="4" t="str">
        <f>IFERROR(__xludf.DUMMYFUNCTION("GOOGLETRANSLATE(D:D,""auto"",""en"")"),"Zheng Shuang appeared live between Silvia")</f>
        <v>Zheng Shuang appeared live between Silvia</v>
      </c>
      <c r="D4367" s="4" t="s">
        <v>7247</v>
      </c>
      <c r="E4367" s="4">
        <v>8761420.0</v>
      </c>
      <c r="F4367" s="4">
        <v>16.0</v>
      </c>
      <c r="G4367" s="4" t="s">
        <v>7248</v>
      </c>
    </row>
    <row r="4368">
      <c r="A4368" s="1">
        <v>4366.0</v>
      </c>
      <c r="B4368" s="4" t="s">
        <v>7224</v>
      </c>
      <c r="C4368" s="4" t="str">
        <f>IFERROR(__xludf.DUMMYFUNCTION("GOOGLETRANSLATE(D:D,""auto"",""en"")"),"Buy 450 flat double room but spent 4500 yuan renovation")</f>
        <v>Buy 450 flat double room but spent 4500 yuan renovation</v>
      </c>
      <c r="D4368" s="4" t="s">
        <v>7174</v>
      </c>
      <c r="E4368" s="4">
        <v>8596800.0</v>
      </c>
      <c r="F4368" s="4">
        <v>17.0</v>
      </c>
      <c r="G4368" s="4" t="s">
        <v>7175</v>
      </c>
    </row>
    <row r="4369">
      <c r="A4369" s="1">
        <v>4367.0</v>
      </c>
      <c r="B4369" s="4" t="s">
        <v>7224</v>
      </c>
      <c r="C4369" s="4" t="str">
        <f>IFERROR(__xludf.DUMMYFUNCTION("GOOGLETRANSLATE(D:D,""auto"",""en"")"),"Zhang Yixing lose weight Cheats")</f>
        <v>Zhang Yixing lose weight Cheats</v>
      </c>
      <c r="D4369" s="4" t="s">
        <v>7249</v>
      </c>
      <c r="E4369" s="4">
        <v>7930424.0</v>
      </c>
      <c r="F4369" s="4">
        <v>18.0</v>
      </c>
      <c r="G4369" s="4" t="s">
        <v>7250</v>
      </c>
    </row>
    <row r="4370">
      <c r="A4370" s="1">
        <v>4368.0</v>
      </c>
      <c r="B4370" s="4" t="s">
        <v>7224</v>
      </c>
      <c r="C4370" s="4" t="str">
        <f>IFERROR(__xludf.DUMMYFUNCTION("GOOGLETRANSLATE(D:D,""auto"",""en"")"),"1918 flu survivors to remind 2020")</f>
        <v>1918 flu survivors to remind 2020</v>
      </c>
      <c r="D4370" s="4" t="s">
        <v>7251</v>
      </c>
      <c r="E4370" s="4">
        <v>7843271.0</v>
      </c>
      <c r="F4370" s="4">
        <v>19.0</v>
      </c>
      <c r="G4370" s="4" t="s">
        <v>7252</v>
      </c>
    </row>
    <row r="4371">
      <c r="A4371" s="1">
        <v>4369.0</v>
      </c>
      <c r="B4371" s="4" t="s">
        <v>7224</v>
      </c>
      <c r="C4371" s="4" t="str">
        <f>IFERROR(__xludf.DUMMYFUNCTION("GOOGLETRANSLATE(D:D,""auto"",""en"")"),"Eight fire engines collective action")</f>
        <v>Eight fire engines collective action</v>
      </c>
      <c r="D4371" s="4" t="s">
        <v>7253</v>
      </c>
      <c r="E4371" s="4">
        <v>7816324.0</v>
      </c>
      <c r="F4371" s="4">
        <v>20.0</v>
      </c>
      <c r="G4371" s="4" t="s">
        <v>7254</v>
      </c>
    </row>
    <row r="4372">
      <c r="A4372" s="1">
        <v>4370.0</v>
      </c>
      <c r="B4372" s="4" t="s">
        <v>7224</v>
      </c>
      <c r="C4372" s="4" t="str">
        <f>IFERROR(__xludf.DUMMYFUNCTION("GOOGLETRANSLATE(D:D,""auto"",""en"")"),"Jiang Chao Medina version I was past that youth")</f>
        <v>Jiang Chao Medina version I was past that youth</v>
      </c>
      <c r="D4372" s="4" t="s">
        <v>7255</v>
      </c>
      <c r="E4372" s="4">
        <v>7742220.0</v>
      </c>
      <c r="F4372" s="4">
        <v>21.0</v>
      </c>
      <c r="G4372" s="4" t="s">
        <v>7256</v>
      </c>
    </row>
    <row r="4373">
      <c r="A4373" s="1">
        <v>4371.0</v>
      </c>
      <c r="B4373" s="4" t="s">
        <v>7224</v>
      </c>
      <c r="C4373" s="4" t="str">
        <f>IFERROR(__xludf.DUMMYFUNCTION("GOOGLETRANSLATE(D:D,""auto"",""en"")"),"Metro scattered tens of thousands of unclaimed cash")</f>
        <v>Metro scattered tens of thousands of unclaimed cash</v>
      </c>
      <c r="D4373" s="4" t="s">
        <v>7257</v>
      </c>
      <c r="E4373" s="4">
        <v>7726406.0</v>
      </c>
      <c r="F4373" s="4">
        <v>22.0</v>
      </c>
      <c r="G4373" s="4" t="s">
        <v>7258</v>
      </c>
    </row>
    <row r="4374">
      <c r="A4374" s="1">
        <v>4372.0</v>
      </c>
      <c r="B4374" s="4" t="s">
        <v>7224</v>
      </c>
      <c r="C4374" s="4" t="str">
        <f>IFERROR(__xludf.DUMMYFUNCTION("GOOGLETRANSLATE(D:D,""auto"",""en"")"),"Huawei P40 conference")</f>
        <v>Huawei P40 conference</v>
      </c>
      <c r="D4374" s="4" t="s">
        <v>7178</v>
      </c>
      <c r="E4374" s="4">
        <v>7674021.0</v>
      </c>
      <c r="F4374" s="4">
        <v>23.0</v>
      </c>
      <c r="G4374" s="4" t="s">
        <v>7179</v>
      </c>
    </row>
    <row r="4375">
      <c r="A4375" s="1">
        <v>4373.0</v>
      </c>
      <c r="B4375" s="4" t="s">
        <v>7224</v>
      </c>
      <c r="C4375" s="4" t="str">
        <f>IFERROR(__xludf.DUMMYFUNCTION("GOOGLETRANSLATE(D:D,""auto"",""en"")"),"Distressed raw lotus")</f>
        <v>Distressed raw lotus</v>
      </c>
      <c r="D4375" s="4" t="s">
        <v>7259</v>
      </c>
      <c r="E4375" s="4">
        <v>7654157.0</v>
      </c>
      <c r="F4375" s="4">
        <v>24.0</v>
      </c>
      <c r="G4375" s="4" t="s">
        <v>7260</v>
      </c>
    </row>
    <row r="4376">
      <c r="A4376" s="1">
        <v>4374.0</v>
      </c>
      <c r="B4376" s="4" t="s">
        <v>7224</v>
      </c>
      <c r="C4376" s="4" t="str">
        <f>IFERROR(__xludf.DUMMYFUNCTION("GOOGLETRANSLATE(D:D,""auto"",""en"")"),"Bill Gates propaganda America learning Chinese")</f>
        <v>Bill Gates propaganda America learning Chinese</v>
      </c>
      <c r="D4376" s="4" t="s">
        <v>7261</v>
      </c>
      <c r="E4376" s="4">
        <v>7439910.0</v>
      </c>
      <c r="F4376" s="4">
        <v>25.0</v>
      </c>
      <c r="G4376" s="4" t="s">
        <v>7262</v>
      </c>
    </row>
    <row r="4377">
      <c r="A4377" s="1">
        <v>4375.0</v>
      </c>
      <c r="B4377" s="4" t="s">
        <v>7224</v>
      </c>
      <c r="C4377" s="4" t="str">
        <f>IFERROR(__xludf.DUMMYFUNCTION("GOOGLETRANSLATE(D:D,""auto"",""en"")"),"Badaling Great Wall lettering parties have been found")</f>
        <v>Badaling Great Wall lettering parties have been found</v>
      </c>
      <c r="D4377" s="4" t="s">
        <v>7263</v>
      </c>
      <c r="E4377" s="4">
        <v>7401206.0</v>
      </c>
      <c r="F4377" s="4">
        <v>26.0</v>
      </c>
      <c r="G4377" s="4" t="s">
        <v>7264</v>
      </c>
    </row>
    <row r="4378">
      <c r="A4378" s="1">
        <v>4376.0</v>
      </c>
      <c r="B4378" s="4" t="s">
        <v>7224</v>
      </c>
      <c r="C4378" s="4" t="str">
        <f>IFERROR(__xludf.DUMMYFUNCTION("GOOGLETRANSLATE(D:D,""auto"",""en"")"),"Queen of England on the 11th met with Prime Minister Johnson")</f>
        <v>Queen of England on the 11th met with Prime Minister Johnson</v>
      </c>
      <c r="D4378" s="4" t="s">
        <v>7265</v>
      </c>
      <c r="E4378" s="4">
        <v>7256081.0</v>
      </c>
      <c r="F4378" s="4">
        <v>27.0</v>
      </c>
      <c r="G4378" s="4" t="s">
        <v>7266</v>
      </c>
    </row>
    <row r="4379">
      <c r="A4379" s="1">
        <v>4377.0</v>
      </c>
      <c r="B4379" s="4" t="s">
        <v>7224</v>
      </c>
      <c r="C4379" s="4" t="str">
        <f>IFERROR(__xludf.DUMMYFUNCTION("GOOGLETRANSLATE(D:D,""auto"",""en"")"),"The name fairy lineup with family")</f>
        <v>The name fairy lineup with family</v>
      </c>
      <c r="D4379" s="4" t="s">
        <v>7170</v>
      </c>
      <c r="E4379" s="4">
        <v>7169613.0</v>
      </c>
      <c r="F4379" s="4">
        <v>28.0</v>
      </c>
      <c r="G4379" s="4" t="s">
        <v>7171</v>
      </c>
    </row>
    <row r="4380">
      <c r="A4380" s="1">
        <v>4378.0</v>
      </c>
      <c r="B4380" s="4" t="s">
        <v>7224</v>
      </c>
      <c r="C4380" s="4" t="str">
        <f>IFERROR(__xludf.DUMMYFUNCTION("GOOGLETRANSLATE(D:D,""auto"",""en"")"),"Goebel and Mitchell recovered")</f>
        <v>Goebel and Mitchell recovered</v>
      </c>
      <c r="D4380" s="4" t="s">
        <v>7267</v>
      </c>
      <c r="E4380" s="4">
        <v>7105214.0</v>
      </c>
      <c r="F4380" s="4">
        <v>29.0</v>
      </c>
      <c r="G4380" s="4" t="s">
        <v>7268</v>
      </c>
    </row>
    <row r="4381">
      <c r="A4381" s="1">
        <v>4379.0</v>
      </c>
      <c r="B4381" s="4" t="s">
        <v>7224</v>
      </c>
      <c r="C4381" s="4" t="str">
        <f>IFERROR(__xludf.DUMMYFUNCTION("GOOGLETRANSLATE(D:D,""auto"",""en"")"),"This fleeting dance Hung came")</f>
        <v>This fleeting dance Hung came</v>
      </c>
      <c r="D4381" s="4" t="s">
        <v>7160</v>
      </c>
      <c r="E4381" s="4">
        <v>7079372.0</v>
      </c>
      <c r="F4381" s="4">
        <v>30.0</v>
      </c>
      <c r="G4381" s="4" t="s">
        <v>7161</v>
      </c>
    </row>
    <row r="4382">
      <c r="A4382" s="1">
        <v>4380.0</v>
      </c>
      <c r="B4382" s="4" t="s">
        <v>7224</v>
      </c>
      <c r="C4382" s="4" t="str">
        <f>IFERROR(__xludf.DUMMYFUNCTION("GOOGLETRANSLATE(D:D,""auto"",""en"")"),"Tong Li Language snow ice Chorus")</f>
        <v>Tong Li Language snow ice Chorus</v>
      </c>
      <c r="D4382" s="4" t="s">
        <v>7198</v>
      </c>
      <c r="E4382" s="4">
        <v>6928489.0</v>
      </c>
      <c r="F4382" s="4">
        <v>31.0</v>
      </c>
      <c r="G4382" s="4" t="s">
        <v>7199</v>
      </c>
    </row>
    <row r="4383">
      <c r="A4383" s="1">
        <v>4381.0</v>
      </c>
      <c r="B4383" s="4" t="s">
        <v>7224</v>
      </c>
      <c r="C4383" s="4" t="str">
        <f>IFERROR(__xludf.DUMMYFUNCTION("GOOGLETRANSLATE(D:D,""auto"",""en"")"),"First, ensure domestic needs foreign aid")</f>
        <v>First, ensure domestic needs foreign aid</v>
      </c>
      <c r="D4383" s="4" t="s">
        <v>7269</v>
      </c>
      <c r="E4383" s="4">
        <v>6919250.0</v>
      </c>
      <c r="F4383" s="4">
        <v>32.0</v>
      </c>
      <c r="G4383" s="4" t="s">
        <v>7270</v>
      </c>
    </row>
    <row r="4384">
      <c r="A4384" s="1">
        <v>4382.0</v>
      </c>
      <c r="B4384" s="4" t="s">
        <v>7224</v>
      </c>
      <c r="C4384" s="4" t="str">
        <f>IFERROR(__xludf.DUMMYFUNCTION("GOOGLETRANSLATE(D:D,""auto"",""en"")"),"The site of a suspected underground, Guangdong dug a car")</f>
        <v>The site of a suspected underground, Guangdong dug a car</v>
      </c>
      <c r="D4384" s="4" t="s">
        <v>7093</v>
      </c>
      <c r="E4384" s="4">
        <v>6892605.0</v>
      </c>
      <c r="F4384" s="4">
        <v>33.0</v>
      </c>
      <c r="G4384" s="4" t="s">
        <v>7094</v>
      </c>
    </row>
    <row r="4385">
      <c r="A4385" s="1">
        <v>4383.0</v>
      </c>
      <c r="B4385" s="4" t="s">
        <v>7224</v>
      </c>
      <c r="C4385" s="4" t="str">
        <f>IFERROR(__xludf.DUMMYFUNCTION("GOOGLETRANSLATE(D:D,""auto"",""en"")"),"Trump Zhu Yingguo Prime Minister a speedy recovery")</f>
        <v>Trump Zhu Yingguo Prime Minister a speedy recovery</v>
      </c>
      <c r="D4385" s="4" t="s">
        <v>7271</v>
      </c>
      <c r="E4385" s="4">
        <v>6863925.0</v>
      </c>
      <c r="F4385" s="4">
        <v>34.0</v>
      </c>
      <c r="G4385" s="4" t="s">
        <v>7272</v>
      </c>
    </row>
    <row r="4386">
      <c r="A4386" s="1">
        <v>4384.0</v>
      </c>
      <c r="B4386" s="4" t="s">
        <v>7224</v>
      </c>
      <c r="C4386" s="4" t="str">
        <f>IFERROR(__xludf.DUMMYFUNCTION("GOOGLETRANSLATE(D:D,""auto"",""en"")"),"Yiyangqianxi want to lie sowing")</f>
        <v>Yiyangqianxi want to lie sowing</v>
      </c>
      <c r="D4386" s="4" t="s">
        <v>7164</v>
      </c>
      <c r="E4386" s="4">
        <v>6814669.0</v>
      </c>
      <c r="F4386" s="4">
        <v>35.0</v>
      </c>
      <c r="G4386" s="4" t="s">
        <v>7165</v>
      </c>
    </row>
    <row r="4387">
      <c r="A4387" s="1">
        <v>4385.0</v>
      </c>
      <c r="B4387" s="4" t="s">
        <v>7224</v>
      </c>
      <c r="C4387" s="4" t="str">
        <f>IFERROR(__xludf.DUMMYFUNCTION("GOOGLETRANSLATE(D:D,""auto"",""en"")"),"UK McDonald's closed shop long queues in front of the vehicle")</f>
        <v>UK McDonald's closed shop long queues in front of the vehicle</v>
      </c>
      <c r="D4387" s="4" t="s">
        <v>7192</v>
      </c>
      <c r="E4387" s="4">
        <v>6809190.0</v>
      </c>
      <c r="F4387" s="4">
        <v>36.0</v>
      </c>
      <c r="G4387" s="4" t="s">
        <v>7193</v>
      </c>
    </row>
    <row r="4388">
      <c r="A4388" s="1">
        <v>4386.0</v>
      </c>
      <c r="B4388" s="4" t="s">
        <v>7224</v>
      </c>
      <c r="C4388" s="4" t="str">
        <f>IFERROR(__xludf.DUMMYFUNCTION("GOOGLETRANSLATE(D:D,""auto"",""en"")"),"Xu Xu Juncong Mita connection")</f>
        <v>Xu Xu Juncong Mita connection</v>
      </c>
      <c r="D4388" s="4" t="s">
        <v>7190</v>
      </c>
      <c r="E4388" s="4">
        <v>6694570.0</v>
      </c>
      <c r="F4388" s="4">
        <v>37.0</v>
      </c>
      <c r="G4388" s="4" t="s">
        <v>7191</v>
      </c>
    </row>
    <row r="4389">
      <c r="A4389" s="1">
        <v>4387.0</v>
      </c>
      <c r="B4389" s="4" t="s">
        <v>7224</v>
      </c>
      <c r="C4389" s="4" t="str">
        <f>IFERROR(__xludf.DUMMYFUNCTION("GOOGLETRANSLATE(D:D,""auto"",""en"")"),"Giant Panda Starry Mood")</f>
        <v>Giant Panda Starry Mood</v>
      </c>
      <c r="D4389" s="4" t="s">
        <v>7125</v>
      </c>
      <c r="E4389" s="4">
        <v>6672305.0</v>
      </c>
      <c r="F4389" s="4">
        <v>38.0</v>
      </c>
      <c r="G4389" s="4" t="s">
        <v>7126</v>
      </c>
    </row>
    <row r="4390">
      <c r="A4390" s="1">
        <v>4388.0</v>
      </c>
      <c r="B4390" s="4" t="s">
        <v>7224</v>
      </c>
      <c r="C4390" s="4" t="str">
        <f>IFERROR(__xludf.DUMMYFUNCTION("GOOGLETRANSLATE(D:D,""auto"",""en"")"),"Three thousand crow kill bathhouse kiss")</f>
        <v>Three thousand crow kill bathhouse kiss</v>
      </c>
      <c r="D4390" s="4" t="s">
        <v>7180</v>
      </c>
      <c r="E4390" s="4">
        <v>6653679.0</v>
      </c>
      <c r="F4390" s="4">
        <v>39.0</v>
      </c>
      <c r="G4390" s="4" t="s">
        <v>7181</v>
      </c>
    </row>
    <row r="4391">
      <c r="A4391" s="1">
        <v>4389.0</v>
      </c>
      <c r="B4391" s="4" t="s">
        <v>7224</v>
      </c>
      <c r="C4391" s="4" t="str">
        <f>IFERROR(__xludf.DUMMYFUNCTION("GOOGLETRANSLATE(D:D,""auto"",""en"")"),"Jackson Wang 100ways teleport")</f>
        <v>Jackson Wang 100ways teleport</v>
      </c>
      <c r="D4391" s="4" t="s">
        <v>7089</v>
      </c>
      <c r="E4391" s="4">
        <v>6574019.0</v>
      </c>
      <c r="F4391" s="4">
        <v>40.0</v>
      </c>
      <c r="G4391" s="4" t="s">
        <v>7090</v>
      </c>
    </row>
    <row r="4392">
      <c r="A4392" s="1">
        <v>4390.0</v>
      </c>
      <c r="B4392" s="4" t="s">
        <v>7224</v>
      </c>
      <c r="C4392" s="4" t="str">
        <f>IFERROR(__xludf.DUMMYFUNCTION("GOOGLETRANSLATE(D:D,""auto"",""en"")"),"100ways child dog dance")</f>
        <v>100ways child dog dance</v>
      </c>
      <c r="D4392" s="4" t="s">
        <v>7184</v>
      </c>
      <c r="E4392" s="4">
        <v>6566936.0</v>
      </c>
      <c r="F4392" s="4">
        <v>41.0</v>
      </c>
      <c r="G4392" s="4" t="s">
        <v>7185</v>
      </c>
    </row>
    <row r="4393">
      <c r="A4393" s="1">
        <v>4391.0</v>
      </c>
      <c r="B4393" s="4" t="s">
        <v>7224</v>
      </c>
      <c r="C4393" s="4" t="str">
        <f>IFERROR(__xludf.DUMMYFUNCTION("GOOGLETRANSLATE(D:D,""auto"",""en"")"),"Hunan school time")</f>
        <v>Hunan school time</v>
      </c>
      <c r="D4393" s="4" t="s">
        <v>7273</v>
      </c>
      <c r="E4393" s="4">
        <v>6221359.0</v>
      </c>
      <c r="F4393" s="4">
        <v>42.0</v>
      </c>
      <c r="G4393" s="4" t="s">
        <v>7274</v>
      </c>
    </row>
    <row r="4394">
      <c r="A4394" s="1">
        <v>4392.0</v>
      </c>
      <c r="B4394" s="4" t="s">
        <v>7224</v>
      </c>
      <c r="C4394" s="4" t="str">
        <f>IFERROR(__xludf.DUMMYFUNCTION("GOOGLETRANSLATE(D:D,""auto"",""en"")"),"Qin Xiao Yin Liu Yan Climbing")</f>
        <v>Qin Xiao Yin Liu Yan Climbing</v>
      </c>
      <c r="D4394" s="4" t="s">
        <v>7275</v>
      </c>
      <c r="E4394" s="4">
        <v>6217961.0</v>
      </c>
      <c r="F4394" s="4">
        <v>43.0</v>
      </c>
      <c r="G4394" s="4" t="s">
        <v>7276</v>
      </c>
    </row>
    <row r="4395">
      <c r="A4395" s="1">
        <v>4393.0</v>
      </c>
      <c r="B4395" s="4" t="s">
        <v>7224</v>
      </c>
      <c r="C4395" s="4" t="str">
        <f>IFERROR(__xludf.DUMMYFUNCTION("GOOGLETRANSLATE(D:D,""auto"",""en"")"),"Tan Chuan Fu Jiuyun confession")</f>
        <v>Tan Chuan Fu Jiuyun confession</v>
      </c>
      <c r="D4395" s="4" t="s">
        <v>7277</v>
      </c>
      <c r="E4395" s="4">
        <v>6214916.0</v>
      </c>
      <c r="F4395" s="4">
        <v>44.0</v>
      </c>
      <c r="G4395" s="4" t="s">
        <v>7278</v>
      </c>
    </row>
    <row r="4396">
      <c r="A4396" s="1">
        <v>4394.0</v>
      </c>
      <c r="B4396" s="4" t="s">
        <v>7224</v>
      </c>
      <c r="C4396" s="4" t="str">
        <f>IFERROR(__xludf.DUMMYFUNCTION("GOOGLETRANSLATE(D:D,""auto"",""en"")"),"Zhou deep collapse Dara Sing jump Elysium")</f>
        <v>Zhou deep collapse Dara Sing jump Elysium</v>
      </c>
      <c r="D4396" s="4" t="s">
        <v>7279</v>
      </c>
      <c r="E4396" s="4">
        <v>5986011.0</v>
      </c>
      <c r="F4396" s="4">
        <v>45.0</v>
      </c>
      <c r="G4396" s="4" t="s">
        <v>7280</v>
      </c>
    </row>
    <row r="4397">
      <c r="A4397" s="1">
        <v>4395.0</v>
      </c>
      <c r="B4397" s="4" t="s">
        <v>7224</v>
      </c>
      <c r="C4397" s="4" t="str">
        <f>IFERROR(__xludf.DUMMYFUNCTION("GOOGLETRANSLATE(D:D,""auto"",""en"")"),"Nanjing offers heart-warming response services for foreign residents")</f>
        <v>Nanjing offers heart-warming response services for foreign residents</v>
      </c>
      <c r="D4397" s="4" t="s">
        <v>7281</v>
      </c>
      <c r="E4397" s="4">
        <v>5941168.0</v>
      </c>
      <c r="F4397" s="4">
        <v>46.0</v>
      </c>
      <c r="G4397" s="4" t="s">
        <v>7282</v>
      </c>
    </row>
    <row r="4398">
      <c r="A4398" s="1">
        <v>4396.0</v>
      </c>
      <c r="B4398" s="4" t="s">
        <v>7224</v>
      </c>
      <c r="C4398" s="4" t="str">
        <f>IFERROR(__xludf.DUMMYFUNCTION("GOOGLETRANSLATE(D:D,""auto"",""en"")"),"Tan Kenji everywhere kiss")</f>
        <v>Tan Kenji everywhere kiss</v>
      </c>
      <c r="D4398" s="4" t="s">
        <v>7283</v>
      </c>
      <c r="E4398" s="4">
        <v>5835684.0</v>
      </c>
      <c r="F4398" s="4">
        <v>47.0</v>
      </c>
      <c r="G4398" s="4" t="s">
        <v>7284</v>
      </c>
    </row>
    <row r="4399">
      <c r="A4399" s="1">
        <v>4397.0</v>
      </c>
      <c r="B4399" s="4" t="s">
        <v>7224</v>
      </c>
      <c r="C4399" s="4" t="str">
        <f>IFERROR(__xludf.DUMMYFUNCTION("GOOGLETRANSLATE(D:D,""auto"",""en"")"),"Lin Yun Zhang Xincheng skiing")</f>
        <v>Lin Yun Zhang Xincheng skiing</v>
      </c>
      <c r="D4399" s="4" t="s">
        <v>7285</v>
      </c>
      <c r="E4399" s="4">
        <v>5713442.0</v>
      </c>
      <c r="F4399" s="4">
        <v>48.0</v>
      </c>
      <c r="G4399" s="4" t="s">
        <v>7286</v>
      </c>
    </row>
    <row r="4400">
      <c r="A4400" s="1">
        <v>4398.0</v>
      </c>
      <c r="B4400" s="4" t="s">
        <v>7224</v>
      </c>
      <c r="C4400" s="4" t="str">
        <f>IFERROR(__xludf.DUMMYFUNCTION("GOOGLETRANSLATE(D:D,""auto"",""en"")"),"The original traffic light there is so much")</f>
        <v>The original traffic light there is so much</v>
      </c>
      <c r="D4400" s="4" t="s">
        <v>7287</v>
      </c>
      <c r="E4400" s="4">
        <v>5652317.0</v>
      </c>
      <c r="F4400" s="4">
        <v>49.0</v>
      </c>
      <c r="G4400" s="4" t="s">
        <v>7288</v>
      </c>
    </row>
    <row r="4401">
      <c r="A4401" s="1">
        <v>4399.0</v>
      </c>
      <c r="B4401" s="4" t="s">
        <v>7224</v>
      </c>
      <c r="C4401" s="4" t="str">
        <f>IFERROR(__xludf.DUMMYFUNCTION("GOOGLETRANSLATE(D:D,""auto"",""en"")"),"New 8189 cases of confirmed cases in Spain")</f>
        <v>New 8189 cases of confirmed cases in Spain</v>
      </c>
      <c r="D4401" s="4" t="s">
        <v>7289</v>
      </c>
      <c r="E4401" s="4">
        <v>5645064.0</v>
      </c>
      <c r="F4401" s="4">
        <v>50.0</v>
      </c>
      <c r="G4401" s="4" t="s">
        <v>7290</v>
      </c>
    </row>
    <row r="4402">
      <c r="A4402" s="1">
        <v>4400.0</v>
      </c>
      <c r="B4402" s="4" t="s">
        <v>7291</v>
      </c>
      <c r="C4402" s="4" t="str">
        <f>IFERROR(__xludf.DUMMYFUNCTION("GOOGLETRANSLATE(D:D,""auto"",""en"")"),"Overheating bargain")</f>
        <v>Overheating bargain</v>
      </c>
      <c r="D4402" s="4" t="s">
        <v>7292</v>
      </c>
      <c r="E4402" s="4">
        <v>1.4095459E7</v>
      </c>
      <c r="F4402" s="4">
        <v>1.0</v>
      </c>
      <c r="G4402" s="4" t="s">
        <v>7293</v>
      </c>
    </row>
    <row r="4403">
      <c r="A4403" s="1">
        <v>4401.0</v>
      </c>
      <c r="B4403" s="4" t="s">
        <v>7291</v>
      </c>
      <c r="C4403" s="4" t="str">
        <f>IFERROR(__xludf.DUMMYFUNCTION("GOOGLETRANSLATE(D:D,""auto"",""en"")"),"Ju Jing Yi played risks fall")</f>
        <v>Ju Jing Yi played risks fall</v>
      </c>
      <c r="D4403" s="4" t="s">
        <v>7294</v>
      </c>
      <c r="E4403" s="4">
        <v>1.3128598E7</v>
      </c>
      <c r="F4403" s="4">
        <v>2.0</v>
      </c>
      <c r="G4403" s="4" t="s">
        <v>7295</v>
      </c>
    </row>
    <row r="4404">
      <c r="A4404" s="1">
        <v>4402.0</v>
      </c>
      <c r="B4404" s="4" t="s">
        <v>7291</v>
      </c>
      <c r="C4404" s="4" t="str">
        <f>IFERROR(__xludf.DUMMYFUNCTION("GOOGLETRANSLATE(D:D,""auto"",""en"")"),"Suffocating rap scene")</f>
        <v>Suffocating rap scene</v>
      </c>
      <c r="D4404" s="4" t="s">
        <v>7296</v>
      </c>
      <c r="E4404" s="4">
        <v>1.2904824E7</v>
      </c>
      <c r="F4404" s="4">
        <v>3.0</v>
      </c>
      <c r="G4404" s="4" t="s">
        <v>7297</v>
      </c>
    </row>
    <row r="4405">
      <c r="A4405" s="1">
        <v>4403.0</v>
      </c>
      <c r="B4405" s="4" t="s">
        <v>7291</v>
      </c>
      <c r="C4405" s="4" t="str">
        <f>IFERROR(__xludf.DUMMYFUNCTION("GOOGLETRANSLATE(D:D,""auto"",""en"")"),"Amber is Shirley birthday")</f>
        <v>Amber is Shirley birthday</v>
      </c>
      <c r="D4405" s="4" t="s">
        <v>7298</v>
      </c>
      <c r="E4405" s="4">
        <v>1.2758453E7</v>
      </c>
      <c r="F4405" s="4">
        <v>4.0</v>
      </c>
      <c r="G4405" s="4" t="s">
        <v>7299</v>
      </c>
    </row>
    <row r="4406">
      <c r="A4406" s="1">
        <v>4404.0</v>
      </c>
      <c r="B4406" s="4" t="s">
        <v>7291</v>
      </c>
      <c r="C4406" s="4" t="str">
        <f>IFERROR(__xludf.DUMMYFUNCTION("GOOGLETRANSLATE(D:D,""auto"",""en"")"),"Chen used to live Brush Rose gift")</f>
        <v>Chen used to live Brush Rose gift</v>
      </c>
      <c r="D4406" s="4" t="s">
        <v>7300</v>
      </c>
      <c r="E4406" s="4">
        <v>1.2462591E7</v>
      </c>
      <c r="F4406" s="4">
        <v>5.0</v>
      </c>
      <c r="G4406" s="4" t="s">
        <v>7301</v>
      </c>
    </row>
    <row r="4407">
      <c r="A4407" s="1">
        <v>4405.0</v>
      </c>
      <c r="B4407" s="4" t="s">
        <v>7291</v>
      </c>
      <c r="C4407" s="4" t="str">
        <f>IFERROR(__xludf.DUMMYFUNCTION("GOOGLETRANSLATE(D:D,""auto"",""en"")"),"Trump said the United States from China's experience learn a lot")</f>
        <v>Trump said the United States from China's experience learn a lot</v>
      </c>
      <c r="D4407" s="4" t="s">
        <v>7302</v>
      </c>
      <c r="E4407" s="4">
        <v>1.1162077E7</v>
      </c>
      <c r="F4407" s="4">
        <v>6.0</v>
      </c>
      <c r="G4407" s="4" t="s">
        <v>7303</v>
      </c>
    </row>
    <row r="4408">
      <c r="A4408" s="1">
        <v>4406.0</v>
      </c>
      <c r="B4408" s="4" t="s">
        <v>7291</v>
      </c>
      <c r="C4408" s="4" t="str">
        <f>IFERROR(__xludf.DUMMYFUNCTION("GOOGLETRANSLATE(D:D,""auto"",""en"")"),"Great God ventriloquist reduction Bainiaozhaofeng")</f>
        <v>Great God ventriloquist reduction Bainiaozhaofeng</v>
      </c>
      <c r="D4408" s="4" t="s">
        <v>7304</v>
      </c>
      <c r="E4408" s="4">
        <v>1.0568478E7</v>
      </c>
      <c r="F4408" s="4">
        <v>7.0</v>
      </c>
      <c r="G4408" s="4" t="s">
        <v>7305</v>
      </c>
    </row>
    <row r="4409">
      <c r="A4409" s="1">
        <v>4407.0</v>
      </c>
      <c r="B4409" s="4" t="s">
        <v>7291</v>
      </c>
      <c r="C4409" s="4" t="str">
        <f>IFERROR(__xludf.DUMMYFUNCTION("GOOGLETRANSLATE(D:D,""auto"",""en"")"),"Earth Hour lights-out live")</f>
        <v>Earth Hour lights-out live</v>
      </c>
      <c r="D4409" s="4" t="s">
        <v>7237</v>
      </c>
      <c r="E4409" s="4">
        <v>9966391.0</v>
      </c>
      <c r="F4409" s="4">
        <v>8.0</v>
      </c>
      <c r="G4409" s="4" t="s">
        <v>7238</v>
      </c>
    </row>
    <row r="4410">
      <c r="A4410" s="1">
        <v>4408.0</v>
      </c>
      <c r="B4410" s="4" t="s">
        <v>7291</v>
      </c>
      <c r="C4410" s="4" t="str">
        <f>IFERROR(__xludf.DUMMYFUNCTION("GOOGLETRANSLATE(D:D,""auto"",""en"")"),"Adult collapse in an instant")</f>
        <v>Adult collapse in an instant</v>
      </c>
      <c r="D4410" s="4" t="s">
        <v>7243</v>
      </c>
      <c r="E4410" s="4">
        <v>9834418.0</v>
      </c>
      <c r="F4410" s="4">
        <v>9.0</v>
      </c>
      <c r="G4410" s="4" t="s">
        <v>7244</v>
      </c>
    </row>
    <row r="4411">
      <c r="A4411" s="1">
        <v>4409.0</v>
      </c>
      <c r="B4411" s="4" t="s">
        <v>7291</v>
      </c>
      <c r="C4411" s="4" t="str">
        <f>IFERROR(__xludf.DUMMYFUNCTION("GOOGLETRANSLATE(D:D,""auto"",""en"")"),"Kan Kiyoko to talk about marriage")</f>
        <v>Kan Kiyoko to talk about marriage</v>
      </c>
      <c r="D4411" s="4" t="s">
        <v>7245</v>
      </c>
      <c r="E4411" s="4">
        <v>9595516.0</v>
      </c>
      <c r="F4411" s="4">
        <v>10.0</v>
      </c>
      <c r="G4411" s="4" t="s">
        <v>7246</v>
      </c>
    </row>
    <row r="4412">
      <c r="A4412" s="1">
        <v>4410.0</v>
      </c>
      <c r="B4412" s="4" t="s">
        <v>7291</v>
      </c>
      <c r="C4412" s="4" t="str">
        <f>IFERROR(__xludf.DUMMYFUNCTION("GOOGLETRANSLATE(D:D,""auto"",""en"")"),"Xiao Wang Taili central to refuel daughter")</f>
        <v>Xiao Wang Taili central to refuel daughter</v>
      </c>
      <c r="D4412" s="4" t="s">
        <v>7231</v>
      </c>
      <c r="E4412" s="4">
        <v>9419296.0</v>
      </c>
      <c r="F4412" s="4">
        <v>11.0</v>
      </c>
      <c r="G4412" s="4" t="s">
        <v>7232</v>
      </c>
    </row>
    <row r="4413">
      <c r="A4413" s="1">
        <v>4411.0</v>
      </c>
      <c r="B4413" s="4" t="s">
        <v>7291</v>
      </c>
      <c r="C4413" s="4" t="str">
        <f>IFERROR(__xludf.DUMMYFUNCTION("GOOGLETRANSLATE(D:D,""auto"",""en"")"),"US new crown over 120,000 cases diagnosed pneumonia")</f>
        <v>US new crown over 120,000 cases diagnosed pneumonia</v>
      </c>
      <c r="D4413" s="4" t="s">
        <v>7306</v>
      </c>
      <c r="E4413" s="4">
        <v>9078584.0</v>
      </c>
      <c r="F4413" s="4">
        <v>12.0</v>
      </c>
      <c r="G4413" s="4" t="s">
        <v>7307</v>
      </c>
    </row>
    <row r="4414">
      <c r="A4414" s="1">
        <v>4412.0</v>
      </c>
      <c r="B4414" s="4" t="s">
        <v>7291</v>
      </c>
      <c r="C4414" s="4" t="str">
        <f>IFERROR(__xludf.DUMMYFUNCTION("GOOGLETRANSLATE(D:D,""auto"",""en"")"),"National new cases of 45 cases")</f>
        <v>National new cases of 45 cases</v>
      </c>
      <c r="D4414" s="4" t="s">
        <v>7308</v>
      </c>
      <c r="E4414" s="4">
        <v>8857390.0</v>
      </c>
      <c r="F4414" s="4">
        <v>13.0</v>
      </c>
      <c r="G4414" s="4" t="s">
        <v>7309</v>
      </c>
    </row>
    <row r="4415">
      <c r="A4415" s="1">
        <v>4413.0</v>
      </c>
      <c r="B4415" s="4" t="s">
        <v>7291</v>
      </c>
      <c r="C4415" s="4" t="str">
        <f>IFERROR(__xludf.DUMMYFUNCTION("GOOGLETRANSLATE(D:D,""auto"",""en"")"),"Lu Han Huang Zitao biubiu tune")</f>
        <v>Lu Han Huang Zitao biubiu tune</v>
      </c>
      <c r="D4415" s="4" t="s">
        <v>7172</v>
      </c>
      <c r="E4415" s="4">
        <v>8817768.0</v>
      </c>
      <c r="F4415" s="4">
        <v>14.0</v>
      </c>
      <c r="G4415" s="4" t="s">
        <v>7173</v>
      </c>
    </row>
    <row r="4416">
      <c r="A4416" s="1">
        <v>4414.0</v>
      </c>
      <c r="B4416" s="4" t="s">
        <v>7291</v>
      </c>
      <c r="C4416" s="4" t="str">
        <f>IFERROR(__xludf.DUMMYFUNCTION("GOOGLETRANSLATE(D:D,""auto"",""en"")"),"New York Governor said forced isolation is equivalent to a declaration of war")</f>
        <v>New York Governor said forced isolation is equivalent to a declaration of war</v>
      </c>
      <c r="D4416" s="4" t="s">
        <v>7310</v>
      </c>
      <c r="E4416" s="4">
        <v>8803094.0</v>
      </c>
      <c r="F4416" s="4">
        <v>15.0</v>
      </c>
      <c r="G4416" s="4" t="s">
        <v>7311</v>
      </c>
    </row>
    <row r="4417">
      <c r="A4417" s="1">
        <v>4415.0</v>
      </c>
      <c r="B4417" s="4" t="s">
        <v>7291</v>
      </c>
      <c r="C4417" s="4" t="str">
        <f>IFERROR(__xludf.DUMMYFUNCTION("GOOGLETRANSLATE(D:D,""auto"",""en"")"),"Chinese limousine stunning debut")</f>
        <v>Chinese limousine stunning debut</v>
      </c>
      <c r="D4417" s="4" t="s">
        <v>7312</v>
      </c>
      <c r="E4417" s="4">
        <v>8802770.0</v>
      </c>
      <c r="F4417" s="4">
        <v>16.0</v>
      </c>
      <c r="G4417" s="4" t="s">
        <v>7313</v>
      </c>
    </row>
    <row r="4418">
      <c r="A4418" s="1">
        <v>4416.0</v>
      </c>
      <c r="B4418" s="4" t="s">
        <v>7291</v>
      </c>
      <c r="C4418" s="4" t="str">
        <f>IFERROR(__xludf.DUMMYFUNCTION("GOOGLETRANSLATE(D:D,""auto"",""en"")"),"Iceland found the world's first dual infection")</f>
        <v>Iceland found the world's first dual infection</v>
      </c>
      <c r="D4418" s="4" t="s">
        <v>7314</v>
      </c>
      <c r="E4418" s="4">
        <v>8802447.0</v>
      </c>
      <c r="F4418" s="4">
        <v>17.0</v>
      </c>
      <c r="G4418" s="4" t="s">
        <v>7315</v>
      </c>
    </row>
    <row r="4419">
      <c r="A4419" s="1">
        <v>4417.0</v>
      </c>
      <c r="B4419" s="4" t="s">
        <v>7291</v>
      </c>
      <c r="C4419" s="4" t="str">
        <f>IFERROR(__xludf.DUMMYFUNCTION("GOOGLETRANSLATE(D:D,""auto"",""en"")"),"Russia since March 30 entry and exit restrictions")</f>
        <v>Russia since March 30 entry and exit restrictions</v>
      </c>
      <c r="D4419" s="4" t="s">
        <v>7316</v>
      </c>
      <c r="E4419" s="4">
        <v>8802396.0</v>
      </c>
      <c r="F4419" s="4">
        <v>18.0</v>
      </c>
      <c r="G4419" s="4" t="s">
        <v>7317</v>
      </c>
    </row>
    <row r="4420">
      <c r="A4420" s="1">
        <v>4418.0</v>
      </c>
      <c r="B4420" s="4" t="s">
        <v>7291</v>
      </c>
      <c r="C4420" s="4" t="str">
        <f>IFERROR(__xludf.DUMMYFUNCTION("GOOGLETRANSLATE(D:D,""auto"",""en"")"),"Italy new confirmed cases 5974 cases")</f>
        <v>Italy new confirmed cases 5974 cases</v>
      </c>
      <c r="D4420" s="4" t="s">
        <v>7318</v>
      </c>
      <c r="E4420" s="4">
        <v>8802341.0</v>
      </c>
      <c r="F4420" s="4">
        <v>19.0</v>
      </c>
      <c r="G4420" s="4" t="s">
        <v>7319</v>
      </c>
    </row>
    <row r="4421">
      <c r="A4421" s="1">
        <v>4419.0</v>
      </c>
      <c r="B4421" s="4" t="s">
        <v>7291</v>
      </c>
      <c r="C4421" s="4" t="str">
        <f>IFERROR(__xludf.DUMMYFUNCTION("GOOGLETRANSLATE(D:D,""auto"",""en"")"),"Fashionable Identification Bureau")</f>
        <v>Fashionable Identification Bureau</v>
      </c>
      <c r="D4421" s="4" t="s">
        <v>7040</v>
      </c>
      <c r="E4421" s="4">
        <v>8582754.0</v>
      </c>
      <c r="F4421" s="4">
        <v>20.0</v>
      </c>
      <c r="G4421" s="4" t="s">
        <v>7041</v>
      </c>
    </row>
    <row r="4422">
      <c r="A4422" s="1">
        <v>4420.0</v>
      </c>
      <c r="B4422" s="4" t="s">
        <v>7291</v>
      </c>
      <c r="C4422" s="4" t="str">
        <f>IFERROR(__xludf.DUMMYFUNCTION("GOOGLETRANSLATE(D:D,""auto"",""en"")"),"Pornography do to respond to the domestic version number N Room")</f>
        <v>Pornography do to respond to the domestic version number N Room</v>
      </c>
      <c r="D4422" s="4" t="s">
        <v>7320</v>
      </c>
      <c r="E4422" s="4">
        <v>8056793.0</v>
      </c>
      <c r="F4422" s="4">
        <v>21.0</v>
      </c>
      <c r="G4422" s="4" t="s">
        <v>7321</v>
      </c>
    </row>
    <row r="4423">
      <c r="A4423" s="1">
        <v>4421.0</v>
      </c>
      <c r="B4423" s="4" t="s">
        <v>7291</v>
      </c>
      <c r="C4423" s="4" t="str">
        <f>IFERROR(__xludf.DUMMYFUNCTION("GOOGLETRANSLATE(D:D,""auto"",""en"")"),"Academician Lu Shibi death")</f>
        <v>Academician Lu Shibi death</v>
      </c>
      <c r="D4423" s="4" t="s">
        <v>7322</v>
      </c>
      <c r="E4423" s="4">
        <v>7905391.0</v>
      </c>
      <c r="F4423" s="4">
        <v>22.0</v>
      </c>
      <c r="G4423" s="4" t="s">
        <v>7323</v>
      </c>
    </row>
    <row r="4424">
      <c r="A4424" s="1">
        <v>4422.0</v>
      </c>
      <c r="B4424" s="4" t="s">
        <v>7291</v>
      </c>
      <c r="C4424" s="4" t="str">
        <f>IFERROR(__xludf.DUMMYFUNCTION("GOOGLETRANSLATE(D:D,""auto"",""en"")"),"France ordering one billion masks to China")</f>
        <v>France ordering one billion masks to China</v>
      </c>
      <c r="D4424" s="4" t="s">
        <v>7324</v>
      </c>
      <c r="E4424" s="4">
        <v>7838283.0</v>
      </c>
      <c r="F4424" s="4">
        <v>23.0</v>
      </c>
      <c r="G4424" s="4" t="s">
        <v>7325</v>
      </c>
    </row>
    <row r="4425">
      <c r="A4425" s="1">
        <v>4423.0</v>
      </c>
      <c r="B4425" s="4" t="s">
        <v>7291</v>
      </c>
      <c r="C4425" s="4" t="str">
        <f>IFERROR(__xludf.DUMMYFUNCTION("GOOGLETRANSLATE(D:D,""auto"",""en"")"),"British nurses go to work the whole street to applaud her")</f>
        <v>British nurses go to work the whole street to applaud her</v>
      </c>
      <c r="D4425" s="4" t="s">
        <v>7326</v>
      </c>
      <c r="E4425" s="4">
        <v>7713432.0</v>
      </c>
      <c r="F4425" s="4">
        <v>24.0</v>
      </c>
      <c r="G4425" s="4" t="s">
        <v>7327</v>
      </c>
    </row>
    <row r="4426">
      <c r="A4426" s="1">
        <v>4424.0</v>
      </c>
      <c r="B4426" s="4" t="s">
        <v>7291</v>
      </c>
      <c r="C4426" s="4" t="str">
        <f>IFERROR(__xludf.DUMMYFUNCTION("GOOGLETRANSLATE(D:D,""auto"",""en"")"),"Sichuan Muli forest fires")</f>
        <v>Sichuan Muli forest fires</v>
      </c>
      <c r="D4426" s="4" t="s">
        <v>7328</v>
      </c>
      <c r="E4426" s="4">
        <v>7235793.0</v>
      </c>
      <c r="F4426" s="4">
        <v>25.0</v>
      </c>
      <c r="G4426" s="4" t="s">
        <v>7329</v>
      </c>
    </row>
    <row r="4427">
      <c r="A4427" s="1">
        <v>4425.0</v>
      </c>
      <c r="B4427" s="4" t="s">
        <v>7291</v>
      </c>
      <c r="C4427" s="4" t="str">
        <f>IFERROR(__xludf.DUMMYFUNCTION("GOOGLETRANSLATE(D:D,""auto"",""en"")"),"Distressed raw lotus")</f>
        <v>Distressed raw lotus</v>
      </c>
      <c r="D4427" s="4" t="s">
        <v>7259</v>
      </c>
      <c r="E4427" s="4">
        <v>7045239.0</v>
      </c>
      <c r="F4427" s="4">
        <v>26.0</v>
      </c>
      <c r="G4427" s="4" t="s">
        <v>7260</v>
      </c>
    </row>
    <row r="4428">
      <c r="A4428" s="1">
        <v>4426.0</v>
      </c>
      <c r="B4428" s="4" t="s">
        <v>7291</v>
      </c>
      <c r="C4428" s="4" t="str">
        <f>IFERROR(__xludf.DUMMYFUNCTION("GOOGLETRANSLATE(D:D,""auto"",""en"")"),"Henan Jia County found two new cases were detected positive for pneumonia crown")</f>
        <v>Henan Jia County found two new cases were detected positive for pneumonia crown</v>
      </c>
      <c r="D4428" s="4" t="s">
        <v>7330</v>
      </c>
      <c r="E4428" s="4">
        <v>7026555.0</v>
      </c>
      <c r="F4428" s="4">
        <v>27.0</v>
      </c>
      <c r="G4428" s="4" t="s">
        <v>7331</v>
      </c>
    </row>
    <row r="4429">
      <c r="A4429" s="1">
        <v>4427.0</v>
      </c>
      <c r="B4429" s="4" t="s">
        <v>7291</v>
      </c>
      <c r="C4429" s="4" t="str">
        <f>IFERROR(__xludf.DUMMYFUNCTION("GOOGLETRANSLATE(D:D,""auto"",""en"")"),"Zheng Shuang appeared live between Silvia")</f>
        <v>Zheng Shuang appeared live between Silvia</v>
      </c>
      <c r="D4429" s="4" t="s">
        <v>7247</v>
      </c>
      <c r="E4429" s="4">
        <v>6990123.0</v>
      </c>
      <c r="F4429" s="4">
        <v>28.0</v>
      </c>
      <c r="G4429" s="4" t="s">
        <v>7248</v>
      </c>
    </row>
    <row r="4430">
      <c r="A4430" s="1">
        <v>4428.0</v>
      </c>
      <c r="B4430" s="4" t="s">
        <v>7291</v>
      </c>
      <c r="C4430" s="4" t="str">
        <f>IFERROR(__xludf.DUMMYFUNCTION("GOOGLETRANSLATE(D:D,""auto"",""en"")"),"Open the talent show by way of rap")</f>
        <v>Open the talent show by way of rap</v>
      </c>
      <c r="D4430" s="4" t="s">
        <v>7332</v>
      </c>
      <c r="E4430" s="4">
        <v>6986135.0</v>
      </c>
      <c r="F4430" s="4">
        <v>29.0</v>
      </c>
      <c r="G4430" s="4" t="s">
        <v>7333</v>
      </c>
    </row>
    <row r="4431">
      <c r="A4431" s="1">
        <v>4429.0</v>
      </c>
      <c r="B4431" s="4" t="s">
        <v>7291</v>
      </c>
      <c r="C4431" s="4" t="str">
        <f>IFERROR(__xludf.DUMMYFUNCTION("GOOGLETRANSLATE(D:D,""auto"",""en"")"),"Wei health committee of local spread of the epidemic has been basically blocked")</f>
        <v>Wei health committee of local spread of the epidemic has been basically blocked</v>
      </c>
      <c r="D4431" s="4" t="s">
        <v>7334</v>
      </c>
      <c r="E4431" s="4">
        <v>6890360.0</v>
      </c>
      <c r="F4431" s="4">
        <v>30.0</v>
      </c>
      <c r="G4431" s="4" t="s">
        <v>7335</v>
      </c>
    </row>
    <row r="4432">
      <c r="A4432" s="1">
        <v>4430.0</v>
      </c>
      <c r="B4432" s="4" t="s">
        <v>7291</v>
      </c>
      <c r="C4432" s="4" t="str">
        <f>IFERROR(__xludf.DUMMYFUNCTION("GOOGLETRANSLATE(D:D,""auto"",""en"")"),"gala sing rudy overturned")</f>
        <v>gala sing rudy overturned</v>
      </c>
      <c r="D4432" s="4" t="s">
        <v>7336</v>
      </c>
      <c r="E4432" s="4">
        <v>6581293.0</v>
      </c>
      <c r="F4432" s="4">
        <v>31.0</v>
      </c>
      <c r="G4432" s="4" t="s">
        <v>7337</v>
      </c>
    </row>
    <row r="4433">
      <c r="A4433" s="1">
        <v>4431.0</v>
      </c>
      <c r="B4433" s="4" t="s">
        <v>7291</v>
      </c>
      <c r="C4433" s="4" t="str">
        <f>IFERROR(__xludf.DUMMYFUNCTION("GOOGLETRANSLATE(D:D,""auto"",""en"")"),"Zhou deep collapse Dara Sing jump Elysium")</f>
        <v>Zhou deep collapse Dara Sing jump Elysium</v>
      </c>
      <c r="D4433" s="4" t="s">
        <v>7279</v>
      </c>
      <c r="E4433" s="4">
        <v>6571792.0</v>
      </c>
      <c r="F4433" s="4">
        <v>32.0</v>
      </c>
      <c r="G4433" s="4" t="s">
        <v>7280</v>
      </c>
    </row>
    <row r="4434">
      <c r="A4434" s="1">
        <v>4432.0</v>
      </c>
      <c r="B4434" s="4" t="s">
        <v>7291</v>
      </c>
      <c r="C4434" s="4" t="str">
        <f>IFERROR(__xludf.DUMMYFUNCTION("GOOGLETRANSLATE(D:D,""auto"",""en"")"),"Two national women's ice hockey team confirmed the new crown pneumonia")</f>
        <v>Two national women's ice hockey team confirmed the new crown pneumonia</v>
      </c>
      <c r="D4434" s="4" t="s">
        <v>7338</v>
      </c>
      <c r="E4434" s="4">
        <v>6407353.0</v>
      </c>
      <c r="F4434" s="4">
        <v>33.0</v>
      </c>
      <c r="G4434" s="4" t="s">
        <v>7339</v>
      </c>
    </row>
    <row r="4435">
      <c r="A4435" s="1">
        <v>4433.0</v>
      </c>
      <c r="B4435" s="4" t="s">
        <v>7291</v>
      </c>
      <c r="C4435" s="4" t="str">
        <f>IFERROR(__xludf.DUMMYFUNCTION("GOOGLETRANSLATE(D:D,""auto"",""en"")"),"The original traffic light there is so much")</f>
        <v>The original traffic light there is so much</v>
      </c>
      <c r="D4435" s="4" t="s">
        <v>7287</v>
      </c>
      <c r="E4435" s="4">
        <v>6403009.0</v>
      </c>
      <c r="F4435" s="4">
        <v>34.0</v>
      </c>
      <c r="G4435" s="4" t="s">
        <v>7288</v>
      </c>
    </row>
    <row r="4436">
      <c r="A4436" s="1">
        <v>4434.0</v>
      </c>
      <c r="B4436" s="4" t="s">
        <v>7291</v>
      </c>
      <c r="C4436" s="4" t="str">
        <f>IFERROR(__xludf.DUMMYFUNCTION("GOOGLETRANSLATE(D:D,""auto"",""en"")"),"Austrian segment's Juan chasing light")</f>
        <v>Austrian segment's Juan chasing light</v>
      </c>
      <c r="D4436" s="4" t="s">
        <v>7340</v>
      </c>
      <c r="E4436" s="4">
        <v>6319327.0</v>
      </c>
      <c r="F4436" s="4">
        <v>35.0</v>
      </c>
      <c r="G4436" s="4" t="s">
        <v>7341</v>
      </c>
    </row>
    <row r="4437">
      <c r="A4437" s="1">
        <v>4435.0</v>
      </c>
      <c r="B4437" s="4" t="s">
        <v>7291</v>
      </c>
      <c r="C4437" s="4" t="str">
        <f>IFERROR(__xludf.DUMMYFUNCTION("GOOGLETRANSLATE(D:D,""auto"",""en"")"),"Guo Allan Li Yi Feng Caesar dog food in public")</f>
        <v>Guo Allan Li Yi Feng Caesar dog food in public</v>
      </c>
      <c r="D4437" s="4" t="s">
        <v>7342</v>
      </c>
      <c r="E4437" s="4">
        <v>6258568.0</v>
      </c>
      <c r="F4437" s="4">
        <v>36.0</v>
      </c>
      <c r="G4437" s="4" t="s">
        <v>7343</v>
      </c>
    </row>
    <row r="4438">
      <c r="A4438" s="1">
        <v>4436.0</v>
      </c>
      <c r="B4438" s="4" t="s">
        <v>7291</v>
      </c>
      <c r="C4438" s="4" t="str">
        <f>IFERROR(__xludf.DUMMYFUNCTION("GOOGLETRANSLATE(D:D,""auto"",""en"")"),"Tan Kenji everywhere kiss")</f>
        <v>Tan Kenji everywhere kiss</v>
      </c>
      <c r="D4438" s="4" t="s">
        <v>7283</v>
      </c>
      <c r="E4438" s="4">
        <v>6220517.0</v>
      </c>
      <c r="F4438" s="4">
        <v>37.0</v>
      </c>
      <c r="G4438" s="4" t="s">
        <v>7284</v>
      </c>
    </row>
    <row r="4439">
      <c r="A4439" s="1">
        <v>4437.0</v>
      </c>
      <c r="B4439" s="4" t="s">
        <v>7291</v>
      </c>
      <c r="C4439" s="4" t="str">
        <f>IFERROR(__xludf.DUMMYFUNCTION("GOOGLETRANSLATE(D:D,""auto"",""en"")"),"Eight fire engines collective action")</f>
        <v>Eight fire engines collective action</v>
      </c>
      <c r="D4439" s="4" t="s">
        <v>7253</v>
      </c>
      <c r="E4439" s="4">
        <v>6184413.0</v>
      </c>
      <c r="F4439" s="4">
        <v>38.0</v>
      </c>
      <c r="G4439" s="4" t="s">
        <v>7254</v>
      </c>
    </row>
    <row r="4440">
      <c r="A4440" s="1">
        <v>4438.0</v>
      </c>
      <c r="B4440" s="4" t="s">
        <v>7291</v>
      </c>
      <c r="C4440" s="4" t="str">
        <f>IFERROR(__xludf.DUMMYFUNCTION("GOOGLETRANSLATE(D:D,""auto"",""en"")"),"Badaling Great Wall lettering parties have been found")</f>
        <v>Badaling Great Wall lettering parties have been found</v>
      </c>
      <c r="D4440" s="4" t="s">
        <v>7263</v>
      </c>
      <c r="E4440" s="4">
        <v>6028334.0</v>
      </c>
      <c r="F4440" s="4">
        <v>39.0</v>
      </c>
      <c r="G4440" s="4" t="s">
        <v>7264</v>
      </c>
    </row>
    <row r="4441">
      <c r="A4441" s="1">
        <v>4439.0</v>
      </c>
      <c r="B4441" s="4" t="s">
        <v>7291</v>
      </c>
      <c r="C4441" s="4" t="str">
        <f>IFERROR(__xludf.DUMMYFUNCTION("GOOGLETRANSLATE(D:D,""auto"",""en"")"),"WHO Assistant Director-General told reporters in response to questions bright")</f>
        <v>WHO Assistant Director-General told reporters in response to questions bright</v>
      </c>
      <c r="D4441" s="4" t="s">
        <v>7344</v>
      </c>
      <c r="E4441" s="4">
        <v>6007723.0</v>
      </c>
      <c r="F4441" s="4">
        <v>40.0</v>
      </c>
      <c r="G4441" s="4" t="s">
        <v>7345</v>
      </c>
    </row>
    <row r="4442">
      <c r="A4442" s="1">
        <v>4440.0</v>
      </c>
      <c r="B4442" s="4" t="s">
        <v>7291</v>
      </c>
      <c r="C4442" s="4" t="str">
        <f>IFERROR(__xludf.DUMMYFUNCTION("GOOGLETRANSLATE(D:D,""auto"",""en"")"),"7098 people have been stranded in Hubei Beijing for Beijing")</f>
        <v>7098 people have been stranded in Hubei Beijing for Beijing</v>
      </c>
      <c r="D4442" s="4" t="s">
        <v>7346</v>
      </c>
      <c r="E4442" s="4">
        <v>5980086.0</v>
      </c>
      <c r="F4442" s="4">
        <v>41.0</v>
      </c>
      <c r="G4442" s="4" t="s">
        <v>7347</v>
      </c>
    </row>
    <row r="4443">
      <c r="A4443" s="1">
        <v>4441.0</v>
      </c>
      <c r="B4443" s="4" t="s">
        <v>7291</v>
      </c>
      <c r="C4443" s="4" t="str">
        <f>IFERROR(__xludf.DUMMYFUNCTION("GOOGLETRANSLATE(D:D,""auto"",""en"")"),"New Spain confirmed 6549 cases")</f>
        <v>New Spain confirmed 6549 cases</v>
      </c>
      <c r="D4443" s="4" t="s">
        <v>7348</v>
      </c>
      <c r="E4443" s="4">
        <v>5924364.0</v>
      </c>
      <c r="F4443" s="4">
        <v>42.0</v>
      </c>
      <c r="G4443" s="4" t="s">
        <v>7349</v>
      </c>
    </row>
    <row r="4444">
      <c r="A4444" s="1">
        <v>4442.0</v>
      </c>
      <c r="B4444" s="4" t="s">
        <v>7291</v>
      </c>
      <c r="C4444" s="4" t="str">
        <f>IFERROR(__xludf.DUMMYFUNCTION("GOOGLETRANSLATE(D:D,""auto"",""en"")"),"Shandong arrived in London to the UK Working Group")</f>
        <v>Shandong arrived in London to the UK Working Group</v>
      </c>
      <c r="D4444" s="4" t="s">
        <v>7350</v>
      </c>
      <c r="E4444" s="4">
        <v>5914853.0</v>
      </c>
      <c r="F4444" s="4">
        <v>43.0</v>
      </c>
      <c r="G4444" s="4" t="s">
        <v>7351</v>
      </c>
    </row>
    <row r="4445">
      <c r="A4445" s="1">
        <v>4443.0</v>
      </c>
      <c r="B4445" s="4" t="s">
        <v>7291</v>
      </c>
      <c r="C4445" s="4" t="str">
        <f>IFERROR(__xludf.DUMMYFUNCTION("GOOGLETRANSLATE(D:D,""auto"",""en"")"),"Girl heard only eat mom's food collapse")</f>
        <v>Girl heard only eat mom's food collapse</v>
      </c>
      <c r="D4445" s="4" t="s">
        <v>7352</v>
      </c>
      <c r="E4445" s="4">
        <v>5853158.0</v>
      </c>
      <c r="F4445" s="4">
        <v>44.0</v>
      </c>
      <c r="G4445" s="4" t="s">
        <v>7353</v>
      </c>
    </row>
    <row r="4446">
      <c r="A4446" s="1">
        <v>4444.0</v>
      </c>
      <c r="B4446" s="4" t="s">
        <v>7291</v>
      </c>
      <c r="C4446" s="4" t="str">
        <f>IFERROR(__xludf.DUMMYFUNCTION("GOOGLETRANSLATE(D:D,""auto"",""en"")"),"A young man who is not a school beauty")</f>
        <v>A young man who is not a school beauty</v>
      </c>
      <c r="D4446" s="4" t="s">
        <v>7354</v>
      </c>
      <c r="E4446" s="4">
        <v>5623600.0</v>
      </c>
      <c r="F4446" s="4">
        <v>45.0</v>
      </c>
      <c r="G4446" s="4" t="s">
        <v>7355</v>
      </c>
    </row>
    <row r="4447">
      <c r="A4447" s="1">
        <v>4445.0</v>
      </c>
      <c r="B4447" s="4" t="s">
        <v>7291</v>
      </c>
      <c r="C4447" s="4" t="str">
        <f>IFERROR(__xludf.DUMMYFUNCTION("GOOGLETRANSLATE(D:D,""auto"",""en"")"),"Yunnan forest fire")</f>
        <v>Yunnan forest fire</v>
      </c>
      <c r="D4447" s="4" t="s">
        <v>7356</v>
      </c>
      <c r="E4447" s="4">
        <v>5611035.0</v>
      </c>
      <c r="F4447" s="4">
        <v>46.0</v>
      </c>
      <c r="G4447" s="4" t="s">
        <v>7357</v>
      </c>
    </row>
    <row r="4448">
      <c r="A4448" s="1">
        <v>4446.0</v>
      </c>
      <c r="B4448" s="4" t="s">
        <v>7291</v>
      </c>
      <c r="C4448" s="4" t="str">
        <f>IFERROR(__xludf.DUMMYFUNCTION("GOOGLETRANSLATE(D:D,""auto"",""en"")"),"Buy 450 flat double room but spent 4500 yuan renovation")</f>
        <v>Buy 450 flat double room but spent 4500 yuan renovation</v>
      </c>
      <c r="D4448" s="4" t="s">
        <v>7174</v>
      </c>
      <c r="E4448" s="4">
        <v>5514350.0</v>
      </c>
      <c r="F4448" s="4">
        <v>47.0</v>
      </c>
      <c r="G4448" s="4" t="s">
        <v>7175</v>
      </c>
    </row>
    <row r="4449">
      <c r="A4449" s="1">
        <v>4447.0</v>
      </c>
      <c r="B4449" s="4" t="s">
        <v>7291</v>
      </c>
      <c r="C4449" s="4" t="str">
        <f>IFERROR(__xludf.DUMMYFUNCTION("GOOGLETRANSLATE(D:D,""auto"",""en"")"),"This fleeting dance Hung came")</f>
        <v>This fleeting dance Hung came</v>
      </c>
      <c r="D4449" s="4" t="s">
        <v>7160</v>
      </c>
      <c r="E4449" s="4">
        <v>5362506.0</v>
      </c>
      <c r="F4449" s="4">
        <v>48.0</v>
      </c>
      <c r="G4449" s="4" t="s">
        <v>7161</v>
      </c>
    </row>
    <row r="4450">
      <c r="A4450" s="1">
        <v>4448.0</v>
      </c>
      <c r="B4450" s="4" t="s">
        <v>7291</v>
      </c>
      <c r="C4450" s="4" t="str">
        <f>IFERROR(__xludf.DUMMYFUNCTION("GOOGLETRANSLATE(D:D,""auto"",""en"")"),"Isolated dot tease little brother rollover site")</f>
        <v>Isolated dot tease little brother rollover site</v>
      </c>
      <c r="D4450" s="4" t="s">
        <v>7186</v>
      </c>
      <c r="E4450" s="4">
        <v>5297669.0</v>
      </c>
      <c r="F4450" s="4">
        <v>49.0</v>
      </c>
      <c r="G4450" s="4" t="s">
        <v>7187</v>
      </c>
    </row>
    <row r="4451">
      <c r="A4451" s="1">
        <v>4449.0</v>
      </c>
      <c r="B4451" s="4" t="s">
        <v>7291</v>
      </c>
      <c r="C4451" s="4" t="str">
        <f>IFERROR(__xludf.DUMMYFUNCTION("GOOGLETRANSLATE(D:D,""auto"",""en"")"),"The name fairy lineup with family")</f>
        <v>The name fairy lineup with family</v>
      </c>
      <c r="D4451" s="4" t="s">
        <v>7170</v>
      </c>
      <c r="E4451" s="4">
        <v>5275913.0</v>
      </c>
      <c r="F4451" s="4">
        <v>50.0</v>
      </c>
      <c r="G4451" s="4" t="s">
        <v>7171</v>
      </c>
    </row>
    <row r="4452">
      <c r="A4452" s="1">
        <v>4450.0</v>
      </c>
      <c r="B4452" s="4" t="s">
        <v>7358</v>
      </c>
      <c r="C4452" s="4" t="str">
        <f>IFERROR(__xludf.DUMMYFUNCTION("GOOGLETRANSLATE(D:D,""auto"",""en"")"),"Luo Yunxi hold each of White Deer")</f>
        <v>Luo Yunxi hold each of White Deer</v>
      </c>
      <c r="D4452" s="4" t="s">
        <v>7359</v>
      </c>
      <c r="E4452" s="4">
        <v>1.3318799E7</v>
      </c>
      <c r="F4452" s="4">
        <v>1.0</v>
      </c>
      <c r="G4452" s="4" t="s">
        <v>7360</v>
      </c>
    </row>
    <row r="4453">
      <c r="A4453" s="1">
        <v>4451.0</v>
      </c>
      <c r="B4453" s="4" t="s">
        <v>7358</v>
      </c>
      <c r="C4453" s="4" t="str">
        <f>IFERROR(__xludf.DUMMYFUNCTION("GOOGLETRANSLATE(D:D,""auto"",""en"")"),"Overheating You have nothing to Haoheng of")</f>
        <v>Overheating You have nothing to Haoheng of</v>
      </c>
      <c r="D4453" s="4" t="s">
        <v>7361</v>
      </c>
      <c r="E4453" s="4">
        <v>1.2107864E7</v>
      </c>
      <c r="F4453" s="4">
        <v>2.0</v>
      </c>
      <c r="G4453" s="4" t="s">
        <v>7362</v>
      </c>
    </row>
    <row r="4454">
      <c r="A4454" s="1">
        <v>4452.0</v>
      </c>
      <c r="B4454" s="4" t="s">
        <v>7358</v>
      </c>
      <c r="C4454" s="4" t="str">
        <f>IFERROR(__xludf.DUMMYFUNCTION("GOOGLETRANSLATE(D:D,""auto"",""en"")"),"Overheating bargain")</f>
        <v>Overheating bargain</v>
      </c>
      <c r="D4454" s="4" t="s">
        <v>7292</v>
      </c>
      <c r="E4454" s="4">
        <v>1.1838943E7</v>
      </c>
      <c r="F4454" s="4">
        <v>3.0</v>
      </c>
      <c r="G4454" s="4" t="s">
        <v>7293</v>
      </c>
    </row>
    <row r="4455">
      <c r="A4455" s="1">
        <v>4453.0</v>
      </c>
      <c r="B4455" s="4" t="s">
        <v>7358</v>
      </c>
      <c r="C4455" s="4" t="str">
        <f>IFERROR(__xludf.DUMMYFUNCTION("GOOGLETRANSLATE(D:D,""auto"",""en"")"),"Trump said the United States from China's experience learn a lot")</f>
        <v>Trump said the United States from China's experience learn a lot</v>
      </c>
      <c r="D4455" s="4" t="s">
        <v>7302</v>
      </c>
      <c r="E4455" s="4">
        <v>1.0967705E7</v>
      </c>
      <c r="F4455" s="4">
        <v>4.0</v>
      </c>
      <c r="G4455" s="4" t="s">
        <v>7303</v>
      </c>
    </row>
    <row r="4456">
      <c r="A4456" s="1">
        <v>4454.0</v>
      </c>
      <c r="B4456" s="4" t="s">
        <v>7358</v>
      </c>
      <c r="C4456" s="4" t="str">
        <f>IFERROR(__xludf.DUMMYFUNCTION("GOOGLETRANSLATE(D:D,""auto"",""en"")"),"When Wang Yibo met his idol")</f>
        <v>When Wang Yibo met his idol</v>
      </c>
      <c r="D4456" s="4" t="s">
        <v>7363</v>
      </c>
      <c r="E4456" s="4">
        <v>1.0443766E7</v>
      </c>
      <c r="F4456" s="4">
        <v>5.0</v>
      </c>
      <c r="G4456" s="4" t="s">
        <v>7364</v>
      </c>
    </row>
    <row r="4457">
      <c r="A4457" s="1">
        <v>4455.0</v>
      </c>
      <c r="B4457" s="4" t="s">
        <v>7358</v>
      </c>
      <c r="C4457" s="4" t="str">
        <f>IFERROR(__xludf.DUMMYFUNCTION("GOOGLETRANSLATE(D:D,""auto"",""en"")"),"Yang Mi remember charging")</f>
        <v>Yang Mi remember charging</v>
      </c>
      <c r="D4457" s="4" t="s">
        <v>7365</v>
      </c>
      <c r="E4457" s="4">
        <v>9940047.0</v>
      </c>
      <c r="F4457" s="4">
        <v>6.0</v>
      </c>
      <c r="G4457" s="4" t="s">
        <v>7366</v>
      </c>
    </row>
    <row r="4458">
      <c r="A4458" s="1">
        <v>4456.0</v>
      </c>
      <c r="B4458" s="4" t="s">
        <v>7358</v>
      </c>
      <c r="C4458" s="4" t="str">
        <f>IFERROR(__xludf.DUMMYFUNCTION("GOOGLETRANSLATE(D:D,""auto"",""en"")"),"Meng Meiqi drink table Baiwu Xuan instrument")</f>
        <v>Meng Meiqi drink table Baiwu Xuan instrument</v>
      </c>
      <c r="D4458" s="4" t="s">
        <v>7367</v>
      </c>
      <c r="E4458" s="4">
        <v>9585597.0</v>
      </c>
      <c r="F4458" s="4">
        <v>7.0</v>
      </c>
      <c r="G4458" s="4" t="s">
        <v>7368</v>
      </c>
    </row>
    <row r="4459">
      <c r="A4459" s="1">
        <v>4457.0</v>
      </c>
      <c r="B4459" s="4" t="s">
        <v>7358</v>
      </c>
      <c r="C4459" s="4" t="str">
        <f>IFERROR(__xludf.DUMMYFUNCTION("GOOGLETRANSLATE(D:D,""auto"",""en"")"),"Chen used to live Brush Rose gift")</f>
        <v>Chen used to live Brush Rose gift</v>
      </c>
      <c r="D4459" s="4" t="s">
        <v>7300</v>
      </c>
      <c r="E4459" s="4">
        <v>9135949.0</v>
      </c>
      <c r="F4459" s="4">
        <v>8.0</v>
      </c>
      <c r="G4459" s="4" t="s">
        <v>7301</v>
      </c>
    </row>
    <row r="4460">
      <c r="A4460" s="1">
        <v>4458.0</v>
      </c>
      <c r="B4460" s="4" t="s">
        <v>7358</v>
      </c>
      <c r="C4460" s="4" t="str">
        <f>IFERROR(__xludf.DUMMYFUNCTION("GOOGLETRANSLATE(D:D,""auto"",""en"")"),"Ju Jing Yi played risks fall")</f>
        <v>Ju Jing Yi played risks fall</v>
      </c>
      <c r="D4460" s="4" t="s">
        <v>7294</v>
      </c>
      <c r="E4460" s="4">
        <v>8795939.0</v>
      </c>
      <c r="F4460" s="4">
        <v>9.0</v>
      </c>
      <c r="G4460" s="4" t="s">
        <v>7295</v>
      </c>
    </row>
    <row r="4461">
      <c r="A4461" s="1">
        <v>4459.0</v>
      </c>
      <c r="B4461" s="4" t="s">
        <v>7358</v>
      </c>
      <c r="C4461" s="4" t="str">
        <f>IFERROR(__xludf.DUMMYFUNCTION("GOOGLETRANSLATE(D:D,""auto"",""en"")"),"A passenger train derailed in Chenzhou, Hunan rollover")</f>
        <v>A passenger train derailed in Chenzhou, Hunan rollover</v>
      </c>
      <c r="D4461" s="4" t="s">
        <v>7369</v>
      </c>
      <c r="E4461" s="4">
        <v>8676612.0</v>
      </c>
      <c r="F4461" s="4">
        <v>10.0</v>
      </c>
      <c r="G4461" s="4" t="s">
        <v>7370</v>
      </c>
    </row>
    <row r="4462">
      <c r="A4462" s="1">
        <v>4460.0</v>
      </c>
      <c r="B4462" s="4" t="s">
        <v>7358</v>
      </c>
      <c r="C4462" s="4" t="str">
        <f>IFERROR(__xludf.DUMMYFUNCTION("GOOGLETRANSLATE(D:D,""auto"",""en"")"),"Progress love cream puffs Anson")</f>
        <v>Progress love cream puffs Anson</v>
      </c>
      <c r="D4462" s="4" t="s">
        <v>7371</v>
      </c>
      <c r="E4462" s="4">
        <v>8537424.0</v>
      </c>
      <c r="F4462" s="4">
        <v>11.0</v>
      </c>
      <c r="G4462" s="4" t="s">
        <v>7372</v>
      </c>
    </row>
    <row r="4463">
      <c r="A4463" s="1">
        <v>4461.0</v>
      </c>
      <c r="B4463" s="4" t="s">
        <v>7358</v>
      </c>
      <c r="C4463" s="4" t="str">
        <f>IFERROR(__xludf.DUMMYFUNCTION("GOOGLETRANSLATE(D:D,""auto"",""en"")"),"Let's rap Wan Neda think jonyj")</f>
        <v>Let's rap Wan Neda think jonyj</v>
      </c>
      <c r="D4463" s="4" t="s">
        <v>7373</v>
      </c>
      <c r="E4463" s="4">
        <v>7866558.0</v>
      </c>
      <c r="F4463" s="4">
        <v>12.0</v>
      </c>
      <c r="G4463" s="4" t="s">
        <v>7374</v>
      </c>
    </row>
    <row r="4464">
      <c r="A4464" s="1">
        <v>4462.0</v>
      </c>
      <c r="B4464" s="4" t="s">
        <v>7358</v>
      </c>
      <c r="C4464" s="4" t="str">
        <f>IFERROR(__xludf.DUMMYFUNCTION("GOOGLETRANSLATE(D:D,""auto"",""en"")"),"Suffocating rap scene")</f>
        <v>Suffocating rap scene</v>
      </c>
      <c r="D4464" s="4" t="s">
        <v>7296</v>
      </c>
      <c r="E4464" s="4">
        <v>7546832.0</v>
      </c>
      <c r="F4464" s="4">
        <v>13.0</v>
      </c>
      <c r="G4464" s="4" t="s">
        <v>7297</v>
      </c>
    </row>
    <row r="4465">
      <c r="A4465" s="1">
        <v>4463.0</v>
      </c>
      <c r="B4465" s="4" t="s">
        <v>7358</v>
      </c>
      <c r="C4465" s="4" t="str">
        <f>IFERROR(__xludf.DUMMYFUNCTION("GOOGLETRANSLATE(D:D,""auto"",""en"")"),"Net exposure limit challenge replace members")</f>
        <v>Net exposure limit challenge replace members</v>
      </c>
      <c r="D4465" s="4" t="s">
        <v>7375</v>
      </c>
      <c r="E4465" s="4">
        <v>7468379.0</v>
      </c>
      <c r="F4465" s="4">
        <v>14.0</v>
      </c>
      <c r="G4465" s="4" t="s">
        <v>7376</v>
      </c>
    </row>
    <row r="4466">
      <c r="A4466" s="1">
        <v>4464.0</v>
      </c>
      <c r="B4466" s="4" t="s">
        <v>7358</v>
      </c>
      <c r="C4466" s="4" t="str">
        <f>IFERROR(__xludf.DUMMYFUNCTION("GOOGLETRANSLATE(D:D,""auto"",""en"")"),"Time high energy adventurer")</f>
        <v>Time high energy adventurer</v>
      </c>
      <c r="D4466" s="4" t="s">
        <v>7377</v>
      </c>
      <c r="E4466" s="4">
        <v>7327774.0</v>
      </c>
      <c r="F4466" s="4">
        <v>15.0</v>
      </c>
      <c r="G4466" s="4" t="s">
        <v>7378</v>
      </c>
    </row>
    <row r="4467">
      <c r="A4467" s="1">
        <v>4465.0</v>
      </c>
      <c r="B4467" s="4" t="s">
        <v>7358</v>
      </c>
      <c r="C4467" s="4" t="str">
        <f>IFERROR(__xludf.DUMMYFUNCTION("GOOGLETRANSLATE(D:D,""auto"",""en"")"),"Chinese limousine stunning debut")</f>
        <v>Chinese limousine stunning debut</v>
      </c>
      <c r="D4467" s="4" t="s">
        <v>7312</v>
      </c>
      <c r="E4467" s="4">
        <v>7293564.0</v>
      </c>
      <c r="F4467" s="4">
        <v>16.0</v>
      </c>
      <c r="G4467" s="4" t="s">
        <v>7313</v>
      </c>
    </row>
    <row r="4468">
      <c r="A4468" s="1">
        <v>4466.0</v>
      </c>
      <c r="B4468" s="4" t="s">
        <v>7358</v>
      </c>
      <c r="C4468" s="4" t="str">
        <f>IFERROR(__xludf.DUMMYFUNCTION("GOOGLETRANSLATE(D:D,""auto"",""en"")"),"Li Xin'ai revealed that Tang Yan gave birth to twins")</f>
        <v>Li Xin'ai revealed that Tang Yan gave birth to twins</v>
      </c>
      <c r="D4468" s="4" t="s">
        <v>7379</v>
      </c>
      <c r="E4468" s="4">
        <v>7292217.0</v>
      </c>
      <c r="F4468" s="4">
        <v>17.0</v>
      </c>
      <c r="G4468" s="4" t="s">
        <v>7380</v>
      </c>
    </row>
    <row r="4469">
      <c r="A4469" s="1">
        <v>4467.0</v>
      </c>
      <c r="B4469" s="4" t="s">
        <v>7358</v>
      </c>
      <c r="C4469" s="4" t="str">
        <f>IFERROR(__xludf.DUMMYFUNCTION("GOOGLETRANSLATE(D:D,""auto"",""en"")"),"Li Jiaqi expression")</f>
        <v>Li Jiaqi expression</v>
      </c>
      <c r="D4469" s="4" t="s">
        <v>7381</v>
      </c>
      <c r="E4469" s="4">
        <v>7260996.0</v>
      </c>
      <c r="F4469" s="4">
        <v>18.0</v>
      </c>
      <c r="G4469" s="4" t="s">
        <v>7382</v>
      </c>
    </row>
    <row r="4470">
      <c r="A4470" s="1">
        <v>4468.0</v>
      </c>
      <c r="B4470" s="4" t="s">
        <v>7358</v>
      </c>
      <c r="C4470" s="4" t="str">
        <f>IFERROR(__xludf.DUMMYFUNCTION("GOOGLETRANSLATE(D:D,""auto"",""en"")"),"Great God ventriloquist reduction Bainiaozhaofeng")</f>
        <v>Great God ventriloquist reduction Bainiaozhaofeng</v>
      </c>
      <c r="D4470" s="4" t="s">
        <v>7304</v>
      </c>
      <c r="E4470" s="4">
        <v>7211045.0</v>
      </c>
      <c r="F4470" s="4">
        <v>19.0</v>
      </c>
      <c r="G4470" s="4" t="s">
        <v>7305</v>
      </c>
    </row>
    <row r="4471">
      <c r="A4471" s="1">
        <v>4469.0</v>
      </c>
      <c r="B4471" s="4" t="s">
        <v>7358</v>
      </c>
      <c r="C4471" s="4" t="str">
        <f>IFERROR(__xludf.DUMMYFUNCTION("GOOGLETRANSLATE(D:D,""auto"",""en"")"),"Who is to say Schumacher")</f>
        <v>Who is to say Schumacher</v>
      </c>
      <c r="D4471" s="4" t="s">
        <v>7383</v>
      </c>
      <c r="E4471" s="4">
        <v>7155361.0</v>
      </c>
      <c r="F4471" s="4">
        <v>20.0</v>
      </c>
      <c r="G4471" s="4" t="s">
        <v>7384</v>
      </c>
    </row>
    <row r="4472">
      <c r="A4472" s="1">
        <v>4470.0</v>
      </c>
      <c r="B4472" s="4" t="s">
        <v>7358</v>
      </c>
      <c r="C4472" s="4" t="str">
        <f>IFERROR(__xludf.DUMMYFUNCTION("GOOGLETRANSLATE(D:D,""auto"",""en"")"),"Wang Yibo first single three cover")</f>
        <v>Wang Yibo first single three cover</v>
      </c>
      <c r="D4472" s="4" t="s">
        <v>7385</v>
      </c>
      <c r="E4472" s="4">
        <v>7113004.0</v>
      </c>
      <c r="F4472" s="4">
        <v>21.0</v>
      </c>
      <c r="G4472" s="4" t="s">
        <v>7386</v>
      </c>
    </row>
    <row r="4473">
      <c r="A4473" s="1">
        <v>4471.0</v>
      </c>
      <c r="B4473" s="4" t="s">
        <v>7358</v>
      </c>
      <c r="C4473" s="4" t="str">
        <f>IFERROR(__xludf.DUMMYFUNCTION("GOOGLETRANSLATE(D:D,""auto"",""en"")"),"Lujiazui temporary closure of three high-rise Office of Tourism")</f>
        <v>Lujiazui temporary closure of three high-rise Office of Tourism</v>
      </c>
      <c r="D4473" s="4" t="s">
        <v>7387</v>
      </c>
      <c r="E4473" s="4">
        <v>6996649.0</v>
      </c>
      <c r="F4473" s="4">
        <v>22.0</v>
      </c>
      <c r="G4473" s="4" t="s">
        <v>7388</v>
      </c>
    </row>
    <row r="4474">
      <c r="A4474" s="1">
        <v>4472.0</v>
      </c>
      <c r="B4474" s="4" t="s">
        <v>7358</v>
      </c>
      <c r="C4474" s="4" t="str">
        <f>IFERROR(__xludf.DUMMYFUNCTION("GOOGLETRANSLATE(D:D,""auto"",""en"")"),"Q. Xin Wang to sing a tribute beyond")</f>
        <v>Q. Xin Wang to sing a tribute beyond</v>
      </c>
      <c r="D4474" s="4" t="s">
        <v>7389</v>
      </c>
      <c r="E4474" s="4">
        <v>6965845.0</v>
      </c>
      <c r="F4474" s="4">
        <v>23.0</v>
      </c>
      <c r="G4474" s="4" t="s">
        <v>7390</v>
      </c>
    </row>
    <row r="4475">
      <c r="A4475" s="1">
        <v>4473.0</v>
      </c>
      <c r="B4475" s="4" t="s">
        <v>7358</v>
      </c>
      <c r="C4475" s="4" t="str">
        <f>IFERROR(__xludf.DUMMYFUNCTION("GOOGLETRANSLATE(D:D,""auto"",""en"")"),"31 cases of new confirmed cases nationwide")</f>
        <v>31 cases of new confirmed cases nationwide</v>
      </c>
      <c r="D4475" s="4" t="s">
        <v>7391</v>
      </c>
      <c r="E4475" s="4">
        <v>6925205.0</v>
      </c>
      <c r="F4475" s="4">
        <v>24.0</v>
      </c>
      <c r="G4475" s="4" t="s">
        <v>7392</v>
      </c>
    </row>
    <row r="4476">
      <c r="A4476" s="1">
        <v>4474.0</v>
      </c>
      <c r="B4476" s="4" t="s">
        <v>7358</v>
      </c>
      <c r="C4476" s="4" t="str">
        <f>IFERROR(__xludf.DUMMYFUNCTION("GOOGLETRANSLATE(D:D,""auto"",""en"")"),"Disheveled at least fight a tie")</f>
        <v>Disheveled at least fight a tie</v>
      </c>
      <c r="D4476" s="4" t="s">
        <v>7393</v>
      </c>
      <c r="E4476" s="4">
        <v>6775467.0</v>
      </c>
      <c r="F4476" s="4">
        <v>25.0</v>
      </c>
      <c r="G4476" s="4" t="s">
        <v>7394</v>
      </c>
    </row>
    <row r="4477">
      <c r="A4477" s="1">
        <v>4475.0</v>
      </c>
      <c r="B4477" s="4" t="s">
        <v>7358</v>
      </c>
      <c r="C4477" s="4" t="str">
        <f>IFERROR(__xludf.DUMMYFUNCTION("GOOGLETRANSLATE(D:D,""auto"",""en"")"),"Foreign man refused to wear a mask insubordination ordered to leave")</f>
        <v>Foreign man refused to wear a mask insubordination ordered to leave</v>
      </c>
      <c r="D4477" s="4" t="s">
        <v>7395</v>
      </c>
      <c r="E4477" s="4">
        <v>6708642.0</v>
      </c>
      <c r="F4477" s="4">
        <v>26.0</v>
      </c>
      <c r="G4477" s="4" t="s">
        <v>7396</v>
      </c>
    </row>
    <row r="4478">
      <c r="A4478" s="1">
        <v>4476.0</v>
      </c>
      <c r="B4478" s="4" t="s">
        <v>7358</v>
      </c>
      <c r="C4478" s="4" t="str">
        <f>IFERROR(__xludf.DUMMYFUNCTION("GOOGLETRANSLATE(D:D,""auto"",""en"")"),"Dong Zijian a story to her daughter with rap")</f>
        <v>Dong Zijian a story to her daughter with rap</v>
      </c>
      <c r="D4478" s="4" t="s">
        <v>7397</v>
      </c>
      <c r="E4478" s="4">
        <v>6706119.0</v>
      </c>
      <c r="F4478" s="4">
        <v>27.0</v>
      </c>
      <c r="G4478" s="4" t="s">
        <v>7398</v>
      </c>
    </row>
    <row r="4479">
      <c r="A4479" s="1">
        <v>4477.0</v>
      </c>
      <c r="B4479" s="4" t="s">
        <v>7358</v>
      </c>
      <c r="C4479" s="4" t="str">
        <f>IFERROR(__xludf.DUMMYFUNCTION("GOOGLETRANSLATE(D:D,""auto"",""en"")"),"Guo Jingfei kidnapped")</f>
        <v>Guo Jingfei kidnapped</v>
      </c>
      <c r="D4479" s="4" t="s">
        <v>7399</v>
      </c>
      <c r="E4479" s="4">
        <v>6665730.0</v>
      </c>
      <c r="F4479" s="4">
        <v>28.0</v>
      </c>
      <c r="G4479" s="4" t="s">
        <v>7400</v>
      </c>
    </row>
    <row r="4480">
      <c r="A4480" s="1">
        <v>4478.0</v>
      </c>
      <c r="B4480" s="4" t="s">
        <v>7358</v>
      </c>
      <c r="C4480" s="4" t="str">
        <f>IFERROR(__xludf.DUMMYFUNCTION("GOOGLETRANSLATE(D:D,""auto"",""en"")"),"Sand Sculpture concert should aid")</f>
        <v>Sand Sculpture concert should aid</v>
      </c>
      <c r="D4480" s="4" t="s">
        <v>7401</v>
      </c>
      <c r="E4480" s="4">
        <v>6661237.0</v>
      </c>
      <c r="F4480" s="4">
        <v>29.0</v>
      </c>
      <c r="G4480" s="4" t="s">
        <v>7402</v>
      </c>
    </row>
    <row r="4481">
      <c r="A4481" s="1">
        <v>4479.0</v>
      </c>
      <c r="B4481" s="4" t="s">
        <v>7358</v>
      </c>
      <c r="C4481" s="4" t="str">
        <f>IFERROR(__xludf.DUMMYFUNCTION("GOOGLETRANSLATE(D:D,""auto"",""en"")"),"Package Bell Bowen Jing as dumplings birthday")</f>
        <v>Package Bell Bowen Jing as dumplings birthday</v>
      </c>
      <c r="D4481" s="4" t="s">
        <v>7403</v>
      </c>
      <c r="E4481" s="4">
        <v>6410017.0</v>
      </c>
      <c r="F4481" s="4">
        <v>30.0</v>
      </c>
      <c r="G4481" s="4" t="s">
        <v>7404</v>
      </c>
    </row>
    <row r="4482">
      <c r="A4482" s="1">
        <v>4480.0</v>
      </c>
      <c r="B4482" s="4" t="s">
        <v>7358</v>
      </c>
      <c r="C4482" s="4" t="str">
        <f>IFERROR(__xludf.DUMMYFUNCTION("GOOGLETRANSLATE(D:D,""auto"",""en"")"),"Hunan train derailment rollover caused one person killed")</f>
        <v>Hunan train derailment rollover caused one person killed</v>
      </c>
      <c r="D4482" s="4" t="s">
        <v>7405</v>
      </c>
      <c r="E4482" s="4">
        <v>6345914.0</v>
      </c>
      <c r="F4482" s="4">
        <v>31.0</v>
      </c>
      <c r="G4482" s="4" t="s">
        <v>7406</v>
      </c>
    </row>
    <row r="4483">
      <c r="A4483" s="1">
        <v>4481.0</v>
      </c>
      <c r="B4483" s="4" t="s">
        <v>7358</v>
      </c>
      <c r="C4483" s="4" t="str">
        <f>IFERROR(__xludf.DUMMYFUNCTION("GOOGLETRANSLATE(D:D,""auto"",""en"")"),"A young man who is not a school beauty")</f>
        <v>A young man who is not a school beauty</v>
      </c>
      <c r="D4483" s="4" t="s">
        <v>7354</v>
      </c>
      <c r="E4483" s="4">
        <v>6255426.0</v>
      </c>
      <c r="F4483" s="4">
        <v>32.0</v>
      </c>
      <c r="G4483" s="4" t="s">
        <v>7355</v>
      </c>
    </row>
    <row r="4484">
      <c r="A4484" s="1">
        <v>4482.0</v>
      </c>
      <c r="B4484" s="4" t="s">
        <v>7358</v>
      </c>
      <c r="C4484" s="4" t="str">
        <f>IFERROR(__xludf.DUMMYFUNCTION("GOOGLETRANSLATE(D:D,""auto"",""en"")"),"Tokyo Olympic Games opening next year July 23")</f>
        <v>Tokyo Olympic Games opening next year July 23</v>
      </c>
      <c r="D4484" s="4" t="s">
        <v>7407</v>
      </c>
      <c r="E4484" s="4">
        <v>6244084.0</v>
      </c>
      <c r="F4484" s="4">
        <v>33.0</v>
      </c>
      <c r="G4484" s="4" t="s">
        <v>7408</v>
      </c>
    </row>
    <row r="4485">
      <c r="A4485" s="1">
        <v>4483.0</v>
      </c>
      <c r="B4485" s="4" t="s">
        <v>7358</v>
      </c>
      <c r="C4485" s="4" t="str">
        <f>IFERROR(__xludf.DUMMYFUNCTION("GOOGLETRANSLATE(D:D,""auto"",""en"")"),"Wuhan, Dalian strayed into guy home")</f>
        <v>Wuhan, Dalian strayed into guy home</v>
      </c>
      <c r="D4485" s="4" t="s">
        <v>7409</v>
      </c>
      <c r="E4485" s="4">
        <v>6236971.0</v>
      </c>
      <c r="F4485" s="4">
        <v>34.0</v>
      </c>
      <c r="G4485" s="4" t="s">
        <v>7410</v>
      </c>
    </row>
    <row r="4486">
      <c r="A4486" s="1">
        <v>4484.0</v>
      </c>
      <c r="B4486" s="4" t="s">
        <v>7358</v>
      </c>
      <c r="C4486" s="4" t="str">
        <f>IFERROR(__xludf.DUMMYFUNCTION("GOOGLETRANSLATE(D:D,""auto"",""en"")"),"Kan Kiyoko to talk about marriage")</f>
        <v>Kan Kiyoko to talk about marriage</v>
      </c>
      <c r="D4486" s="4" t="s">
        <v>7245</v>
      </c>
      <c r="E4486" s="4">
        <v>6081128.0</v>
      </c>
      <c r="F4486" s="4">
        <v>35.0</v>
      </c>
      <c r="G4486" s="4" t="s">
        <v>7246</v>
      </c>
    </row>
    <row r="4487">
      <c r="A4487" s="1">
        <v>4485.0</v>
      </c>
      <c r="B4487" s="4" t="s">
        <v>7358</v>
      </c>
      <c r="C4487" s="4" t="str">
        <f>IFERROR(__xludf.DUMMYFUNCTION("GOOGLETRANSLATE(D:D,""auto"",""en"")"),"Open the talent show by way of rap")</f>
        <v>Open the talent show by way of rap</v>
      </c>
      <c r="D4487" s="4" t="s">
        <v>7332</v>
      </c>
      <c r="E4487" s="4">
        <v>5947210.0</v>
      </c>
      <c r="F4487" s="4">
        <v>36.0</v>
      </c>
      <c r="G4487" s="4" t="s">
        <v>7333</v>
      </c>
    </row>
    <row r="4488">
      <c r="A4488" s="1">
        <v>4486.0</v>
      </c>
      <c r="B4488" s="4" t="s">
        <v>7358</v>
      </c>
      <c r="C4488" s="4" t="str">
        <f>IFERROR(__xludf.DUMMYFUNCTION("GOOGLETRANSLATE(D:D,""auto"",""en"")"),"Lion Air Philippines plane crash")</f>
        <v>Lion Air Philippines plane crash</v>
      </c>
      <c r="D4488" s="4" t="s">
        <v>7411</v>
      </c>
      <c r="E4488" s="4">
        <v>5935385.0</v>
      </c>
      <c r="F4488" s="4">
        <v>37.0</v>
      </c>
      <c r="G4488" s="4" t="s">
        <v>7412</v>
      </c>
    </row>
    <row r="4489">
      <c r="A4489" s="1">
        <v>4487.0</v>
      </c>
      <c r="B4489" s="4" t="s">
        <v>7358</v>
      </c>
      <c r="C4489" s="4" t="str">
        <f>IFERROR(__xludf.DUMMYFUNCTION("GOOGLETRANSLATE(D:D,""auto"",""en"")"),"Challenge 100ways teleport call Jackson Wang")</f>
        <v>Challenge 100ways teleport call Jackson Wang</v>
      </c>
      <c r="D4489" s="4" t="s">
        <v>7413</v>
      </c>
      <c r="E4489" s="4">
        <v>5882795.0</v>
      </c>
      <c r="F4489" s="4">
        <v>38.0</v>
      </c>
      <c r="G4489" s="4" t="s">
        <v>7414</v>
      </c>
    </row>
    <row r="4490">
      <c r="A4490" s="1">
        <v>4488.0</v>
      </c>
      <c r="B4490" s="4" t="s">
        <v>7358</v>
      </c>
      <c r="C4490" s="4" t="str">
        <f>IFERROR(__xludf.DUMMYFUNCTION("GOOGLETRANSLATE(D:D,""auto"",""en"")"),"Finished aluminum foil ball")</f>
        <v>Finished aluminum foil ball</v>
      </c>
      <c r="D4490" s="4" t="s">
        <v>7415</v>
      </c>
      <c r="E4490" s="4">
        <v>5781868.0</v>
      </c>
      <c r="F4490" s="4">
        <v>39.0</v>
      </c>
      <c r="G4490" s="4" t="s">
        <v>7416</v>
      </c>
    </row>
    <row r="4491">
      <c r="A4491" s="1">
        <v>4489.0</v>
      </c>
      <c r="B4491" s="4" t="s">
        <v>7358</v>
      </c>
      <c r="C4491" s="4" t="str">
        <f>IFERROR(__xludf.DUMMYFUNCTION("GOOGLETRANSLATE(D:D,""auto"",""en"")"),"Amber is Shirley birthday")</f>
        <v>Amber is Shirley birthday</v>
      </c>
      <c r="D4491" s="4" t="s">
        <v>7298</v>
      </c>
      <c r="E4491" s="4">
        <v>5723413.0</v>
      </c>
      <c r="F4491" s="4">
        <v>40.0</v>
      </c>
      <c r="G4491" s="4" t="s">
        <v>7299</v>
      </c>
    </row>
    <row r="4492">
      <c r="A4492" s="1">
        <v>4490.0</v>
      </c>
      <c r="B4492" s="4" t="s">
        <v>7358</v>
      </c>
      <c r="C4492" s="4" t="str">
        <f>IFERROR(__xludf.DUMMYFUNCTION("GOOGLETRANSLATE(D:D,""auto"",""en"")"),"Luo is about to rejoin the ultimate challenge")</f>
        <v>Luo is about to rejoin the ultimate challenge</v>
      </c>
      <c r="D4492" s="4" t="s">
        <v>7417</v>
      </c>
      <c r="E4492" s="4">
        <v>5643542.0</v>
      </c>
      <c r="F4492" s="4">
        <v>41.0</v>
      </c>
      <c r="G4492" s="4" t="s">
        <v>7418</v>
      </c>
    </row>
    <row r="4493">
      <c r="A4493" s="1">
        <v>4491.0</v>
      </c>
      <c r="B4493" s="4" t="s">
        <v>7358</v>
      </c>
      <c r="C4493" s="4" t="str">
        <f>IFERROR(__xludf.DUMMYFUNCTION("GOOGLETRANSLATE(D:D,""auto"",""en"")"),"Hangzhou cloud after 90 couples held wedding")</f>
        <v>Hangzhou cloud after 90 couples held wedding</v>
      </c>
      <c r="D4493" s="4" t="s">
        <v>7419</v>
      </c>
      <c r="E4493" s="4">
        <v>5624141.0</v>
      </c>
      <c r="F4493" s="4">
        <v>42.0</v>
      </c>
      <c r="G4493" s="4" t="s">
        <v>7420</v>
      </c>
    </row>
    <row r="4494">
      <c r="A4494" s="1">
        <v>4492.0</v>
      </c>
      <c r="B4494" s="4" t="s">
        <v>7358</v>
      </c>
      <c r="C4494" s="4" t="str">
        <f>IFERROR(__xludf.DUMMYFUNCTION("GOOGLETRANSLATE(D:D,""auto"",""en"")"),"Trump describes the horrors of New York Hospital")</f>
        <v>Trump describes the horrors of New York Hospital</v>
      </c>
      <c r="D4494" s="4" t="s">
        <v>7421</v>
      </c>
      <c r="E4494" s="4">
        <v>5606144.0</v>
      </c>
      <c r="F4494" s="4">
        <v>43.0</v>
      </c>
      <c r="G4494" s="4" t="s">
        <v>7422</v>
      </c>
    </row>
    <row r="4495">
      <c r="A4495" s="1">
        <v>4493.0</v>
      </c>
      <c r="B4495" s="4" t="s">
        <v>7358</v>
      </c>
      <c r="C4495" s="4" t="str">
        <f>IFERROR(__xludf.DUMMYFUNCTION("GOOGLETRANSLATE(D:D,""auto"",""en"")"),"Li Jiaqi success Starchaser Jackson Wang")</f>
        <v>Li Jiaqi success Starchaser Jackson Wang</v>
      </c>
      <c r="D4495" s="4" t="s">
        <v>7423</v>
      </c>
      <c r="E4495" s="4">
        <v>5519312.0</v>
      </c>
      <c r="F4495" s="4">
        <v>44.0</v>
      </c>
      <c r="G4495" s="4" t="s">
        <v>7424</v>
      </c>
    </row>
    <row r="4496">
      <c r="A4496" s="1">
        <v>4494.0</v>
      </c>
      <c r="B4496" s="4" t="s">
        <v>7358</v>
      </c>
      <c r="C4496" s="4" t="str">
        <f>IFERROR(__xludf.DUMMYFUNCTION("GOOGLETRANSLATE(D:D,""auto"",""en"")"),"Wuhan strayed cleaning guy to go home")</f>
        <v>Wuhan strayed cleaning guy to go home</v>
      </c>
      <c r="D4496" s="4" t="s">
        <v>7425</v>
      </c>
      <c r="E4496" s="4">
        <v>5511467.0</v>
      </c>
      <c r="F4496" s="4">
        <v>45.0</v>
      </c>
      <c r="G4496" s="4" t="s">
        <v>7426</v>
      </c>
    </row>
    <row r="4497">
      <c r="A4497" s="1">
        <v>4495.0</v>
      </c>
      <c r="B4497" s="4" t="s">
        <v>7358</v>
      </c>
      <c r="C4497" s="4" t="str">
        <f>IFERROR(__xludf.DUMMYFUNCTION("GOOGLETRANSLATE(D:D,""auto"",""en"")"),"Spain new cases of 6398 cases")</f>
        <v>Spain new cases of 6398 cases</v>
      </c>
      <c r="D4497" s="4" t="s">
        <v>7427</v>
      </c>
      <c r="E4497" s="4">
        <v>5379685.0</v>
      </c>
      <c r="F4497" s="4">
        <v>46.0</v>
      </c>
      <c r="G4497" s="4" t="s">
        <v>7428</v>
      </c>
    </row>
    <row r="4498">
      <c r="A4498" s="1">
        <v>4496.0</v>
      </c>
      <c r="B4498" s="4" t="s">
        <v>7358</v>
      </c>
      <c r="C4498" s="4" t="str">
        <f>IFERROR(__xludf.DUMMYFUNCTION("GOOGLETRANSLATE(D:D,""auto"",""en"")"),"Yunnan forest fire")</f>
        <v>Yunnan forest fire</v>
      </c>
      <c r="D4498" s="4" t="s">
        <v>7356</v>
      </c>
      <c r="E4498" s="4">
        <v>5372826.0</v>
      </c>
      <c r="F4498" s="4">
        <v>47.0</v>
      </c>
      <c r="G4498" s="4" t="s">
        <v>7357</v>
      </c>
    </row>
    <row r="4499">
      <c r="A4499" s="1">
        <v>4497.0</v>
      </c>
      <c r="B4499" s="4" t="s">
        <v>7358</v>
      </c>
      <c r="C4499" s="4" t="str">
        <f>IFERROR(__xludf.DUMMYFUNCTION("GOOGLETRANSLATE(D:D,""auto"",""en"")"),"gala sing rudy overturned")</f>
        <v>gala sing rudy overturned</v>
      </c>
      <c r="D4499" s="4" t="s">
        <v>7336</v>
      </c>
      <c r="E4499" s="4">
        <v>5372821.0</v>
      </c>
      <c r="F4499" s="4">
        <v>48.0</v>
      </c>
      <c r="G4499" s="4" t="s">
        <v>7337</v>
      </c>
    </row>
    <row r="4500">
      <c r="A4500" s="1">
        <v>4498.0</v>
      </c>
      <c r="B4500" s="4" t="s">
        <v>7358</v>
      </c>
      <c r="C4500" s="4" t="str">
        <f>IFERROR(__xludf.DUMMYFUNCTION("GOOGLETRANSLATE(D:D,""auto"",""en"")"),"Guo Allan Li Yi Feng Caesar dog food in public")</f>
        <v>Guo Allan Li Yi Feng Caesar dog food in public</v>
      </c>
      <c r="D4500" s="4" t="s">
        <v>7342</v>
      </c>
      <c r="E4500" s="4">
        <v>5372816.0</v>
      </c>
      <c r="F4500" s="4">
        <v>49.0</v>
      </c>
      <c r="G4500" s="4" t="s">
        <v>7343</v>
      </c>
    </row>
    <row r="4501">
      <c r="A4501" s="1">
        <v>4499.0</v>
      </c>
      <c r="B4501" s="4" t="s">
        <v>7358</v>
      </c>
      <c r="C4501" s="4" t="str">
        <f>IFERROR(__xludf.DUMMYFUNCTION("GOOGLETRANSLATE(D:D,""auto"",""en"")"),"Moderator hate the United States back to China to ask for an apology speech")</f>
        <v>Moderator hate the United States back to China to ask for an apology speech</v>
      </c>
      <c r="D4501" s="4" t="s">
        <v>7429</v>
      </c>
      <c r="E4501" s="4">
        <v>5336950.0</v>
      </c>
      <c r="F4501" s="4">
        <v>50.0</v>
      </c>
      <c r="G4501" s="4" t="s">
        <v>7430</v>
      </c>
    </row>
    <row r="4502">
      <c r="A4502" s="1">
        <v>4500.0</v>
      </c>
      <c r="B4502" s="4" t="s">
        <v>7431</v>
      </c>
      <c r="C4502" s="4" t="str">
        <f>IFERROR(__xludf.DUMMYFUNCTION("GOOGLETRANSLATE(D:D,""auto"",""en"")"),"Dutch Van Gogh paintings stolen from a museum")</f>
        <v>Dutch Van Gogh paintings stolen from a museum</v>
      </c>
      <c r="D4502" s="4" t="s">
        <v>7432</v>
      </c>
      <c r="E4502" s="4">
        <v>1.2189453E7</v>
      </c>
      <c r="F4502" s="4">
        <v>1.0</v>
      </c>
      <c r="G4502" s="4" t="s">
        <v>7433</v>
      </c>
    </row>
    <row r="4503">
      <c r="A4503" s="1">
        <v>4501.0</v>
      </c>
      <c r="B4503" s="4" t="s">
        <v>7431</v>
      </c>
      <c r="C4503" s="4" t="str">
        <f>IFERROR(__xludf.DUMMYFUNCTION("GOOGLETRANSLATE(D:D,""auto"",""en"")"),"Hsiao love")</f>
        <v>Hsiao love</v>
      </c>
      <c r="D4503" s="4" t="s">
        <v>7434</v>
      </c>
      <c r="E4503" s="4">
        <v>1.1672703E7</v>
      </c>
      <c r="F4503" s="4">
        <v>2.0</v>
      </c>
      <c r="G4503" s="4" t="s">
        <v>7435</v>
      </c>
    </row>
    <row r="4504">
      <c r="A4504" s="1">
        <v>4502.0</v>
      </c>
      <c r="B4504" s="4" t="s">
        <v>7431</v>
      </c>
      <c r="C4504" s="4" t="str">
        <f>IFERROR(__xludf.DUMMYFUNCTION("GOOGLETRANSLATE(D:D,""auto"",""en"")"),"Yang Mi remember charging")</f>
        <v>Yang Mi remember charging</v>
      </c>
      <c r="D4504" s="4" t="s">
        <v>7365</v>
      </c>
      <c r="E4504" s="4">
        <v>1.1370147E7</v>
      </c>
      <c r="F4504" s="4">
        <v>3.0</v>
      </c>
      <c r="G4504" s="4" t="s">
        <v>7366</v>
      </c>
    </row>
    <row r="4505">
      <c r="A4505" s="1">
        <v>4503.0</v>
      </c>
      <c r="B4505" s="4" t="s">
        <v>7431</v>
      </c>
      <c r="C4505" s="4" t="str">
        <f>IFERROR(__xludf.DUMMYFUNCTION("GOOGLETRANSLATE(D:D,""auto"",""en"")"),"Overheating You have nothing to Haoheng of")</f>
        <v>Overheating You have nothing to Haoheng of</v>
      </c>
      <c r="D4505" s="4" t="s">
        <v>7361</v>
      </c>
      <c r="E4505" s="4">
        <v>1.1256265E7</v>
      </c>
      <c r="F4505" s="4">
        <v>4.0</v>
      </c>
      <c r="G4505" s="4" t="s">
        <v>7362</v>
      </c>
    </row>
    <row r="4506">
      <c r="A4506" s="1">
        <v>4504.0</v>
      </c>
      <c r="B4506" s="4" t="s">
        <v>7431</v>
      </c>
      <c r="C4506" s="4" t="str">
        <f>IFERROR(__xludf.DUMMYFUNCTION("GOOGLETRANSLATE(D:D,""auto"",""en"")"),"Some girls looked up to become a bad woman")</f>
        <v>Some girls looked up to become a bad woman</v>
      </c>
      <c r="D4506" s="4" t="s">
        <v>7436</v>
      </c>
      <c r="E4506" s="4">
        <v>1.0404725E7</v>
      </c>
      <c r="F4506" s="4">
        <v>5.0</v>
      </c>
      <c r="G4506" s="4" t="s">
        <v>7437</v>
      </c>
    </row>
    <row r="4507">
      <c r="A4507" s="1">
        <v>4505.0</v>
      </c>
      <c r="B4507" s="4" t="s">
        <v>7431</v>
      </c>
      <c r="C4507" s="4" t="str">
        <f>IFERROR(__xludf.DUMMYFUNCTION("GOOGLETRANSLATE(D:D,""auto"",""en"")"),"Xichang fire people said the fire bigger than last year")</f>
        <v>Xichang fire people said the fire bigger than last year</v>
      </c>
      <c r="D4507" s="4" t="s">
        <v>7438</v>
      </c>
      <c r="E4507" s="4">
        <v>9504200.0</v>
      </c>
      <c r="F4507" s="4">
        <v>6.0</v>
      </c>
      <c r="G4507" s="4" t="s">
        <v>7439</v>
      </c>
    </row>
    <row r="4508">
      <c r="A4508" s="1">
        <v>4506.0</v>
      </c>
      <c r="B4508" s="4" t="s">
        <v>7431</v>
      </c>
      <c r="C4508" s="4" t="str">
        <f>IFERROR(__xludf.DUMMYFUNCTION("GOOGLETRANSLATE(D:D,""auto"",""en"")"),"Xichang bid farewell to 19 people spontaneously rescue workers sacrifice")</f>
        <v>Xichang bid farewell to 19 people spontaneously rescue workers sacrifice</v>
      </c>
      <c r="D4508" s="4" t="s">
        <v>7440</v>
      </c>
      <c r="E4508" s="4">
        <v>9308003.0</v>
      </c>
      <c r="F4508" s="4">
        <v>7.0</v>
      </c>
      <c r="G4508" s="4" t="s">
        <v>7441</v>
      </c>
    </row>
    <row r="4509">
      <c r="A4509" s="1">
        <v>4507.0</v>
      </c>
      <c r="B4509" s="4" t="s">
        <v>7431</v>
      </c>
      <c r="C4509" s="4" t="str">
        <f>IFERROR(__xludf.DUMMYFUNCTION("GOOGLETRANSLATE(D:D,""auto"",""en"")"),"Ling Ye Li is another double challenge")</f>
        <v>Ling Ye Li is another double challenge</v>
      </c>
      <c r="D4509" s="4" t="s">
        <v>7442</v>
      </c>
      <c r="E4509" s="4">
        <v>9097529.0</v>
      </c>
      <c r="F4509" s="4">
        <v>8.0</v>
      </c>
      <c r="G4509" s="4" t="s">
        <v>7443</v>
      </c>
    </row>
    <row r="4510">
      <c r="A4510" s="1">
        <v>4508.0</v>
      </c>
      <c r="B4510" s="4" t="s">
        <v>7431</v>
      </c>
      <c r="C4510" s="4" t="str">
        <f>IFERROR(__xludf.DUMMYFUNCTION("GOOGLETRANSLATE(D:D,""auto"",""en"")"),"Since April 1 published daily asymptomatic infection cases")</f>
        <v>Since April 1 published daily asymptomatic infection cases</v>
      </c>
      <c r="D4510" s="4" t="s">
        <v>7444</v>
      </c>
      <c r="E4510" s="4">
        <v>8885627.0</v>
      </c>
      <c r="F4510" s="4">
        <v>9.0</v>
      </c>
      <c r="G4510" s="4" t="s">
        <v>7445</v>
      </c>
    </row>
    <row r="4511">
      <c r="A4511" s="1">
        <v>4509.0</v>
      </c>
      <c r="B4511" s="4" t="s">
        <v>7431</v>
      </c>
      <c r="C4511" s="4" t="str">
        <f>IFERROR(__xludf.DUMMYFUNCTION("GOOGLETRANSLATE(D:D,""auto"",""en"")"),"Chen used to live Brush Rose gift")</f>
        <v>Chen used to live Brush Rose gift</v>
      </c>
      <c r="D4511" s="4" t="s">
        <v>7300</v>
      </c>
      <c r="E4511" s="4">
        <v>8717453.0</v>
      </c>
      <c r="F4511" s="4">
        <v>10.0</v>
      </c>
      <c r="G4511" s="4" t="s">
        <v>7301</v>
      </c>
    </row>
    <row r="4512">
      <c r="A4512" s="1">
        <v>4510.0</v>
      </c>
      <c r="B4512" s="4" t="s">
        <v>7431</v>
      </c>
      <c r="C4512" s="4" t="str">
        <f>IFERROR(__xludf.DUMMYFUNCTION("GOOGLETRANSLATE(D:D,""auto"",""en"")"),"Zhongshan caused by a family of six killed in fire cause")</f>
        <v>Zhongshan caused by a family of six killed in fire cause</v>
      </c>
      <c r="D4512" s="4" t="s">
        <v>7446</v>
      </c>
      <c r="E4512" s="4">
        <v>8699400.0</v>
      </c>
      <c r="F4512" s="4">
        <v>11.0</v>
      </c>
      <c r="G4512" s="4" t="s">
        <v>7447</v>
      </c>
    </row>
    <row r="4513">
      <c r="A4513" s="1">
        <v>4511.0</v>
      </c>
      <c r="B4513" s="4" t="s">
        <v>7431</v>
      </c>
      <c r="C4513" s="4" t="str">
        <f>IFERROR(__xludf.DUMMYFUNCTION("GOOGLETRANSLATE(D:D,""auto"",""en"")"),"Luo Yunxi hold each of White Deer")</f>
        <v>Luo Yunxi hold each of White Deer</v>
      </c>
      <c r="D4513" s="4" t="s">
        <v>7359</v>
      </c>
      <c r="E4513" s="4">
        <v>8432028.0</v>
      </c>
      <c r="F4513" s="4">
        <v>12.0</v>
      </c>
      <c r="G4513" s="4" t="s">
        <v>7360</v>
      </c>
    </row>
    <row r="4514">
      <c r="A4514" s="1">
        <v>4512.0</v>
      </c>
      <c r="B4514" s="4" t="s">
        <v>7431</v>
      </c>
      <c r="C4514" s="4" t="str">
        <f>IFERROR(__xludf.DUMMYFUNCTION("GOOGLETRANSLATE(D:D,""auto"",""en"")"),"Miyu Shinsei")</f>
        <v>Miyu Shinsei</v>
      </c>
      <c r="D4514" s="4" t="s">
        <v>7448</v>
      </c>
      <c r="E4514" s="4">
        <v>8113410.0</v>
      </c>
      <c r="F4514" s="4">
        <v>13.0</v>
      </c>
      <c r="G4514" s="4" t="s">
        <v>7449</v>
      </c>
    </row>
    <row r="4515">
      <c r="A4515" s="1">
        <v>4513.0</v>
      </c>
      <c r="B4515" s="4" t="s">
        <v>7431</v>
      </c>
      <c r="C4515" s="4" t="str">
        <f>IFERROR(__xludf.DUMMYFUNCTION("GOOGLETRANSLATE(D:D,""auto"",""en"")"),"Who is to say Schumacher")</f>
        <v>Who is to say Schumacher</v>
      </c>
      <c r="D4515" s="4" t="s">
        <v>7383</v>
      </c>
      <c r="E4515" s="4">
        <v>7974252.0</v>
      </c>
      <c r="F4515" s="4">
        <v>14.0</v>
      </c>
      <c r="G4515" s="4" t="s">
        <v>7384</v>
      </c>
    </row>
    <row r="4516">
      <c r="A4516" s="1">
        <v>4514.0</v>
      </c>
      <c r="B4516" s="4" t="s">
        <v>7431</v>
      </c>
      <c r="C4516" s="4" t="str">
        <f>IFERROR(__xludf.DUMMYFUNCTION("GOOGLETRANSLATE(D:D,""auto"",""en"")"),"Meng Meiqi drink table Baiwu Xuan instrument")</f>
        <v>Meng Meiqi drink table Baiwu Xuan instrument</v>
      </c>
      <c r="D4516" s="4" t="s">
        <v>7367</v>
      </c>
      <c r="E4516" s="4">
        <v>7964104.0</v>
      </c>
      <c r="F4516" s="4">
        <v>15.0</v>
      </c>
      <c r="G4516" s="4" t="s">
        <v>7368</v>
      </c>
    </row>
    <row r="4517">
      <c r="A4517" s="1">
        <v>4515.0</v>
      </c>
      <c r="B4517" s="4" t="s">
        <v>7431</v>
      </c>
      <c r="C4517" s="4" t="str">
        <f>IFERROR(__xludf.DUMMYFUNCTION("GOOGLETRANSLATE(D:D,""auto"",""en"")"),"T179 train accident killed marshals")</f>
        <v>T179 train accident killed marshals</v>
      </c>
      <c r="D4517" s="4" t="s">
        <v>7450</v>
      </c>
      <c r="E4517" s="4">
        <v>7905581.0</v>
      </c>
      <c r="F4517" s="4">
        <v>16.0</v>
      </c>
      <c r="G4517" s="4" t="s">
        <v>7451</v>
      </c>
    </row>
    <row r="4518">
      <c r="A4518" s="1">
        <v>4516.0</v>
      </c>
      <c r="B4518" s="4" t="s">
        <v>7431</v>
      </c>
      <c r="C4518" s="4" t="str">
        <f>IFERROR(__xludf.DUMMYFUNCTION("GOOGLETRANSLATE(D:D,""auto"",""en"")"),"Strawberry Oscars brother")</f>
        <v>Strawberry Oscars brother</v>
      </c>
      <c r="D4518" s="4" t="s">
        <v>7452</v>
      </c>
      <c r="E4518" s="4">
        <v>7571215.0</v>
      </c>
      <c r="F4518" s="4">
        <v>17.0</v>
      </c>
      <c r="G4518" s="4" t="s">
        <v>7453</v>
      </c>
    </row>
    <row r="4519">
      <c r="A4519" s="1">
        <v>4517.0</v>
      </c>
      <c r="B4519" s="4" t="s">
        <v>7431</v>
      </c>
      <c r="C4519" s="4" t="str">
        <f>IFERROR(__xludf.DUMMYFUNCTION("GOOGLETRANSLATE(D:D,""auto"",""en"")"),"Xichang forest fires sacrificing hero Announced")</f>
        <v>Xichang forest fires sacrificing hero Announced</v>
      </c>
      <c r="D4519" s="4" t="s">
        <v>7454</v>
      </c>
      <c r="E4519" s="4">
        <v>7536324.0</v>
      </c>
      <c r="F4519" s="4">
        <v>18.0</v>
      </c>
      <c r="G4519" s="4" t="s">
        <v>7455</v>
      </c>
    </row>
    <row r="4520">
      <c r="A4520" s="1">
        <v>4518.0</v>
      </c>
      <c r="B4520" s="4" t="s">
        <v>7431</v>
      </c>
      <c r="C4520" s="4" t="str">
        <f>IFERROR(__xludf.DUMMYFUNCTION("GOOGLETRANSLATE(D:D,""auto"",""en"")"),"Li Jiaqi never dance should aid Jackson Wang")</f>
        <v>Li Jiaqi never dance should aid Jackson Wang</v>
      </c>
      <c r="D4520" s="4" t="s">
        <v>7456</v>
      </c>
      <c r="E4520" s="4">
        <v>7153486.0</v>
      </c>
      <c r="F4520" s="4">
        <v>19.0</v>
      </c>
      <c r="G4520" s="4" t="s">
        <v>7457</v>
      </c>
    </row>
    <row r="4521">
      <c r="A4521" s="1">
        <v>4519.0</v>
      </c>
      <c r="B4521" s="4" t="s">
        <v>7431</v>
      </c>
      <c r="C4521" s="4" t="str">
        <f>IFERROR(__xludf.DUMMYFUNCTION("GOOGLETRANSLATE(D:D,""auto"",""en"")"),"Overheating bargain")</f>
        <v>Overheating bargain</v>
      </c>
      <c r="D4521" s="4" t="s">
        <v>7292</v>
      </c>
      <c r="E4521" s="4">
        <v>7130254.0</v>
      </c>
      <c r="F4521" s="4">
        <v>20.0</v>
      </c>
      <c r="G4521" s="4" t="s">
        <v>7293</v>
      </c>
    </row>
    <row r="4522">
      <c r="A4522" s="1">
        <v>4520.0</v>
      </c>
      <c r="B4522" s="4" t="s">
        <v>7431</v>
      </c>
      <c r="C4522" s="4" t="str">
        <f>IFERROR(__xludf.DUMMYFUNCTION("GOOGLETRANSLATE(D:D,""auto"",""en"")"),"Wang Yibo something to eat something like a little hamster")</f>
        <v>Wang Yibo something to eat something like a little hamster</v>
      </c>
      <c r="D4522" s="4" t="s">
        <v>7458</v>
      </c>
      <c r="E4522" s="4">
        <v>7096570.0</v>
      </c>
      <c r="F4522" s="4">
        <v>21.0</v>
      </c>
      <c r="G4522" s="4" t="s">
        <v>7459</v>
      </c>
    </row>
    <row r="4523">
      <c r="A4523" s="1">
        <v>4521.0</v>
      </c>
      <c r="B4523" s="4" t="s">
        <v>7431</v>
      </c>
      <c r="C4523" s="4" t="str">
        <f>IFERROR(__xludf.DUMMYFUNCTION("GOOGLETRANSLATE(D:D,""auto"",""en"")"),"National new cases of 48 cases")</f>
        <v>National new cases of 48 cases</v>
      </c>
      <c r="D4523" s="4" t="s">
        <v>7460</v>
      </c>
      <c r="E4523" s="4">
        <v>7077714.0</v>
      </c>
      <c r="F4523" s="4">
        <v>22.0</v>
      </c>
      <c r="G4523" s="4" t="s">
        <v>7461</v>
      </c>
    </row>
    <row r="4524">
      <c r="A4524" s="1">
        <v>4522.0</v>
      </c>
      <c r="B4524" s="4" t="s">
        <v>7431</v>
      </c>
      <c r="C4524" s="4" t="str">
        <f>IFERROR(__xludf.DUMMYFUNCTION("GOOGLETRANSLATE(D:D,""auto"",""en"")"),"N Korea, room participant suicide jump")</f>
        <v>N Korea, room participant suicide jump</v>
      </c>
      <c r="D4524" s="4" t="s">
        <v>7462</v>
      </c>
      <c r="E4524" s="4">
        <v>6970412.0</v>
      </c>
      <c r="F4524" s="4">
        <v>23.0</v>
      </c>
      <c r="G4524" s="4" t="s">
        <v>7463</v>
      </c>
    </row>
    <row r="4525">
      <c r="A4525" s="1">
        <v>4523.0</v>
      </c>
      <c r="B4525" s="4" t="s">
        <v>7431</v>
      </c>
      <c r="C4525" s="4" t="str">
        <f>IFERROR(__xludf.DUMMYFUNCTION("GOOGLETRANSLATE(D:D,""auto"",""en"")"),"Luo is about to rejoin the ultimate challenge")</f>
        <v>Luo is about to rejoin the ultimate challenge</v>
      </c>
      <c r="D4525" s="4" t="s">
        <v>7417</v>
      </c>
      <c r="E4525" s="4">
        <v>6721592.0</v>
      </c>
      <c r="F4525" s="4">
        <v>24.0</v>
      </c>
      <c r="G4525" s="4" t="s">
        <v>7418</v>
      </c>
    </row>
    <row r="4526">
      <c r="A4526" s="1">
        <v>4524.0</v>
      </c>
      <c r="B4526" s="4" t="s">
        <v>7431</v>
      </c>
      <c r="C4526" s="4" t="str">
        <f>IFERROR(__xludf.DUMMYFUNCTION("GOOGLETRANSLATE(D:D,""auto"",""en"")"),"Let's rap Wan Neda think jonyj")</f>
        <v>Let's rap Wan Neda think jonyj</v>
      </c>
      <c r="D4526" s="4" t="s">
        <v>7373</v>
      </c>
      <c r="E4526" s="4">
        <v>6660554.0</v>
      </c>
      <c r="F4526" s="4">
        <v>25.0</v>
      </c>
      <c r="G4526" s="4" t="s">
        <v>7374</v>
      </c>
    </row>
    <row r="4527">
      <c r="A4527" s="1">
        <v>4525.0</v>
      </c>
      <c r="B4527" s="4" t="s">
        <v>7431</v>
      </c>
      <c r="C4527" s="4" t="str">
        <f>IFERROR(__xludf.DUMMYFUNCTION("GOOGLETRANSLATE(D:D,""auto"",""en"")"),"2020 national college entrance examination held one-month extension")</f>
        <v>2020 national college entrance examination held one-month extension</v>
      </c>
      <c r="D4527" s="4" t="s">
        <v>7464</v>
      </c>
      <c r="E4527" s="4">
        <v>6658514.0</v>
      </c>
      <c r="F4527" s="4">
        <v>26.0</v>
      </c>
      <c r="G4527" s="4" t="s">
        <v>7465</v>
      </c>
    </row>
    <row r="4528">
      <c r="A4528" s="1">
        <v>4526.0</v>
      </c>
      <c r="B4528" s="4" t="s">
        <v>7431</v>
      </c>
      <c r="C4528" s="4" t="str">
        <f>IFERROR(__xludf.DUMMYFUNCTION("GOOGLETRANSLATE(D:D,""auto"",""en"")"),"Guo Jingfei kidnapped")</f>
        <v>Guo Jingfei kidnapped</v>
      </c>
      <c r="D4528" s="4" t="s">
        <v>7399</v>
      </c>
      <c r="E4528" s="4">
        <v>6600738.0</v>
      </c>
      <c r="F4528" s="4">
        <v>27.0</v>
      </c>
      <c r="G4528" s="4" t="s">
        <v>7400</v>
      </c>
    </row>
    <row r="4529">
      <c r="A4529" s="1">
        <v>4527.0</v>
      </c>
      <c r="B4529" s="4" t="s">
        <v>7431</v>
      </c>
      <c r="C4529" s="4" t="str">
        <f>IFERROR(__xludf.DUMMYFUNCTION("GOOGLETRANSLATE(D:D,""auto"",""en"")"),"William Chan Liu Wen")</f>
        <v>William Chan Liu Wen</v>
      </c>
      <c r="D4529" s="4" t="s">
        <v>7466</v>
      </c>
      <c r="E4529" s="4">
        <v>6597881.0</v>
      </c>
      <c r="F4529" s="4">
        <v>28.0</v>
      </c>
      <c r="G4529" s="4" t="s">
        <v>7467</v>
      </c>
    </row>
    <row r="4530">
      <c r="A4530" s="1">
        <v>4528.0</v>
      </c>
      <c r="B4530" s="4" t="s">
        <v>7431</v>
      </c>
      <c r="C4530" s="4" t="str">
        <f>IFERROR(__xludf.DUMMYFUNCTION("GOOGLETRANSLATE(D:D,""auto"",""en"")"),"Yi Xi smelt one thousand hair styling")</f>
        <v>Yi Xi smelt one thousand hair styling</v>
      </c>
      <c r="D4530" s="4" t="s">
        <v>7468</v>
      </c>
      <c r="E4530" s="4">
        <v>6585869.0</v>
      </c>
      <c r="F4530" s="4">
        <v>29.0</v>
      </c>
      <c r="G4530" s="4" t="s">
        <v>7469</v>
      </c>
    </row>
    <row r="4531">
      <c r="A4531" s="1">
        <v>4529.0</v>
      </c>
      <c r="B4531" s="4" t="s">
        <v>7431</v>
      </c>
      <c r="C4531" s="4" t="str">
        <f>IFERROR(__xludf.DUMMYFUNCTION("GOOGLETRANSLATE(D:D,""auto"",""en"")"),"Q. Xin Wang to sing a tribute beyond")</f>
        <v>Q. Xin Wang to sing a tribute beyond</v>
      </c>
      <c r="D4531" s="4" t="s">
        <v>7389</v>
      </c>
      <c r="E4531" s="4">
        <v>6570546.0</v>
      </c>
      <c r="F4531" s="4">
        <v>30.0</v>
      </c>
      <c r="G4531" s="4" t="s">
        <v>7390</v>
      </c>
    </row>
    <row r="4532">
      <c r="A4532" s="1">
        <v>4530.0</v>
      </c>
      <c r="B4532" s="4" t="s">
        <v>7431</v>
      </c>
      <c r="C4532" s="4" t="str">
        <f>IFERROR(__xludf.DUMMYFUNCTION("GOOGLETRANSLATE(D:D,""auto"",""en"")"),"Sichuan Xichang fires caused 18 fire fighting team sacrifice")</f>
        <v>Sichuan Xichang fires caused 18 fire fighting team sacrifice</v>
      </c>
      <c r="D4532" s="4" t="s">
        <v>7470</v>
      </c>
      <c r="E4532" s="4">
        <v>6565958.0</v>
      </c>
      <c r="F4532" s="4">
        <v>31.0</v>
      </c>
      <c r="G4532" s="4" t="s">
        <v>7471</v>
      </c>
    </row>
    <row r="4533">
      <c r="A4533" s="1">
        <v>4531.0</v>
      </c>
      <c r="B4533" s="4" t="s">
        <v>7431</v>
      </c>
      <c r="C4533" s="4" t="str">
        <f>IFERROR(__xludf.DUMMYFUNCTION("GOOGLETRANSLATE(D:D,""auto"",""en"")"),"New 9222 cases of new confirmed cases of pneumonia crown Spain")</f>
        <v>New 9222 cases of new confirmed cases of pneumonia crown Spain</v>
      </c>
      <c r="D4533" s="4" t="s">
        <v>7472</v>
      </c>
      <c r="E4533" s="4">
        <v>6545264.0</v>
      </c>
      <c r="F4533" s="4">
        <v>32.0</v>
      </c>
      <c r="G4533" s="4" t="s">
        <v>7473</v>
      </c>
    </row>
    <row r="4534">
      <c r="A4534" s="1">
        <v>4532.0</v>
      </c>
      <c r="B4534" s="4" t="s">
        <v>7431</v>
      </c>
      <c r="C4534" s="4" t="str">
        <f>IFERROR(__xludf.DUMMYFUNCTION("GOOGLETRANSLATE(D:D,""auto"",""en"")"),"90 with a brush artist reproducing Shanhaiching")</f>
        <v>90 with a brush artist reproducing Shanhaiching</v>
      </c>
      <c r="D4534" s="4" t="s">
        <v>7474</v>
      </c>
      <c r="E4534" s="4">
        <v>6507836.0</v>
      </c>
      <c r="F4534" s="4">
        <v>33.0</v>
      </c>
      <c r="G4534" s="4" t="s">
        <v>7475</v>
      </c>
    </row>
    <row r="4535">
      <c r="A4535" s="1">
        <v>4533.0</v>
      </c>
      <c r="B4535" s="4" t="s">
        <v>7431</v>
      </c>
      <c r="C4535" s="4" t="str">
        <f>IFERROR(__xludf.DUMMYFUNCTION("GOOGLETRANSLATE(D:D,""auto"",""en"")"),"When Wang Yibo met his idol")</f>
        <v>When Wang Yibo met his idol</v>
      </c>
      <c r="D4535" s="4" t="s">
        <v>7363</v>
      </c>
      <c r="E4535" s="4">
        <v>6352521.0</v>
      </c>
      <c r="F4535" s="4">
        <v>34.0</v>
      </c>
      <c r="G4535" s="4" t="s">
        <v>7364</v>
      </c>
    </row>
    <row r="4536">
      <c r="A4536" s="1">
        <v>4534.0</v>
      </c>
      <c r="B4536" s="4" t="s">
        <v>7431</v>
      </c>
      <c r="C4536" s="4" t="str">
        <f>IFERROR(__xludf.DUMMYFUNCTION("GOOGLETRANSLATE(D:D,""auto"",""en"")"),"Liu Wen Fang denied the affair with William Chan")</f>
        <v>Liu Wen Fang denied the affair with William Chan</v>
      </c>
      <c r="D4536" s="4" t="s">
        <v>7476</v>
      </c>
      <c r="E4536" s="4">
        <v>6314443.0</v>
      </c>
      <c r="F4536" s="4">
        <v>35.0</v>
      </c>
      <c r="G4536" s="4" t="s">
        <v>7477</v>
      </c>
    </row>
    <row r="4537">
      <c r="A4537" s="1">
        <v>4535.0</v>
      </c>
      <c r="B4537" s="4" t="s">
        <v>7431</v>
      </c>
      <c r="C4537" s="4" t="str">
        <f>IFERROR(__xludf.DUMMYFUNCTION("GOOGLETRANSLATE(D:D,""auto"",""en"")"),"Trump said goods from China very good")</f>
        <v>Trump said goods from China very good</v>
      </c>
      <c r="D4537" s="4" t="s">
        <v>7478</v>
      </c>
      <c r="E4537" s="4">
        <v>6313953.0</v>
      </c>
      <c r="F4537" s="4">
        <v>36.0</v>
      </c>
      <c r="G4537" s="4" t="s">
        <v>7479</v>
      </c>
    </row>
    <row r="4538">
      <c r="A4538" s="1">
        <v>4536.0</v>
      </c>
      <c r="B4538" s="4" t="s">
        <v>7431</v>
      </c>
      <c r="C4538" s="4" t="str">
        <f>IFERROR(__xludf.DUMMYFUNCTION("GOOGLETRANSLATE(D:D,""auto"",""en"")"),"Li Xin'ai revealed that Tang Yan gave birth to twins")</f>
        <v>Li Xin'ai revealed that Tang Yan gave birth to twins</v>
      </c>
      <c r="D4538" s="4" t="s">
        <v>7379</v>
      </c>
      <c r="E4538" s="4">
        <v>6204095.0</v>
      </c>
      <c r="F4538" s="4">
        <v>37.0</v>
      </c>
      <c r="G4538" s="4" t="s">
        <v>7380</v>
      </c>
    </row>
    <row r="4539">
      <c r="A4539" s="1">
        <v>4537.0</v>
      </c>
      <c r="B4539" s="4" t="s">
        <v>7431</v>
      </c>
      <c r="C4539" s="4" t="str">
        <f>IFERROR(__xludf.DUMMYFUNCTION("GOOGLETRANSLATE(D:D,""auto"",""en"")"),"Wuxuanyiyang beyond the Dance Dance Revolution battle")</f>
        <v>Wuxuanyiyang beyond the Dance Dance Revolution battle</v>
      </c>
      <c r="D4539" s="4" t="s">
        <v>7480</v>
      </c>
      <c r="E4539" s="4">
        <v>6179236.0</v>
      </c>
      <c r="F4539" s="4">
        <v>38.0</v>
      </c>
      <c r="G4539" s="4" t="s">
        <v>7481</v>
      </c>
    </row>
    <row r="4540">
      <c r="A4540" s="1">
        <v>4538.0</v>
      </c>
      <c r="B4540" s="4" t="s">
        <v>7431</v>
      </c>
      <c r="C4540" s="4" t="str">
        <f>IFERROR(__xludf.DUMMYFUNCTION("GOOGLETRANSLATE(D:D,""auto"",""en"")"),"Xichang fires caused by the expense of 19 local fire fighting personnel")</f>
        <v>Xichang fires caused by the expense of 19 local fire fighting personnel</v>
      </c>
      <c r="D4540" s="4" t="s">
        <v>7482</v>
      </c>
      <c r="E4540" s="4">
        <v>6177180.0</v>
      </c>
      <c r="F4540" s="4">
        <v>39.0</v>
      </c>
      <c r="G4540" s="4" t="s">
        <v>7483</v>
      </c>
    </row>
    <row r="4541">
      <c r="A4541" s="1">
        <v>4539.0</v>
      </c>
      <c r="B4541" s="4" t="s">
        <v>7431</v>
      </c>
      <c r="C4541" s="4" t="str">
        <f>IFERROR(__xludf.DUMMYFUNCTION("GOOGLETRANSLATE(D:D,""auto"",""en"")"),"Xichang Lu Mountain Peak fire recrudescence")</f>
        <v>Xichang Lu Mountain Peak fire recrudescence</v>
      </c>
      <c r="D4541" s="4" t="s">
        <v>7484</v>
      </c>
      <c r="E4541" s="4">
        <v>6149943.0</v>
      </c>
      <c r="F4541" s="4">
        <v>40.0</v>
      </c>
      <c r="G4541" s="4" t="s">
        <v>7485</v>
      </c>
    </row>
    <row r="4542">
      <c r="A4542" s="1">
        <v>4540.0</v>
      </c>
      <c r="B4542" s="4" t="s">
        <v>7431</v>
      </c>
      <c r="C4542" s="4" t="str">
        <f>IFERROR(__xludf.DUMMYFUNCTION("GOOGLETRANSLATE(D:D,""auto"",""en"")"),"Net exposure limit challenge replace members")</f>
        <v>Net exposure limit challenge replace members</v>
      </c>
      <c r="D4542" s="4" t="s">
        <v>7375</v>
      </c>
      <c r="E4542" s="4">
        <v>6097683.0</v>
      </c>
      <c r="F4542" s="4">
        <v>41.0</v>
      </c>
      <c r="G4542" s="4" t="s">
        <v>7376</v>
      </c>
    </row>
    <row r="4543">
      <c r="A4543" s="1">
        <v>4541.0</v>
      </c>
      <c r="B4543" s="4" t="s">
        <v>7431</v>
      </c>
      <c r="C4543" s="4" t="str">
        <f>IFERROR(__xludf.DUMMYFUNCTION("GOOGLETRANSLATE(D:D,""auto"",""en"")"),"Hangzhou cloud after 90 couples held wedding")</f>
        <v>Hangzhou cloud after 90 couples held wedding</v>
      </c>
      <c r="D4543" s="4" t="s">
        <v>7419</v>
      </c>
      <c r="E4543" s="4">
        <v>6011484.0</v>
      </c>
      <c r="F4543" s="4">
        <v>42.0</v>
      </c>
      <c r="G4543" s="4" t="s">
        <v>7420</v>
      </c>
    </row>
    <row r="4544">
      <c r="A4544" s="1">
        <v>4542.0</v>
      </c>
      <c r="B4544" s="4" t="s">
        <v>7431</v>
      </c>
      <c r="C4544" s="4" t="str">
        <f>IFERROR(__xludf.DUMMYFUNCTION("GOOGLETRANSLATE(D:D,""auto"",""en"")"),"Li confession of ice success")</f>
        <v>Li confession of ice success</v>
      </c>
      <c r="D4544" s="4" t="s">
        <v>7486</v>
      </c>
      <c r="E4544" s="4">
        <v>5610649.0</v>
      </c>
      <c r="F4544" s="4">
        <v>43.0</v>
      </c>
      <c r="G4544" s="4" t="s">
        <v>7487</v>
      </c>
    </row>
    <row r="4545">
      <c r="A4545" s="1">
        <v>4543.0</v>
      </c>
      <c r="B4545" s="4" t="s">
        <v>7431</v>
      </c>
      <c r="C4545" s="4" t="str">
        <f>IFERROR(__xludf.DUMMYFUNCTION("GOOGLETRANSLATE(D:D,""auto"",""en"")"),"Daughter of writing the whole article praises mom")</f>
        <v>Daughter of writing the whole article praises mom</v>
      </c>
      <c r="D4545" s="4" t="s">
        <v>7488</v>
      </c>
      <c r="E4545" s="4">
        <v>5600631.0</v>
      </c>
      <c r="F4545" s="4">
        <v>44.0</v>
      </c>
      <c r="G4545" s="4" t="s">
        <v>7489</v>
      </c>
    </row>
    <row r="4546">
      <c r="A4546" s="1">
        <v>4544.0</v>
      </c>
      <c r="B4546" s="4" t="s">
        <v>7431</v>
      </c>
      <c r="C4546" s="4" t="str">
        <f>IFERROR(__xludf.DUMMYFUNCTION("GOOGLETRANSLATE(D:D,""auto"",""en"")"),"The scene within five kilometers residents have been evacuated Xichang")</f>
        <v>The scene within five kilometers residents have been evacuated Xichang</v>
      </c>
      <c r="D4546" s="4" t="s">
        <v>7490</v>
      </c>
      <c r="E4546" s="4">
        <v>5458807.0</v>
      </c>
      <c r="F4546" s="4">
        <v>45.0</v>
      </c>
      <c r="G4546" s="4" t="s">
        <v>7491</v>
      </c>
    </row>
    <row r="4547">
      <c r="A4547" s="1">
        <v>4545.0</v>
      </c>
      <c r="B4547" s="4" t="s">
        <v>7431</v>
      </c>
      <c r="C4547" s="4" t="str">
        <f>IFERROR(__xludf.DUMMYFUNCTION("GOOGLETRANSLATE(D:D,""auto"",""en"")"),"Open the talent show by way of rap")</f>
        <v>Open the talent show by way of rap</v>
      </c>
      <c r="D4547" s="4" t="s">
        <v>7332</v>
      </c>
      <c r="E4547" s="4">
        <v>5409733.0</v>
      </c>
      <c r="F4547" s="4">
        <v>46.0</v>
      </c>
      <c r="G4547" s="4" t="s">
        <v>7333</v>
      </c>
    </row>
    <row r="4548">
      <c r="A4548" s="1">
        <v>4546.0</v>
      </c>
      <c r="B4548" s="4" t="s">
        <v>7431</v>
      </c>
      <c r="C4548" s="4" t="str">
        <f>IFERROR(__xludf.DUMMYFUNCTION("GOOGLETRANSLATE(D:D,""auto"",""en"")"),"In March last day")</f>
        <v>In March last day</v>
      </c>
      <c r="D4548" s="4" t="s">
        <v>7492</v>
      </c>
      <c r="E4548" s="4">
        <v>5366637.0</v>
      </c>
      <c r="F4548" s="4">
        <v>47.0</v>
      </c>
      <c r="G4548" s="4" t="s">
        <v>7493</v>
      </c>
    </row>
    <row r="4549">
      <c r="A4549" s="1">
        <v>4547.0</v>
      </c>
      <c r="B4549" s="4" t="s">
        <v>7431</v>
      </c>
      <c r="C4549" s="4" t="str">
        <f>IFERROR(__xludf.DUMMYFUNCTION("GOOGLETRANSLATE(D:D,""auto"",""en"")"),"Beijing first reported imported cases in Serbia")</f>
        <v>Beijing first reported imported cases in Serbia</v>
      </c>
      <c r="D4549" s="4" t="s">
        <v>7494</v>
      </c>
      <c r="E4549" s="4">
        <v>5322664.0</v>
      </c>
      <c r="F4549" s="4">
        <v>48.0</v>
      </c>
      <c r="G4549" s="4" t="s">
        <v>7495</v>
      </c>
    </row>
    <row r="4550">
      <c r="A4550" s="1">
        <v>4548.0</v>
      </c>
      <c r="B4550" s="4" t="s">
        <v>7431</v>
      </c>
      <c r="C4550" s="4" t="str">
        <f>IFERROR(__xludf.DUMMYFUNCTION("GOOGLETRANSLATE(D:D,""auto"",""en"")"),"Progress love cream puffs Anson")</f>
        <v>Progress love cream puffs Anson</v>
      </c>
      <c r="D4550" s="4" t="s">
        <v>7371</v>
      </c>
      <c r="E4550" s="4">
        <v>5321696.0</v>
      </c>
      <c r="F4550" s="4">
        <v>49.0</v>
      </c>
      <c r="G4550" s="4" t="s">
        <v>7372</v>
      </c>
    </row>
    <row r="4551">
      <c r="A4551" s="1">
        <v>4549.0</v>
      </c>
      <c r="B4551" s="4" t="s">
        <v>7431</v>
      </c>
      <c r="C4551" s="4" t="str">
        <f>IFERROR(__xludf.DUMMYFUNCTION("GOOGLETRANSLATE(D:D,""auto"",""en"")"),"Time record on her face")</f>
        <v>Time record on her face</v>
      </c>
      <c r="D4551" s="4" t="s">
        <v>7496</v>
      </c>
      <c r="E4551" s="4">
        <v>5103563.0</v>
      </c>
      <c r="F4551" s="4">
        <v>50.0</v>
      </c>
      <c r="G4551" s="4" t="s">
        <v>7497</v>
      </c>
    </row>
    <row r="4552">
      <c r="A4552" s="1">
        <v>4550.0</v>
      </c>
      <c r="B4552" s="4" t="s">
        <v>7498</v>
      </c>
      <c r="C4552" s="4" t="str">
        <f>IFERROR(__xludf.DUMMYFUNCTION("GOOGLETRANSLATE(D:D,""auto"",""en"")"),"April 1 Remember Number 81192")</f>
        <v>April 1 Remember Number 81192</v>
      </c>
      <c r="D4552" s="4" t="s">
        <v>7499</v>
      </c>
      <c r="E4552" s="4">
        <v>1.0186217E7</v>
      </c>
      <c r="F4552" s="4">
        <v>1.0</v>
      </c>
      <c r="G4552" s="4" t="s">
        <v>7500</v>
      </c>
    </row>
    <row r="4553">
      <c r="A4553" s="1">
        <v>4551.0</v>
      </c>
      <c r="B4553" s="4" t="s">
        <v>7498</v>
      </c>
      <c r="C4553" s="4" t="str">
        <f>IFERROR(__xludf.DUMMYFUNCTION("GOOGLETRANSLATE(D:D,""auto"",""en"")"),"Gilbert looked Hang A burst")</f>
        <v>Gilbert looked Hang A burst</v>
      </c>
      <c r="D4553" s="4" t="s">
        <v>7501</v>
      </c>
      <c r="E4553" s="4">
        <v>1.0119116E7</v>
      </c>
      <c r="F4553" s="4">
        <v>2.0</v>
      </c>
      <c r="G4553" s="4" t="s">
        <v>7502</v>
      </c>
    </row>
    <row r="4554">
      <c r="A4554" s="1">
        <v>4552.0</v>
      </c>
      <c r="B4554" s="4" t="s">
        <v>7498</v>
      </c>
      <c r="C4554" s="4" t="str">
        <f>IFERROR(__xludf.DUMMYFUNCTION("GOOGLETRANSLATE(D:D,""auto"",""en"")"),"Ling Ye Li is another double challenge")</f>
        <v>Ling Ye Li is another double challenge</v>
      </c>
      <c r="D4554" s="4" t="s">
        <v>7442</v>
      </c>
      <c r="E4554" s="4">
        <v>9657958.0</v>
      </c>
      <c r="F4554" s="4">
        <v>3.0</v>
      </c>
      <c r="G4554" s="4" t="s">
        <v>7443</v>
      </c>
    </row>
    <row r="4555">
      <c r="A4555" s="1">
        <v>4553.0</v>
      </c>
      <c r="B4555" s="4" t="s">
        <v>7498</v>
      </c>
      <c r="C4555" s="4" t="str">
        <f>IFERROR(__xludf.DUMMYFUNCTION("GOOGLETRANSLATE(D:D,""auto"",""en"")"),"Dutch Van Gogh paintings stolen from a museum")</f>
        <v>Dutch Van Gogh paintings stolen from a museum</v>
      </c>
      <c r="D4555" s="4" t="s">
        <v>7432</v>
      </c>
      <c r="E4555" s="4">
        <v>9479638.0</v>
      </c>
      <c r="F4555" s="4">
        <v>4.0</v>
      </c>
      <c r="G4555" s="4" t="s">
        <v>7433</v>
      </c>
    </row>
    <row r="4556">
      <c r="A4556" s="1">
        <v>4554.0</v>
      </c>
      <c r="B4556" s="4" t="s">
        <v>7498</v>
      </c>
      <c r="C4556" s="4" t="str">
        <f>IFERROR(__xludf.DUMMYFUNCTION("GOOGLETRANSLATE(D:D,""auto"",""en"")"),"Ling Ye Li Jia Hang challenge")</f>
        <v>Ling Ye Li Jia Hang challenge</v>
      </c>
      <c r="D4556" s="4" t="s">
        <v>7503</v>
      </c>
      <c r="E4556" s="4">
        <v>9464921.0</v>
      </c>
      <c r="F4556" s="4">
        <v>5.0</v>
      </c>
      <c r="G4556" s="4" t="s">
        <v>7504</v>
      </c>
    </row>
    <row r="4557">
      <c r="A4557" s="1">
        <v>4555.0</v>
      </c>
      <c r="B4557" s="4" t="s">
        <v>7498</v>
      </c>
      <c r="C4557" s="4" t="str">
        <f>IFERROR(__xludf.DUMMYFUNCTION("GOOGLETRANSLATE(D:D,""auto"",""en"")"),"Pure friendship between men and women do")</f>
        <v>Pure friendship between men and women do</v>
      </c>
      <c r="D4557" s="4" t="s">
        <v>7505</v>
      </c>
      <c r="E4557" s="4">
        <v>9284514.0</v>
      </c>
      <c r="F4557" s="4">
        <v>6.0</v>
      </c>
      <c r="G4557" s="4" t="s">
        <v>7506</v>
      </c>
    </row>
    <row r="4558">
      <c r="A4558" s="1">
        <v>4556.0</v>
      </c>
      <c r="B4558" s="4" t="s">
        <v>7498</v>
      </c>
      <c r="C4558" s="4" t="str">
        <f>IFERROR(__xludf.DUMMYFUNCTION("GOOGLETRANSLATE(D:D,""auto"",""en"")"),"Yang Mi remember charging")</f>
        <v>Yang Mi remember charging</v>
      </c>
      <c r="D4558" s="4" t="s">
        <v>7365</v>
      </c>
      <c r="E4558" s="4">
        <v>9057539.0</v>
      </c>
      <c r="F4558" s="4">
        <v>7.0</v>
      </c>
      <c r="G4558" s="4" t="s">
        <v>7366</v>
      </c>
    </row>
    <row r="4559">
      <c r="A4559" s="1">
        <v>4557.0</v>
      </c>
      <c r="B4559" s="4" t="s">
        <v>7498</v>
      </c>
      <c r="C4559" s="4" t="str">
        <f>IFERROR(__xludf.DUMMYFUNCTION("GOOGLETRANSLATE(D:D,""auto"",""en"")"),"Foreigners cut in detecting nucleic acid primer conflict")</f>
        <v>Foreigners cut in detecting nucleic acid primer conflict</v>
      </c>
      <c r="D4559" s="4" t="s">
        <v>7507</v>
      </c>
      <c r="E4559" s="4">
        <v>9050356.0</v>
      </c>
      <c r="F4559" s="4">
        <v>8.0</v>
      </c>
      <c r="G4559" s="4" t="s">
        <v>7508</v>
      </c>
    </row>
    <row r="4560">
      <c r="A4560" s="1">
        <v>4558.0</v>
      </c>
      <c r="B4560" s="4" t="s">
        <v>7498</v>
      </c>
      <c r="C4560" s="4" t="str">
        <f>IFERROR(__xludf.DUMMYFUNCTION("GOOGLETRANSLATE(D:D,""auto"",""en"")"),"Huisuan tax year begins")</f>
        <v>Huisuan tax year begins</v>
      </c>
      <c r="D4560" s="4" t="s">
        <v>7509</v>
      </c>
      <c r="E4560" s="4">
        <v>8950172.0</v>
      </c>
      <c r="F4560" s="4">
        <v>9.0</v>
      </c>
      <c r="G4560" s="4" t="s">
        <v>7510</v>
      </c>
    </row>
    <row r="4561">
      <c r="A4561" s="1">
        <v>4559.0</v>
      </c>
      <c r="B4561" s="4" t="s">
        <v>7498</v>
      </c>
      <c r="C4561" s="4" t="str">
        <f>IFERROR(__xludf.DUMMYFUNCTION("GOOGLETRANSLATE(D:D,""auto"",""en"")"),"Overheating help sell millet phone Lei Jun")</f>
        <v>Overheating help sell millet phone Lei Jun</v>
      </c>
      <c r="D4561" s="4" t="s">
        <v>7511</v>
      </c>
      <c r="E4561" s="4">
        <v>8891186.0</v>
      </c>
      <c r="F4561" s="4">
        <v>10.0</v>
      </c>
      <c r="G4561" s="4" t="s">
        <v>7512</v>
      </c>
    </row>
    <row r="4562">
      <c r="A4562" s="1">
        <v>4560.0</v>
      </c>
      <c r="B4562" s="4" t="s">
        <v>7498</v>
      </c>
      <c r="C4562" s="4" t="str">
        <f>IFERROR(__xludf.DUMMYFUNCTION("GOOGLETRANSLATE(D:D,""auto"",""en"")"),"Overheating live debut")</f>
        <v>Overheating live debut</v>
      </c>
      <c r="D4562" s="4" t="s">
        <v>7513</v>
      </c>
      <c r="E4562" s="4">
        <v>8830719.0</v>
      </c>
      <c r="F4562" s="4">
        <v>11.0</v>
      </c>
      <c r="G4562" s="4" t="s">
        <v>7514</v>
      </c>
    </row>
    <row r="4563">
      <c r="A4563" s="1">
        <v>4561.0</v>
      </c>
      <c r="B4563" s="4" t="s">
        <v>7498</v>
      </c>
      <c r="C4563" s="4" t="str">
        <f>IFERROR(__xludf.DUMMYFUNCTION("GOOGLETRANSLATE(D:D,""auto"",""en"")"),"Huang Zitao chase drama")</f>
        <v>Huang Zitao chase drama</v>
      </c>
      <c r="D4563" s="4" t="s">
        <v>7515</v>
      </c>
      <c r="E4563" s="4">
        <v>8779459.0</v>
      </c>
      <c r="F4563" s="4">
        <v>12.0</v>
      </c>
      <c r="G4563" s="4" t="s">
        <v>7516</v>
      </c>
    </row>
    <row r="4564">
      <c r="A4564" s="1">
        <v>4562.0</v>
      </c>
      <c r="B4564" s="4" t="s">
        <v>7498</v>
      </c>
      <c r="C4564" s="4" t="str">
        <f>IFERROR(__xludf.DUMMYFUNCTION("GOOGLETRANSLATE(D:D,""auto"",""en"")"),"Sorry teachers")</f>
        <v>Sorry teachers</v>
      </c>
      <c r="D4564" s="4" t="s">
        <v>7517</v>
      </c>
      <c r="E4564" s="4">
        <v>8738185.0</v>
      </c>
      <c r="F4564" s="4">
        <v>13.0</v>
      </c>
      <c r="G4564" s="4" t="s">
        <v>7518</v>
      </c>
    </row>
    <row r="4565">
      <c r="A4565" s="1">
        <v>4563.0</v>
      </c>
      <c r="B4565" s="4" t="s">
        <v>7498</v>
      </c>
      <c r="C4565" s="4" t="str">
        <f>IFERROR(__xludf.DUMMYFUNCTION("GOOGLETRANSLATE(D:D,""auto"",""en"")"),"Overheating apologize for the slip of the tongue")</f>
        <v>Overheating apologize for the slip of the tongue</v>
      </c>
      <c r="D4565" s="4" t="s">
        <v>7519</v>
      </c>
      <c r="E4565" s="4">
        <v>8737606.0</v>
      </c>
      <c r="F4565" s="4">
        <v>14.0</v>
      </c>
      <c r="G4565" s="4" t="s">
        <v>7520</v>
      </c>
    </row>
    <row r="4566">
      <c r="A4566" s="1">
        <v>4564.0</v>
      </c>
      <c r="B4566" s="4" t="s">
        <v>7498</v>
      </c>
      <c r="C4566" s="4" t="str">
        <f>IFERROR(__xludf.DUMMYFUNCTION("GOOGLETRANSLATE(D:D,""auto"",""en"")"),"Ganzi in Sichuan earthquake")</f>
        <v>Ganzi in Sichuan earthquake</v>
      </c>
      <c r="D4566" s="4" t="s">
        <v>7521</v>
      </c>
      <c r="E4566" s="4">
        <v>8589717.0</v>
      </c>
      <c r="F4566" s="4">
        <v>15.0</v>
      </c>
      <c r="G4566" s="4" t="s">
        <v>7522</v>
      </c>
    </row>
    <row r="4567">
      <c r="A4567" s="1">
        <v>4565.0</v>
      </c>
      <c r="B4567" s="4" t="s">
        <v>7498</v>
      </c>
      <c r="C4567" s="4" t="str">
        <f>IFERROR(__xludf.DUMMYFUNCTION("GOOGLETRANSLATE(D:D,""auto"",""en"")"),"Some girls looked up to become a bad woman")</f>
        <v>Some girls looked up to become a bad woman</v>
      </c>
      <c r="D4567" s="4" t="s">
        <v>7436</v>
      </c>
      <c r="E4567" s="4">
        <v>8546340.0</v>
      </c>
      <c r="F4567" s="4">
        <v>16.0</v>
      </c>
      <c r="G4567" s="4" t="s">
        <v>7437</v>
      </c>
    </row>
    <row r="4568">
      <c r="A4568" s="1">
        <v>4566.0</v>
      </c>
      <c r="B4568" s="4" t="s">
        <v>7498</v>
      </c>
      <c r="C4568" s="4" t="str">
        <f>IFERROR(__xludf.DUMMYFUNCTION("GOOGLETRANSLATE(D:D,""auto"",""en"")"),"Zhou deep ringtone for fans to get up recording")</f>
        <v>Zhou deep ringtone for fans to get up recording</v>
      </c>
      <c r="D4568" s="4" t="s">
        <v>7523</v>
      </c>
      <c r="E4568" s="4">
        <v>8421269.0</v>
      </c>
      <c r="F4568" s="4">
        <v>17.0</v>
      </c>
      <c r="G4568" s="4" t="s">
        <v>7524</v>
      </c>
    </row>
    <row r="4569">
      <c r="A4569" s="1">
        <v>4567.0</v>
      </c>
      <c r="B4569" s="4" t="s">
        <v>7498</v>
      </c>
      <c r="C4569" s="4" t="str">
        <f>IFERROR(__xludf.DUMMYFUNCTION("GOOGLETRANSLATE(D:D,""auto"",""en"")"),"Ren Jialun cloud hop dance cherry")</f>
        <v>Ren Jialun cloud hop dance cherry</v>
      </c>
      <c r="D4569" s="4" t="s">
        <v>7525</v>
      </c>
      <c r="E4569" s="4">
        <v>8166489.0</v>
      </c>
      <c r="F4569" s="4">
        <v>18.0</v>
      </c>
      <c r="G4569" s="4" t="s">
        <v>7526</v>
      </c>
    </row>
    <row r="4570">
      <c r="A4570" s="1">
        <v>4568.0</v>
      </c>
      <c r="B4570" s="4" t="s">
        <v>7498</v>
      </c>
      <c r="C4570" s="4" t="str">
        <f>IFERROR(__xludf.DUMMYFUNCTION("GOOGLETRANSLATE(D:D,""auto"",""en"")"),"Cherish the memory of Leslie Tang Hede")</f>
        <v>Cherish the memory of Leslie Tang Hede</v>
      </c>
      <c r="D4570" s="4" t="s">
        <v>7527</v>
      </c>
      <c r="E4570" s="4">
        <v>8057859.0</v>
      </c>
      <c r="F4570" s="4">
        <v>19.0</v>
      </c>
      <c r="G4570" s="4" t="s">
        <v>7528</v>
      </c>
    </row>
    <row r="4571">
      <c r="A4571" s="1">
        <v>4569.0</v>
      </c>
      <c r="B4571" s="4" t="s">
        <v>7498</v>
      </c>
      <c r="C4571" s="4" t="str">
        <f>IFERROR(__xludf.DUMMYFUNCTION("GOOGLETRANSLATE(D:D,""auto"",""en"")"),"National new cases of 36 cases")</f>
        <v>National new cases of 36 cases</v>
      </c>
      <c r="D4571" s="4" t="s">
        <v>7529</v>
      </c>
      <c r="E4571" s="4">
        <v>8045895.0</v>
      </c>
      <c r="F4571" s="4">
        <v>20.0</v>
      </c>
      <c r="G4571" s="4" t="s">
        <v>7530</v>
      </c>
    </row>
    <row r="4572">
      <c r="A4572" s="1">
        <v>4570.0</v>
      </c>
      <c r="B4572" s="4" t="s">
        <v>7498</v>
      </c>
      <c r="C4572" s="4" t="str">
        <f>IFERROR(__xludf.DUMMYFUNCTION("GOOGLETRANSLATE(D:D,""auto"",""en"")"),"April Fool's Day")</f>
        <v>April Fool's Day</v>
      </c>
      <c r="D4572" s="4" t="s">
        <v>7531</v>
      </c>
      <c r="E4572" s="4">
        <v>7911709.0</v>
      </c>
      <c r="F4572" s="4">
        <v>21.0</v>
      </c>
      <c r="G4572" s="4" t="s">
        <v>7532</v>
      </c>
    </row>
    <row r="4573">
      <c r="A4573" s="1">
        <v>4571.0</v>
      </c>
      <c r="B4573" s="4" t="s">
        <v>7498</v>
      </c>
      <c r="C4573" s="4" t="str">
        <f>IFERROR(__xludf.DUMMYFUNCTION("GOOGLETRANSLATE(D:D,""auto"",""en"")"),"Qin Xiao Yin Li Shamin recommend listening to the child named Little Fan")</f>
        <v>Qin Xiao Yin Li Shamin recommend listening to the child named Little Fan</v>
      </c>
      <c r="D4573" s="4" t="s">
        <v>7533</v>
      </c>
      <c r="E4573" s="4">
        <v>7870879.0</v>
      </c>
      <c r="F4573" s="4">
        <v>22.0</v>
      </c>
      <c r="G4573" s="4" t="s">
        <v>7534</v>
      </c>
    </row>
    <row r="4574">
      <c r="A4574" s="1">
        <v>4572.0</v>
      </c>
      <c r="B4574" s="4" t="s">
        <v>7498</v>
      </c>
      <c r="C4574" s="4" t="str">
        <f>IFERROR(__xludf.DUMMYFUNCTION("GOOGLETRANSLATE(D:D,""auto"",""en"")"),"Pink Sakura Wars")</f>
        <v>Pink Sakura Wars</v>
      </c>
      <c r="D4574" s="4" t="s">
        <v>7535</v>
      </c>
      <c r="E4574" s="4">
        <v>7833102.0</v>
      </c>
      <c r="F4574" s="4">
        <v>23.0</v>
      </c>
      <c r="G4574" s="4" t="s">
        <v>7536</v>
      </c>
    </row>
    <row r="4575">
      <c r="A4575" s="1">
        <v>4573.0</v>
      </c>
      <c r="B4575" s="4" t="s">
        <v>7498</v>
      </c>
      <c r="C4575" s="4" t="str">
        <f>IFERROR(__xludf.DUMMYFUNCTION("GOOGLETRANSLATE(D:D,""auto"",""en"")"),"The new crown over the United States in patients with pneumonia 180,000")</f>
        <v>The new crown over the United States in patients with pneumonia 180,000</v>
      </c>
      <c r="D4575" s="4" t="s">
        <v>7537</v>
      </c>
      <c r="E4575" s="4">
        <v>7717134.0</v>
      </c>
      <c r="F4575" s="4">
        <v>24.0</v>
      </c>
      <c r="G4575" s="4" t="s">
        <v>7538</v>
      </c>
    </row>
    <row r="4576">
      <c r="A4576" s="1">
        <v>4574.0</v>
      </c>
      <c r="B4576" s="4" t="s">
        <v>7498</v>
      </c>
      <c r="C4576" s="4" t="str">
        <f>IFERROR(__xludf.DUMMYFUNCTION("GOOGLETRANSLATE(D:D,""auto"",""en"")"),"Bryant ins updated")</f>
        <v>Bryant ins updated</v>
      </c>
      <c r="D4576" s="4" t="s">
        <v>7539</v>
      </c>
      <c r="E4576" s="4">
        <v>7604708.0</v>
      </c>
      <c r="F4576" s="4">
        <v>25.0</v>
      </c>
      <c r="G4576" s="4" t="s">
        <v>7540</v>
      </c>
    </row>
    <row r="4577">
      <c r="A4577" s="1">
        <v>4575.0</v>
      </c>
      <c r="B4577" s="4" t="s">
        <v>7498</v>
      </c>
      <c r="C4577" s="4" t="str">
        <f>IFERROR(__xludf.DUMMYFUNCTION("GOOGLETRANSLATE(D:D,""auto"",""en"")"),"Hsiao love")</f>
        <v>Hsiao love</v>
      </c>
      <c r="D4577" s="4" t="s">
        <v>7434</v>
      </c>
      <c r="E4577" s="4">
        <v>7555855.0</v>
      </c>
      <c r="F4577" s="4">
        <v>26.0</v>
      </c>
      <c r="G4577" s="4" t="s">
        <v>7435</v>
      </c>
    </row>
    <row r="4578">
      <c r="A4578" s="1">
        <v>4576.0</v>
      </c>
      <c r="B4578" s="4" t="s">
        <v>7498</v>
      </c>
      <c r="C4578" s="4" t="str">
        <f>IFERROR(__xludf.DUMMYFUNCTION("GOOGLETRANSLATE(D:D,""auto"",""en"")"),"CNN ANCHOR confirmed infected with the new crown pneumonia")</f>
        <v>CNN ANCHOR confirmed infected with the new crown pneumonia</v>
      </c>
      <c r="D4578" s="4" t="s">
        <v>7541</v>
      </c>
      <c r="E4578" s="4">
        <v>7540501.0</v>
      </c>
      <c r="F4578" s="4">
        <v>27.0</v>
      </c>
      <c r="G4578" s="4" t="s">
        <v>7542</v>
      </c>
    </row>
    <row r="4579">
      <c r="A4579" s="1">
        <v>4577.0</v>
      </c>
      <c r="B4579" s="4" t="s">
        <v>7498</v>
      </c>
      <c r="C4579" s="4" t="str">
        <f>IFERROR(__xludf.DUMMYFUNCTION("GOOGLETRANSLATE(D:D,""auto"",""en"")"),"Ministry of Foreign Affairs to respond to Chinese students want to return home")</f>
        <v>Ministry of Foreign Affairs to respond to Chinese students want to return home</v>
      </c>
      <c r="D4579" s="4" t="s">
        <v>7543</v>
      </c>
      <c r="E4579" s="4">
        <v>7489373.0</v>
      </c>
      <c r="F4579" s="4">
        <v>28.0</v>
      </c>
      <c r="G4579" s="4" t="s">
        <v>7544</v>
      </c>
    </row>
    <row r="4580">
      <c r="A4580" s="1">
        <v>4578.0</v>
      </c>
      <c r="B4580" s="4" t="s">
        <v>7498</v>
      </c>
      <c r="C4580" s="4" t="str">
        <f>IFERROR(__xludf.DUMMYFUNCTION("GOOGLETRANSLATE(D:D,""auto"",""en"")"),"Shijiazhuang flight back to Denmark 19 person suspected symptoms")</f>
        <v>Shijiazhuang flight back to Denmark 19 person suspected symptoms</v>
      </c>
      <c r="D4580" s="4" t="s">
        <v>7545</v>
      </c>
      <c r="E4580" s="4">
        <v>7483953.0</v>
      </c>
      <c r="F4580" s="4">
        <v>29.0</v>
      </c>
      <c r="G4580" s="4" t="s">
        <v>7546</v>
      </c>
    </row>
    <row r="4581">
      <c r="A4581" s="1">
        <v>4579.0</v>
      </c>
      <c r="B4581" s="4" t="s">
        <v>7498</v>
      </c>
      <c r="C4581" s="4" t="str">
        <f>IFERROR(__xludf.DUMMYFUNCTION("GOOGLETRANSLATE(D:D,""auto"",""en"")"),"New York from China ordered 17 000 ventilator")</f>
        <v>New York from China ordered 17 000 ventilator</v>
      </c>
      <c r="D4581" s="4" t="s">
        <v>7547</v>
      </c>
      <c r="E4581" s="4">
        <v>7483823.0</v>
      </c>
      <c r="F4581" s="4">
        <v>30.0</v>
      </c>
      <c r="G4581" s="4" t="s">
        <v>7548</v>
      </c>
    </row>
    <row r="4582">
      <c r="A4582" s="1">
        <v>4580.0</v>
      </c>
      <c r="B4582" s="4" t="s">
        <v>7498</v>
      </c>
      <c r="C4582" s="4" t="str">
        <f>IFERROR(__xludf.DUMMYFUNCTION("GOOGLETRANSLATE(D:D,""auto"",""en"")"),"April hello")</f>
        <v>April hello</v>
      </c>
      <c r="D4582" s="4" t="s">
        <v>7549</v>
      </c>
      <c r="E4582" s="4">
        <v>7483512.0</v>
      </c>
      <c r="F4582" s="4">
        <v>31.0</v>
      </c>
      <c r="G4582" s="4" t="s">
        <v>7550</v>
      </c>
    </row>
    <row r="4583">
      <c r="A4583" s="1">
        <v>4581.0</v>
      </c>
      <c r="B4583" s="4" t="s">
        <v>7498</v>
      </c>
      <c r="C4583" s="4" t="str">
        <f>IFERROR(__xludf.DUMMYFUNCTION("GOOGLETRANSLATE(D:D,""auto"",""en"")"),"Xingtai criticized five teachers go abroad without authorization")</f>
        <v>Xingtai criticized five teachers go abroad without authorization</v>
      </c>
      <c r="D4583" s="4" t="s">
        <v>7551</v>
      </c>
      <c r="E4583" s="4">
        <v>7483484.0</v>
      </c>
      <c r="F4583" s="4">
        <v>32.0</v>
      </c>
      <c r="G4583" s="4" t="s">
        <v>7552</v>
      </c>
    </row>
    <row r="4584">
      <c r="A4584" s="1">
        <v>4582.0</v>
      </c>
      <c r="B4584" s="4" t="s">
        <v>7498</v>
      </c>
      <c r="C4584" s="4" t="str">
        <f>IFERROR(__xludf.DUMMYFUNCTION("GOOGLETRANSLATE(D:D,""auto"",""en"")"),"Italy throughout lowered to half")</f>
        <v>Italy throughout lowered to half</v>
      </c>
      <c r="D4584" s="4" t="s">
        <v>7553</v>
      </c>
      <c r="E4584" s="4">
        <v>7483447.0</v>
      </c>
      <c r="F4584" s="4">
        <v>33.0</v>
      </c>
      <c r="G4584" s="4" t="s">
        <v>7554</v>
      </c>
    </row>
    <row r="4585">
      <c r="A4585" s="1">
        <v>4583.0</v>
      </c>
      <c r="B4585" s="4" t="s">
        <v>7498</v>
      </c>
      <c r="C4585" s="4" t="str">
        <f>IFERROR(__xludf.DUMMYFUNCTION("GOOGLETRANSLATE(D:D,""auto"",""en"")"),"Leslie")</f>
        <v>Leslie</v>
      </c>
      <c r="D4585" s="4" t="s">
        <v>7555</v>
      </c>
      <c r="E4585" s="4">
        <v>7483441.0</v>
      </c>
      <c r="F4585" s="4">
        <v>34.0</v>
      </c>
      <c r="G4585" s="4" t="s">
        <v>7556</v>
      </c>
    </row>
    <row r="4586">
      <c r="A4586" s="1">
        <v>4584.0</v>
      </c>
      <c r="B4586" s="4" t="s">
        <v>7498</v>
      </c>
      <c r="C4586" s="4" t="str">
        <f>IFERROR(__xludf.DUMMYFUNCTION("GOOGLETRANSLATE(D:D,""auto"",""en"")"),"The villagers set off firecrackers caused by forest fires")</f>
        <v>The villagers set off firecrackers caused by forest fires</v>
      </c>
      <c r="D4586" s="4" t="s">
        <v>7557</v>
      </c>
      <c r="E4586" s="4">
        <v>7483434.0</v>
      </c>
      <c r="F4586" s="4">
        <v>35.0</v>
      </c>
      <c r="G4586" s="4" t="s">
        <v>7558</v>
      </c>
    </row>
    <row r="4587">
      <c r="A4587" s="1">
        <v>4585.0</v>
      </c>
      <c r="B4587" s="4" t="s">
        <v>7498</v>
      </c>
      <c r="C4587" s="4" t="str">
        <f>IFERROR(__xludf.DUMMYFUNCTION("GOOGLETRANSLATE(D:D,""auto"",""en"")"),"Indian returnees are using water disinfection")</f>
        <v>Indian returnees are using water disinfection</v>
      </c>
      <c r="D4587" s="4" t="s">
        <v>7559</v>
      </c>
      <c r="E4587" s="4">
        <v>7481956.0</v>
      </c>
      <c r="F4587" s="4">
        <v>36.0</v>
      </c>
      <c r="G4587" s="4" t="s">
        <v>7560</v>
      </c>
    </row>
    <row r="4588">
      <c r="A4588" s="1">
        <v>4586.0</v>
      </c>
      <c r="B4588" s="4" t="s">
        <v>7498</v>
      </c>
      <c r="C4588" s="4" t="str">
        <f>IFERROR(__xludf.DUMMYFUNCTION("GOOGLETRANSLATE(D:D,""auto"",""en"")"),"Meng late boat extradition case postponed due to the outbreak")</f>
        <v>Meng late boat extradition case postponed due to the outbreak</v>
      </c>
      <c r="D4588" s="4" t="s">
        <v>7561</v>
      </c>
      <c r="E4588" s="4">
        <v>7332803.0</v>
      </c>
      <c r="F4588" s="4">
        <v>37.0</v>
      </c>
      <c r="G4588" s="4" t="s">
        <v>7562</v>
      </c>
    </row>
    <row r="4589">
      <c r="A4589" s="1">
        <v>4587.0</v>
      </c>
      <c r="B4589" s="4" t="s">
        <v>7498</v>
      </c>
      <c r="C4589" s="4" t="str">
        <f>IFERROR(__xludf.DUMMYFUNCTION("GOOGLETRANSLATE(D:D,""auto"",""en"")"),"Russian hospital's chief physician diagnosed the new crown")</f>
        <v>Russian hospital's chief physician diagnosed the new crown</v>
      </c>
      <c r="D4589" s="4" t="s">
        <v>7563</v>
      </c>
      <c r="E4589" s="4">
        <v>7332598.0</v>
      </c>
      <c r="F4589" s="4">
        <v>38.0</v>
      </c>
      <c r="G4589" s="4" t="s">
        <v>7564</v>
      </c>
    </row>
    <row r="4590">
      <c r="A4590" s="1">
        <v>4588.0</v>
      </c>
      <c r="B4590" s="4" t="s">
        <v>7498</v>
      </c>
      <c r="C4590" s="4" t="str">
        <f>IFERROR(__xludf.DUMMYFUNCTION("GOOGLETRANSLATE(D:D,""auto"",""en"")"),"Academician Li Lanjuan return Hang husband Summe Academy of pick-up")</f>
        <v>Academician Li Lanjuan return Hang husband Summe Academy of pick-up</v>
      </c>
      <c r="D4590" s="4" t="s">
        <v>7565</v>
      </c>
      <c r="E4590" s="4">
        <v>7332598.0</v>
      </c>
      <c r="F4590" s="4">
        <v>39.0</v>
      </c>
      <c r="G4590" s="4" t="s">
        <v>7566</v>
      </c>
    </row>
    <row r="4591">
      <c r="A4591" s="1">
        <v>4589.0</v>
      </c>
      <c r="B4591" s="4" t="s">
        <v>7498</v>
      </c>
      <c r="C4591" s="4" t="str">
        <f>IFERROR(__xludf.DUMMYFUNCTION("GOOGLETRANSLATE(D:D,""auto"",""en"")"),"Idaho 6.6 earthquake")</f>
        <v>Idaho 6.6 earthquake</v>
      </c>
      <c r="D4591" s="4" t="s">
        <v>7567</v>
      </c>
      <c r="E4591" s="4">
        <v>7332598.0</v>
      </c>
      <c r="F4591" s="4">
        <v>40.0</v>
      </c>
      <c r="G4591" s="4" t="s">
        <v>7568</v>
      </c>
    </row>
    <row r="4592">
      <c r="A4592" s="1">
        <v>4590.0</v>
      </c>
      <c r="B4592" s="4" t="s">
        <v>7498</v>
      </c>
      <c r="C4592" s="4" t="str">
        <f>IFERROR(__xludf.DUMMYFUNCTION("GOOGLETRANSLATE(D:D,""auto"",""en"")"),"Xichang fire today launched a general offensive")</f>
        <v>Xichang fire today launched a general offensive</v>
      </c>
      <c r="D4592" s="4" t="s">
        <v>7569</v>
      </c>
      <c r="E4592" s="4">
        <v>7332598.0</v>
      </c>
      <c r="F4592" s="4">
        <v>41.0</v>
      </c>
      <c r="G4592" s="4" t="s">
        <v>7570</v>
      </c>
    </row>
    <row r="4593">
      <c r="A4593" s="1">
        <v>4591.0</v>
      </c>
      <c r="B4593" s="4" t="s">
        <v>7498</v>
      </c>
      <c r="C4593" s="4" t="str">
        <f>IFERROR(__xludf.DUMMYFUNCTION("GOOGLETRANSLATE(D:D,""auto"",""en"")"),"Strawberry Oscars brother")</f>
        <v>Strawberry Oscars brother</v>
      </c>
      <c r="D4593" s="4" t="s">
        <v>7452</v>
      </c>
      <c r="E4593" s="4">
        <v>7324514.0</v>
      </c>
      <c r="F4593" s="4">
        <v>42.0</v>
      </c>
      <c r="G4593" s="4" t="s">
        <v>7453</v>
      </c>
    </row>
    <row r="4594">
      <c r="A4594" s="1">
        <v>4592.0</v>
      </c>
      <c r="B4594" s="4" t="s">
        <v>7498</v>
      </c>
      <c r="C4594" s="4" t="str">
        <f>IFERROR(__xludf.DUMMYFUNCTION("GOOGLETRANSLATE(D:D,""auto"",""en"")"),"Lu Shan front of the fire was extinguished all")</f>
        <v>Lu Shan front of the fire was extinguished all</v>
      </c>
      <c r="D4594" s="4" t="s">
        <v>7571</v>
      </c>
      <c r="E4594" s="4">
        <v>7254456.0</v>
      </c>
      <c r="F4594" s="4">
        <v>43.0</v>
      </c>
      <c r="G4594" s="4" t="s">
        <v>7572</v>
      </c>
    </row>
    <row r="4595">
      <c r="A4595" s="1">
        <v>4593.0</v>
      </c>
      <c r="B4595" s="4" t="s">
        <v>7498</v>
      </c>
      <c r="C4595" s="4" t="str">
        <f>IFERROR(__xludf.DUMMYFUNCTION("GOOGLETRANSLATE(D:D,""auto"",""en"")"),"Lu Han Wu Yifan song")</f>
        <v>Lu Han Wu Yifan song</v>
      </c>
      <c r="D4595" s="4" t="s">
        <v>7573</v>
      </c>
      <c r="E4595" s="4">
        <v>7155007.0</v>
      </c>
      <c r="F4595" s="4">
        <v>44.0</v>
      </c>
      <c r="G4595" s="4" t="s">
        <v>7574</v>
      </c>
    </row>
    <row r="4596">
      <c r="A4596" s="1">
        <v>4594.0</v>
      </c>
      <c r="B4596" s="4" t="s">
        <v>7498</v>
      </c>
      <c r="C4596" s="4" t="str">
        <f>IFERROR(__xludf.DUMMYFUNCTION("GOOGLETRANSLATE(D:D,""auto"",""en"")"),"Progress love cream puffs Anson")</f>
        <v>Progress love cream puffs Anson</v>
      </c>
      <c r="D4596" s="4" t="s">
        <v>7371</v>
      </c>
      <c r="E4596" s="4">
        <v>7051570.0</v>
      </c>
      <c r="F4596" s="4">
        <v>45.0</v>
      </c>
      <c r="G4596" s="4" t="s">
        <v>7372</v>
      </c>
    </row>
    <row r="4597">
      <c r="A4597" s="1">
        <v>4595.0</v>
      </c>
      <c r="B4597" s="4" t="s">
        <v>7498</v>
      </c>
      <c r="C4597" s="4" t="str">
        <f>IFERROR(__xludf.DUMMYFUNCTION("GOOGLETRANSLATE(D:D,""auto"",""en"")"),"Zhong Nanshan expects the global epidemic inflection point in late April")</f>
        <v>Zhong Nanshan expects the global epidemic inflection point in late April</v>
      </c>
      <c r="D4597" s="4" t="s">
        <v>7575</v>
      </c>
      <c r="E4597" s="4">
        <v>6817813.0</v>
      </c>
      <c r="F4597" s="4">
        <v>46.0</v>
      </c>
      <c r="G4597" s="4" t="s">
        <v>7576</v>
      </c>
    </row>
    <row r="4598">
      <c r="A4598" s="1">
        <v>4596.0</v>
      </c>
      <c r="B4598" s="4" t="s">
        <v>7498</v>
      </c>
      <c r="C4598" s="4" t="str">
        <f>IFERROR(__xludf.DUMMYFUNCTION("GOOGLETRANSLATE(D:D,""auto"",""en"")"),"Singer version of the yellow dress")</f>
        <v>Singer version of the yellow dress</v>
      </c>
      <c r="D4598" s="4" t="s">
        <v>7577</v>
      </c>
      <c r="E4598" s="4">
        <v>6667563.0</v>
      </c>
      <c r="F4598" s="4">
        <v>47.0</v>
      </c>
      <c r="G4598" s="4" t="s">
        <v>7578</v>
      </c>
    </row>
    <row r="4599">
      <c r="A4599" s="1">
        <v>4597.0</v>
      </c>
      <c r="B4599" s="4" t="s">
        <v>7498</v>
      </c>
      <c r="C4599" s="4" t="str">
        <f>IFERROR(__xludf.DUMMYFUNCTION("GOOGLETRANSLATE(D:D,""auto"",""en"")"),"Li Jiaqi never dance should aid Jackson Wang")</f>
        <v>Li Jiaqi never dance should aid Jackson Wang</v>
      </c>
      <c r="D4599" s="4" t="s">
        <v>7456</v>
      </c>
      <c r="E4599" s="4">
        <v>6450984.0</v>
      </c>
      <c r="F4599" s="4">
        <v>48.0</v>
      </c>
      <c r="G4599" s="4" t="s">
        <v>7457</v>
      </c>
    </row>
    <row r="4600">
      <c r="A4600" s="1">
        <v>4598.0</v>
      </c>
      <c r="B4600" s="4" t="s">
        <v>7498</v>
      </c>
      <c r="C4600" s="4" t="str">
        <f>IFERROR(__xludf.DUMMYFUNCTION("GOOGLETRANSLATE(D:D,""auto"",""en"")"),"Spain confirmed a total of over 100,000 cases")</f>
        <v>Spain confirmed a total of over 100,000 cases</v>
      </c>
      <c r="D4600" s="4" t="s">
        <v>7579</v>
      </c>
      <c r="E4600" s="4">
        <v>6342784.0</v>
      </c>
      <c r="F4600" s="4">
        <v>49.0</v>
      </c>
      <c r="G4600" s="4" t="s">
        <v>7580</v>
      </c>
    </row>
    <row r="4601">
      <c r="A4601" s="1">
        <v>4599.0</v>
      </c>
      <c r="B4601" s="4" t="s">
        <v>7498</v>
      </c>
      <c r="C4601" s="4" t="str">
        <f>IFERROR(__xludf.DUMMYFUNCTION("GOOGLETRANSLATE(D:D,""auto"",""en"")"),"Meng Meiqi drink table Baiwu Xuan instrument")</f>
        <v>Meng Meiqi drink table Baiwu Xuan instrument</v>
      </c>
      <c r="D4601" s="4" t="s">
        <v>7367</v>
      </c>
      <c r="E4601" s="4">
        <v>6136518.0</v>
      </c>
      <c r="F4601" s="4">
        <v>50.0</v>
      </c>
      <c r="G4601" s="4" t="s">
        <v>7368</v>
      </c>
    </row>
    <row r="4602">
      <c r="A4602" s="1">
        <v>4600.0</v>
      </c>
      <c r="B4602" s="4" t="s">
        <v>7581</v>
      </c>
      <c r="C4602" s="4" t="str">
        <f>IFERROR(__xludf.DUMMYFUNCTION("GOOGLETRANSLATE(D:D,""auto"",""en"")"),"Yu Shuxin Lotus tongue")</f>
        <v>Yu Shuxin Lotus tongue</v>
      </c>
      <c r="D4602" s="4" t="s">
        <v>7582</v>
      </c>
      <c r="E4602" s="4">
        <v>2.2735995E7</v>
      </c>
      <c r="F4602" s="4">
        <v>1.0</v>
      </c>
      <c r="G4602" s="4" t="s">
        <v>7583</v>
      </c>
    </row>
    <row r="4603">
      <c r="A4603" s="1">
        <v>4601.0</v>
      </c>
      <c r="B4603" s="4" t="s">
        <v>7581</v>
      </c>
      <c r="C4603" s="4" t="str">
        <f>IFERROR(__xludf.DUMMYFUNCTION("GOOGLETRANSLATE(D:D,""auto"",""en"")"),"Aaron shook his head")</f>
        <v>Aaron shook his head</v>
      </c>
      <c r="D4603" s="4" t="s">
        <v>7584</v>
      </c>
      <c r="E4603" s="4">
        <v>1.9960984E7</v>
      </c>
      <c r="F4603" s="4">
        <v>2.0</v>
      </c>
      <c r="G4603" s="4" t="s">
        <v>7585</v>
      </c>
    </row>
    <row r="4604">
      <c r="A4604" s="1">
        <v>4602.0</v>
      </c>
      <c r="B4604" s="4" t="s">
        <v>7581</v>
      </c>
      <c r="C4604" s="4" t="str">
        <f>IFERROR(__xludf.DUMMYFUNCTION("GOOGLETRANSLATE(D:D,""auto"",""en"")"),"Zhang Guowei challenge and accelerate battle")</f>
        <v>Zhang Guowei challenge and accelerate battle</v>
      </c>
      <c r="D4604" s="4" t="s">
        <v>7586</v>
      </c>
      <c r="E4604" s="4">
        <v>1.7835801E7</v>
      </c>
      <c r="F4604" s="4">
        <v>3.0</v>
      </c>
      <c r="G4604" s="4" t="s">
        <v>7587</v>
      </c>
    </row>
    <row r="4605">
      <c r="A4605" s="1">
        <v>4603.0</v>
      </c>
      <c r="B4605" s="4" t="s">
        <v>7581</v>
      </c>
      <c r="C4605" s="4" t="str">
        <f>IFERROR(__xludf.DUMMYFUNCTION("GOOGLETRANSLATE(D:D,""auto"",""en"")"),"Busan row sequel notice")</f>
        <v>Busan row sequel notice</v>
      </c>
      <c r="D4605" s="4" t="s">
        <v>7588</v>
      </c>
      <c r="E4605" s="4">
        <v>1.3624793E7</v>
      </c>
      <c r="F4605" s="4">
        <v>4.0</v>
      </c>
      <c r="G4605" s="4" t="s">
        <v>7589</v>
      </c>
    </row>
    <row r="4606">
      <c r="A4606" s="1">
        <v>4604.0</v>
      </c>
      <c r="B4606" s="4" t="s">
        <v>7581</v>
      </c>
      <c r="C4606" s="4" t="str">
        <f>IFERROR(__xludf.DUMMYFUNCTION("GOOGLETRANSLATE(D:D,""auto"",""en"")"),"Huisuan tax year begins")</f>
        <v>Huisuan tax year begins</v>
      </c>
      <c r="D4606" s="4" t="s">
        <v>7509</v>
      </c>
      <c r="E4606" s="4">
        <v>1.2323084E7</v>
      </c>
      <c r="F4606" s="4">
        <v>5.0</v>
      </c>
      <c r="G4606" s="4" t="s">
        <v>7510</v>
      </c>
    </row>
    <row r="4607">
      <c r="A4607" s="1">
        <v>4605.0</v>
      </c>
      <c r="B4607" s="4" t="s">
        <v>7581</v>
      </c>
      <c r="C4607" s="4" t="str">
        <f>IFERROR(__xludf.DUMMYFUNCTION("GOOGLETRANSLATE(D:D,""auto"",""en"")"),"The new crown is the first human coronavirus pandemic")</f>
        <v>The new crown is the first human coronavirus pandemic</v>
      </c>
      <c r="D4607" s="4" t="s">
        <v>7590</v>
      </c>
      <c r="E4607" s="4">
        <v>1.1915539E7</v>
      </c>
      <c r="F4607" s="4">
        <v>6.0</v>
      </c>
      <c r="G4607" s="4" t="s">
        <v>7591</v>
      </c>
    </row>
    <row r="4608">
      <c r="A4608" s="1">
        <v>4606.0</v>
      </c>
      <c r="B4608" s="4" t="s">
        <v>7581</v>
      </c>
      <c r="C4608" s="4" t="str">
        <f>IFERROR(__xludf.DUMMYFUNCTION("GOOGLETRANSLATE(D:D,""auto"",""en"")"),"Qin cattle Granville makeup")</f>
        <v>Qin cattle Granville makeup</v>
      </c>
      <c r="D4608" s="4" t="s">
        <v>7592</v>
      </c>
      <c r="E4608" s="4">
        <v>1.1765107E7</v>
      </c>
      <c r="F4608" s="4">
        <v>7.0</v>
      </c>
      <c r="G4608" s="4" t="s">
        <v>7593</v>
      </c>
    </row>
    <row r="4609">
      <c r="A4609" s="1">
        <v>4607.0</v>
      </c>
      <c r="B4609" s="4" t="s">
        <v>7581</v>
      </c>
      <c r="C4609" s="4" t="str">
        <f>IFERROR(__xludf.DUMMYFUNCTION("GOOGLETRANSLATE(D:D,""auto"",""en"")"),"Overheating apologize for the slip of the tongue")</f>
        <v>Overheating apologize for the slip of the tongue</v>
      </c>
      <c r="D4609" s="4" t="s">
        <v>7519</v>
      </c>
      <c r="E4609" s="4">
        <v>1.1296177E7</v>
      </c>
      <c r="F4609" s="4">
        <v>8.0</v>
      </c>
      <c r="G4609" s="4" t="s">
        <v>7520</v>
      </c>
    </row>
    <row r="4610">
      <c r="A4610" s="1">
        <v>4608.0</v>
      </c>
      <c r="B4610" s="4" t="s">
        <v>7581</v>
      </c>
      <c r="C4610" s="4" t="str">
        <f>IFERROR(__xludf.DUMMYFUNCTION("GOOGLETRANSLATE(D:D,""auto"",""en"")"),"The total turnover of the hundreds of millions live Overheating")</f>
        <v>The total turnover of the hundreds of millions live Overheating</v>
      </c>
      <c r="D4610" s="4" t="s">
        <v>7594</v>
      </c>
      <c r="E4610" s="4">
        <v>1.1074661E7</v>
      </c>
      <c r="F4610" s="4">
        <v>9.0</v>
      </c>
      <c r="G4610" s="4" t="s">
        <v>7595</v>
      </c>
    </row>
    <row r="4611">
      <c r="A4611" s="1">
        <v>4609.0</v>
      </c>
      <c r="B4611" s="4" t="s">
        <v>7581</v>
      </c>
      <c r="C4611" s="4" t="str">
        <f>IFERROR(__xludf.DUMMYFUNCTION("GOOGLETRANSLATE(D:D,""auto"",""en"")"),"Northeast sauce homemade marshmallow contest")</f>
        <v>Northeast sauce homemade marshmallow contest</v>
      </c>
      <c r="D4611" s="4" t="s">
        <v>7596</v>
      </c>
      <c r="E4611" s="4">
        <v>1.0846628E7</v>
      </c>
      <c r="F4611" s="4">
        <v>10.0</v>
      </c>
      <c r="G4611" s="4" t="s">
        <v>7597</v>
      </c>
    </row>
    <row r="4612">
      <c r="A4612" s="1">
        <v>4610.0</v>
      </c>
      <c r="B4612" s="4" t="s">
        <v>7581</v>
      </c>
      <c r="C4612" s="4" t="str">
        <f>IFERROR(__xludf.DUMMYFUNCTION("GOOGLETRANSLATE(D:D,""auto"",""en"")"),"Song Joey")</f>
        <v>Song Joey</v>
      </c>
      <c r="D4612" s="4" t="s">
        <v>7598</v>
      </c>
      <c r="E4612" s="4">
        <v>1.0830892E7</v>
      </c>
      <c r="F4612" s="4">
        <v>11.0</v>
      </c>
      <c r="G4612" s="4" t="s">
        <v>7599</v>
      </c>
    </row>
    <row r="4613">
      <c r="A4613" s="1">
        <v>4611.0</v>
      </c>
      <c r="B4613" s="4" t="s">
        <v>7581</v>
      </c>
      <c r="C4613" s="4" t="str">
        <f>IFERROR(__xludf.DUMMYFUNCTION("GOOGLETRANSLATE(D:D,""auto"",""en"")"),"Hubei 14 has been assessed as a martyr who sacrificed")</f>
        <v>Hubei 14 has been assessed as a martyr who sacrificed</v>
      </c>
      <c r="D4613" s="4" t="s">
        <v>7600</v>
      </c>
      <c r="E4613" s="4">
        <v>1.0124431E7</v>
      </c>
      <c r="F4613" s="4">
        <v>12.0</v>
      </c>
      <c r="G4613" s="4" t="s">
        <v>7601</v>
      </c>
    </row>
    <row r="4614">
      <c r="A4614" s="1">
        <v>4612.0</v>
      </c>
      <c r="B4614" s="4" t="s">
        <v>7581</v>
      </c>
      <c r="C4614" s="4" t="str">
        <f>IFERROR(__xludf.DUMMYFUNCTION("GOOGLETRANSLATE(D:D,""auto"",""en"")"),"Guangzhou inform patients of new foreign nurses wounded crown pneumonia")</f>
        <v>Guangzhou inform patients of new foreign nurses wounded crown pneumonia</v>
      </c>
      <c r="D4614" s="4" t="s">
        <v>7602</v>
      </c>
      <c r="E4614" s="4">
        <v>9932678.0</v>
      </c>
      <c r="F4614" s="4">
        <v>13.0</v>
      </c>
      <c r="G4614" s="4" t="s">
        <v>7603</v>
      </c>
    </row>
    <row r="4615">
      <c r="A4615" s="1">
        <v>4613.0</v>
      </c>
      <c r="B4615" s="4" t="s">
        <v>7581</v>
      </c>
      <c r="C4615" s="4" t="str">
        <f>IFERROR(__xludf.DUMMYFUNCTION("GOOGLETRANSLATE(D:D,""auto"",""en"")"),"The official response to nucleic acid detection foreigner to jump the queue")</f>
        <v>The official response to nucleic acid detection foreigner to jump the queue</v>
      </c>
      <c r="D4615" s="4" t="s">
        <v>7604</v>
      </c>
      <c r="E4615" s="4">
        <v>9801795.0</v>
      </c>
      <c r="F4615" s="4">
        <v>14.0</v>
      </c>
      <c r="G4615" s="4" t="s">
        <v>7605</v>
      </c>
    </row>
    <row r="4616">
      <c r="A4616" s="1">
        <v>4614.0</v>
      </c>
      <c r="B4616" s="4" t="s">
        <v>7581</v>
      </c>
      <c r="C4616" s="4" t="str">
        <f>IFERROR(__xludf.DUMMYFUNCTION("GOOGLETRANSLATE(D:D,""auto"",""en"")"),"Over 930,000 cases diagnosed worldwide")</f>
        <v>Over 930,000 cases diagnosed worldwide</v>
      </c>
      <c r="D4616" s="4" t="s">
        <v>7606</v>
      </c>
      <c r="E4616" s="4">
        <v>9704907.0</v>
      </c>
      <c r="F4616" s="4">
        <v>15.0</v>
      </c>
      <c r="G4616" s="4" t="s">
        <v>7607</v>
      </c>
    </row>
    <row r="4617">
      <c r="A4617" s="1">
        <v>4615.0</v>
      </c>
      <c r="B4617" s="4" t="s">
        <v>7581</v>
      </c>
      <c r="C4617" s="4" t="str">
        <f>IFERROR(__xludf.DUMMYFUNCTION("GOOGLETRANSLATE(D:D,""auto"",""en"")"),"Foreigners cut in detecting nucleic acid primer conflict")</f>
        <v>Foreigners cut in detecting nucleic acid primer conflict</v>
      </c>
      <c r="D4617" s="4" t="s">
        <v>7507</v>
      </c>
      <c r="E4617" s="4">
        <v>9642834.0</v>
      </c>
      <c r="F4617" s="4">
        <v>16.0</v>
      </c>
      <c r="G4617" s="4" t="s">
        <v>7508</v>
      </c>
    </row>
    <row r="4618">
      <c r="A4618" s="1">
        <v>4616.0</v>
      </c>
      <c r="B4618" s="4" t="s">
        <v>7581</v>
      </c>
      <c r="C4618" s="4" t="str">
        <f>IFERROR(__xludf.DUMMYFUNCTION("GOOGLETRANSLATE(D:D,""auto"",""en"")"),"Henan Jia County village full closure seal area")</f>
        <v>Henan Jia County village full closure seal area</v>
      </c>
      <c r="D4618" s="4" t="s">
        <v>7608</v>
      </c>
      <c r="E4618" s="4">
        <v>9596379.0</v>
      </c>
      <c r="F4618" s="4">
        <v>17.0</v>
      </c>
      <c r="G4618" s="4" t="s">
        <v>7609</v>
      </c>
    </row>
    <row r="4619">
      <c r="A4619" s="1">
        <v>4617.0</v>
      </c>
      <c r="B4619" s="4" t="s">
        <v>7581</v>
      </c>
      <c r="C4619" s="4" t="str">
        <f>IFERROR(__xludf.DUMMYFUNCTION("GOOGLETRANSLATE(D:D,""auto"",""en"")"),"Ren Jialun cloud hop dance cherry")</f>
        <v>Ren Jialun cloud hop dance cherry</v>
      </c>
      <c r="D4619" s="4" t="s">
        <v>7525</v>
      </c>
      <c r="E4619" s="4">
        <v>9525939.0</v>
      </c>
      <c r="F4619" s="4">
        <v>18.0</v>
      </c>
      <c r="G4619" s="4" t="s">
        <v>7526</v>
      </c>
    </row>
    <row r="4620">
      <c r="A4620" s="1">
        <v>4618.0</v>
      </c>
      <c r="B4620" s="4" t="s">
        <v>7581</v>
      </c>
      <c r="C4620" s="4" t="str">
        <f>IFERROR(__xludf.DUMMYFUNCTION("GOOGLETRANSLATE(D:D,""auto"",""en"")"),"Cherish the memory of Leslie Tang Hede")</f>
        <v>Cherish the memory of Leslie Tang Hede</v>
      </c>
      <c r="D4620" s="4" t="s">
        <v>7527</v>
      </c>
      <c r="E4620" s="4">
        <v>9510356.0</v>
      </c>
      <c r="F4620" s="4">
        <v>19.0</v>
      </c>
      <c r="G4620" s="4" t="s">
        <v>7528</v>
      </c>
    </row>
    <row r="4621">
      <c r="A4621" s="1">
        <v>4619.0</v>
      </c>
      <c r="B4621" s="4" t="s">
        <v>7581</v>
      </c>
      <c r="C4621" s="4" t="str">
        <f>IFERROR(__xludf.DUMMYFUNCTION("GOOGLETRANSLATE(D:D,""auto"",""en"")"),"Sichuan, Yunnan forest fire red alert")</f>
        <v>Sichuan, Yunnan forest fire red alert</v>
      </c>
      <c r="D4621" s="4" t="s">
        <v>7610</v>
      </c>
      <c r="E4621" s="4">
        <v>9455500.0</v>
      </c>
      <c r="F4621" s="4">
        <v>20.0</v>
      </c>
      <c r="G4621" s="4" t="s">
        <v>7611</v>
      </c>
    </row>
    <row r="4622">
      <c r="A4622" s="1">
        <v>4620.0</v>
      </c>
      <c r="B4622" s="4" t="s">
        <v>7581</v>
      </c>
      <c r="C4622" s="4" t="str">
        <f>IFERROR(__xludf.DUMMYFUNCTION("GOOGLETRANSLATE(D:D,""auto"",""en"")"),"Legend of the scenes I can name")</f>
        <v>Legend of the scenes I can name</v>
      </c>
      <c r="D4622" s="4" t="s">
        <v>7612</v>
      </c>
      <c r="E4622" s="4">
        <v>9389235.0</v>
      </c>
      <c r="F4622" s="4">
        <v>21.0</v>
      </c>
      <c r="G4622" s="4" t="s">
        <v>7613</v>
      </c>
    </row>
    <row r="4623">
      <c r="A4623" s="1">
        <v>4621.0</v>
      </c>
      <c r="B4623" s="4" t="s">
        <v>7581</v>
      </c>
      <c r="C4623" s="4" t="str">
        <f>IFERROR(__xludf.DUMMYFUNCTION("GOOGLETRANSLATE(D:D,""auto"",""en"")"),"7-year-old daughter that Dad fire sacrifice cry")</f>
        <v>7-year-old daughter that Dad fire sacrifice cry</v>
      </c>
      <c r="D4623" s="4" t="s">
        <v>7614</v>
      </c>
      <c r="E4623" s="4">
        <v>9196379.0</v>
      </c>
      <c r="F4623" s="4">
        <v>22.0</v>
      </c>
      <c r="G4623" s="4" t="s">
        <v>7615</v>
      </c>
    </row>
    <row r="4624">
      <c r="A4624" s="1">
        <v>4622.0</v>
      </c>
      <c r="B4624" s="4" t="s">
        <v>7581</v>
      </c>
      <c r="C4624" s="4" t="str">
        <f>IFERROR(__xludf.DUMMYFUNCTION("GOOGLETRANSLATE(D:D,""auto"",""en"")"),"Pink Sakura Wars")</f>
        <v>Pink Sakura Wars</v>
      </c>
      <c r="D4624" s="4" t="s">
        <v>7535</v>
      </c>
      <c r="E4624" s="4">
        <v>8895214.0</v>
      </c>
      <c r="F4624" s="4">
        <v>23.0</v>
      </c>
      <c r="G4624" s="4" t="s">
        <v>7536</v>
      </c>
    </row>
    <row r="4625">
      <c r="A4625" s="1">
        <v>4623.0</v>
      </c>
      <c r="B4625" s="4" t="s">
        <v>7581</v>
      </c>
      <c r="C4625" s="4" t="str">
        <f>IFERROR(__xludf.DUMMYFUNCTION("GOOGLETRANSLATE(D:D,""auto"",""en"")"),"Xichang forest fire extinguished fire all")</f>
        <v>Xichang forest fire extinguished fire all</v>
      </c>
      <c r="D4625" s="4" t="s">
        <v>7616</v>
      </c>
      <c r="E4625" s="4">
        <v>8513475.0</v>
      </c>
      <c r="F4625" s="4">
        <v>24.0</v>
      </c>
      <c r="G4625" s="4" t="s">
        <v>7617</v>
      </c>
    </row>
    <row r="4626">
      <c r="A4626" s="1">
        <v>4624.0</v>
      </c>
      <c r="B4626" s="4" t="s">
        <v>7581</v>
      </c>
      <c r="C4626" s="4" t="str">
        <f>IFERROR(__xludf.DUMMYFUNCTION("GOOGLETRANSLATE(D:D,""auto"",""en"")"),"World Autism Awareness Day")</f>
        <v>World Autism Awareness Day</v>
      </c>
      <c r="D4626" s="4" t="s">
        <v>7618</v>
      </c>
      <c r="E4626" s="4">
        <v>8255416.0</v>
      </c>
      <c r="F4626" s="4">
        <v>25.0</v>
      </c>
      <c r="G4626" s="4" t="s">
        <v>7619</v>
      </c>
    </row>
    <row r="4627">
      <c r="A4627" s="1">
        <v>4625.0</v>
      </c>
      <c r="B4627" s="4" t="s">
        <v>7581</v>
      </c>
      <c r="C4627" s="4" t="str">
        <f>IFERROR(__xludf.DUMMYFUNCTION("GOOGLETRANSLATE(D:D,""auto"",""en"")"),"Zhong Nanshan, a virus hunter for the US online diagnosis")</f>
        <v>Zhong Nanshan, a virus hunter for the US online diagnosis</v>
      </c>
      <c r="D4627" s="4" t="s">
        <v>7620</v>
      </c>
      <c r="E4627" s="4">
        <v>8244932.0</v>
      </c>
      <c r="F4627" s="4">
        <v>26.0</v>
      </c>
      <c r="G4627" s="4" t="s">
        <v>7621</v>
      </c>
    </row>
    <row r="4628">
      <c r="A4628" s="1">
        <v>4626.0</v>
      </c>
      <c r="B4628" s="4" t="s">
        <v>7581</v>
      </c>
      <c r="C4628" s="4" t="str">
        <f>IFERROR(__xludf.DUMMYFUNCTION("GOOGLETRANSLATE(D:D,""auto"",""en"")"),"Pure friendship between men and women do")</f>
        <v>Pure friendship between men and women do</v>
      </c>
      <c r="D4628" s="4" t="s">
        <v>7505</v>
      </c>
      <c r="E4628" s="4">
        <v>7888135.0</v>
      </c>
      <c r="F4628" s="4">
        <v>27.0</v>
      </c>
      <c r="G4628" s="4" t="s">
        <v>7506</v>
      </c>
    </row>
    <row r="4629">
      <c r="A4629" s="1">
        <v>4627.0</v>
      </c>
      <c r="B4629" s="4" t="s">
        <v>7581</v>
      </c>
      <c r="C4629" s="4" t="str">
        <f>IFERROR(__xludf.DUMMYFUNCTION("GOOGLETRANSLATE(D:D,""auto"",""en"")"),"Ling Ye Li is another double challenge")</f>
        <v>Ling Ye Li is another double challenge</v>
      </c>
      <c r="D4629" s="4" t="s">
        <v>7442</v>
      </c>
      <c r="E4629" s="4">
        <v>7846150.0</v>
      </c>
      <c r="F4629" s="4">
        <v>28.0</v>
      </c>
      <c r="G4629" s="4" t="s">
        <v>7443</v>
      </c>
    </row>
    <row r="4630">
      <c r="A4630" s="1">
        <v>4628.0</v>
      </c>
      <c r="B4630" s="4" t="s">
        <v>7581</v>
      </c>
      <c r="C4630" s="4" t="str">
        <f>IFERROR(__xludf.DUMMYFUNCTION("GOOGLETRANSLATE(D:D,""auto"",""en"")"),"Ju Jing Yi when directed mistakes")</f>
        <v>Ju Jing Yi when directed mistakes</v>
      </c>
      <c r="D4630" s="4" t="s">
        <v>7622</v>
      </c>
      <c r="E4630" s="4">
        <v>7828103.0</v>
      </c>
      <c r="F4630" s="4">
        <v>29.0</v>
      </c>
      <c r="G4630" s="4" t="s">
        <v>7623</v>
      </c>
    </row>
    <row r="4631">
      <c r="A4631" s="1">
        <v>4629.0</v>
      </c>
      <c r="B4631" s="4" t="s">
        <v>7581</v>
      </c>
      <c r="C4631" s="4" t="str">
        <f>IFERROR(__xludf.DUMMYFUNCTION("GOOGLETRANSLATE(D:D,""auto"",""en"")"),"Huang Zitao chase drama")</f>
        <v>Huang Zitao chase drama</v>
      </c>
      <c r="D4631" s="4" t="s">
        <v>7515</v>
      </c>
      <c r="E4631" s="4">
        <v>7783005.0</v>
      </c>
      <c r="F4631" s="4">
        <v>30.0</v>
      </c>
      <c r="G4631" s="4" t="s">
        <v>7516</v>
      </c>
    </row>
    <row r="4632">
      <c r="A4632" s="1">
        <v>4630.0</v>
      </c>
      <c r="B4632" s="4" t="s">
        <v>7581</v>
      </c>
      <c r="C4632" s="4" t="str">
        <f>IFERROR(__xludf.DUMMYFUNCTION("GOOGLETRANSLATE(D:D,""auto"",""en"")"),"Yiyangqianxi announced taboo northeast")</f>
        <v>Yiyangqianxi announced taboo northeast</v>
      </c>
      <c r="D4632" s="4" t="s">
        <v>7624</v>
      </c>
      <c r="E4632" s="4">
        <v>7543901.0</v>
      </c>
      <c r="F4632" s="4">
        <v>31.0</v>
      </c>
      <c r="G4632" s="4" t="s">
        <v>7625</v>
      </c>
    </row>
    <row r="4633">
      <c r="A4633" s="1">
        <v>4631.0</v>
      </c>
      <c r="B4633" s="4" t="s">
        <v>7581</v>
      </c>
      <c r="C4633" s="4" t="str">
        <f>IFERROR(__xludf.DUMMYFUNCTION("GOOGLETRANSLATE(D:D,""auto"",""en"")"),"Rabe offspring for help to China")</f>
        <v>Rabe offspring for help to China</v>
      </c>
      <c r="D4633" s="4" t="s">
        <v>7626</v>
      </c>
      <c r="E4633" s="4">
        <v>7531979.0</v>
      </c>
      <c r="F4633" s="4">
        <v>32.0</v>
      </c>
      <c r="G4633" s="4" t="s">
        <v>7627</v>
      </c>
    </row>
    <row r="4634">
      <c r="A4634" s="1">
        <v>4632.0</v>
      </c>
      <c r="B4634" s="4" t="s">
        <v>7581</v>
      </c>
      <c r="C4634" s="4" t="str">
        <f>IFERROR(__xludf.DUMMYFUNCTION("GOOGLETRANSLATE(D:D,""auto"",""en"")"),"Gilbert looked Hang A burst")</f>
        <v>Gilbert looked Hang A burst</v>
      </c>
      <c r="D4634" s="4" t="s">
        <v>7501</v>
      </c>
      <c r="E4634" s="4">
        <v>7462122.0</v>
      </c>
      <c r="F4634" s="4">
        <v>33.0</v>
      </c>
      <c r="G4634" s="4" t="s">
        <v>7502</v>
      </c>
    </row>
    <row r="4635">
      <c r="A4635" s="1">
        <v>4633.0</v>
      </c>
      <c r="B4635" s="4" t="s">
        <v>7581</v>
      </c>
      <c r="C4635" s="4" t="str">
        <f>IFERROR(__xludf.DUMMYFUNCTION("GOOGLETRANSLATE(D:D,""auto"",""en"")"),"Zhong Nanshan expects the global epidemic inflection point in late April")</f>
        <v>Zhong Nanshan expects the global epidemic inflection point in late April</v>
      </c>
      <c r="D4635" s="4" t="s">
        <v>7575</v>
      </c>
      <c r="E4635" s="4">
        <v>7369751.0</v>
      </c>
      <c r="F4635" s="4">
        <v>34.0</v>
      </c>
      <c r="G4635" s="4" t="s">
        <v>7576</v>
      </c>
    </row>
    <row r="4636">
      <c r="A4636" s="1">
        <v>4634.0</v>
      </c>
      <c r="B4636" s="4" t="s">
        <v>7581</v>
      </c>
      <c r="C4636" s="4" t="str">
        <f>IFERROR(__xludf.DUMMYFUNCTION("GOOGLETRANSLATE(D:D,""auto"",""en"")"),"National new cases of 35 cases")</f>
        <v>National new cases of 35 cases</v>
      </c>
      <c r="D4636" s="4" t="s">
        <v>7628</v>
      </c>
      <c r="E4636" s="4">
        <v>7293542.0</v>
      </c>
      <c r="F4636" s="4">
        <v>35.0</v>
      </c>
      <c r="G4636" s="4" t="s">
        <v>7629</v>
      </c>
    </row>
    <row r="4637">
      <c r="A4637" s="1">
        <v>4635.0</v>
      </c>
      <c r="B4637" s="4" t="s">
        <v>7581</v>
      </c>
      <c r="C4637" s="4" t="str">
        <f>IFERROR(__xludf.DUMMYFUNCTION("GOOGLETRANSLATE(D:D,""auto"",""en"")"),"Luhan Cover")</f>
        <v>Luhan Cover</v>
      </c>
      <c r="D4637" s="4" t="s">
        <v>7630</v>
      </c>
      <c r="E4637" s="4">
        <v>7117924.0</v>
      </c>
      <c r="F4637" s="4">
        <v>36.0</v>
      </c>
      <c r="G4637" s="4" t="s">
        <v>7631</v>
      </c>
    </row>
    <row r="4638">
      <c r="A4638" s="1">
        <v>4636.0</v>
      </c>
      <c r="B4638" s="4" t="s">
        <v>7581</v>
      </c>
      <c r="C4638" s="4" t="str">
        <f>IFERROR(__xludf.DUMMYFUNCTION("GOOGLETRANSLATE(D:D,""auto"",""en"")"),"Song Qian tableaux")</f>
        <v>Song Qian tableaux</v>
      </c>
      <c r="D4638" s="4" t="s">
        <v>7632</v>
      </c>
      <c r="E4638" s="4">
        <v>7115073.0</v>
      </c>
      <c r="F4638" s="4">
        <v>37.0</v>
      </c>
      <c r="G4638" s="4" t="s">
        <v>7633</v>
      </c>
    </row>
    <row r="4639">
      <c r="A4639" s="1">
        <v>4637.0</v>
      </c>
      <c r="B4639" s="4" t="s">
        <v>7581</v>
      </c>
      <c r="C4639" s="4" t="str">
        <f>IFERROR(__xludf.DUMMYFUNCTION("GOOGLETRANSLATE(D:D,""auto"",""en"")"),"Marber Qian's home")</f>
        <v>Marber Qian's home</v>
      </c>
      <c r="D4639" s="4" t="s">
        <v>7634</v>
      </c>
      <c r="E4639" s="4">
        <v>6818418.0</v>
      </c>
      <c r="F4639" s="4">
        <v>38.0</v>
      </c>
      <c r="G4639" s="4" t="s">
        <v>7635</v>
      </c>
    </row>
    <row r="4640">
      <c r="A4640" s="1">
        <v>4638.0</v>
      </c>
      <c r="B4640" s="4" t="s">
        <v>7581</v>
      </c>
      <c r="C4640" s="4" t="str">
        <f>IFERROR(__xludf.DUMMYFUNCTION("GOOGLETRANSLATE(D:D,""auto"",""en"")"),"Qin Xiao Yin Li Shamin recommend listening to the child named Little Fan")</f>
        <v>Qin Xiao Yin Li Shamin recommend listening to the child named Little Fan</v>
      </c>
      <c r="D4640" s="4" t="s">
        <v>7533</v>
      </c>
      <c r="E4640" s="4">
        <v>6757252.0</v>
      </c>
      <c r="F4640" s="4">
        <v>39.0</v>
      </c>
      <c r="G4640" s="4" t="s">
        <v>7534</v>
      </c>
    </row>
    <row r="4641">
      <c r="A4641" s="1">
        <v>4639.0</v>
      </c>
      <c r="B4641" s="4" t="s">
        <v>7581</v>
      </c>
      <c r="C4641" s="4" t="str">
        <f>IFERROR(__xludf.DUMMYFUNCTION("GOOGLETRANSLATE(D:D,""auto"",""en"")"),"Zhang Guowei routine Xirelijiang")</f>
        <v>Zhang Guowei routine Xirelijiang</v>
      </c>
      <c r="D4641" s="4" t="s">
        <v>7636</v>
      </c>
      <c r="E4641" s="4">
        <v>6544787.0</v>
      </c>
      <c r="F4641" s="4">
        <v>40.0</v>
      </c>
      <c r="G4641" s="4" t="s">
        <v>7637</v>
      </c>
    </row>
    <row r="4642">
      <c r="A4642" s="1">
        <v>4640.0</v>
      </c>
      <c r="B4642" s="4" t="s">
        <v>7581</v>
      </c>
      <c r="C4642" s="4" t="str">
        <f>IFERROR(__xludf.DUMMYFUNCTION("GOOGLETRANSLATE(D:D,""auto"",""en"")"),"Hanging down from the balcony of food aid tramp")</f>
        <v>Hanging down from the balcony of food aid tramp</v>
      </c>
      <c r="D4642" s="4" t="s">
        <v>7638</v>
      </c>
      <c r="E4642" s="4">
        <v>6497083.0</v>
      </c>
      <c r="F4642" s="4">
        <v>41.0</v>
      </c>
      <c r="G4642" s="4" t="s">
        <v>7639</v>
      </c>
    </row>
    <row r="4643">
      <c r="A4643" s="1">
        <v>4641.0</v>
      </c>
      <c r="B4643" s="4" t="s">
        <v>7581</v>
      </c>
      <c r="C4643" s="4" t="str">
        <f>IFERROR(__xludf.DUMMYFUNCTION("GOOGLETRANSLATE(D:D,""auto"",""en"")"),"How to celebrate the birthday during the epidemic")</f>
        <v>How to celebrate the birthday during the epidemic</v>
      </c>
      <c r="D4643" s="4" t="s">
        <v>7640</v>
      </c>
      <c r="E4643" s="4">
        <v>6422925.0</v>
      </c>
      <c r="F4643" s="4">
        <v>42.0</v>
      </c>
      <c r="G4643" s="4" t="s">
        <v>7641</v>
      </c>
    </row>
    <row r="4644">
      <c r="A4644" s="1">
        <v>4642.0</v>
      </c>
      <c r="B4644" s="4" t="s">
        <v>7581</v>
      </c>
      <c r="C4644" s="4" t="str">
        <f>IFERROR(__xludf.DUMMYFUNCTION("GOOGLETRANSLATE(D:D,""auto"",""en"")"),"Xichang fire burned area found casualties monkey")</f>
        <v>Xichang fire burned area found casualties monkey</v>
      </c>
      <c r="D4644" s="4" t="s">
        <v>7642</v>
      </c>
      <c r="E4644" s="4">
        <v>6137856.0</v>
      </c>
      <c r="F4644" s="4">
        <v>43.0</v>
      </c>
      <c r="G4644" s="4" t="s">
        <v>7643</v>
      </c>
    </row>
    <row r="4645">
      <c r="A4645" s="1">
        <v>4643.0</v>
      </c>
      <c r="B4645" s="4" t="s">
        <v>7581</v>
      </c>
      <c r="C4645" s="4" t="str">
        <f>IFERROR(__xludf.DUMMYFUNCTION("GOOGLETRANSLATE(D:D,""auto"",""en"")"),"Beijing add two cases of foreign input")</f>
        <v>Beijing add two cases of foreign input</v>
      </c>
      <c r="D4645" s="4" t="s">
        <v>7644</v>
      </c>
      <c r="E4645" s="4">
        <v>5995592.0</v>
      </c>
      <c r="F4645" s="4">
        <v>44.0</v>
      </c>
      <c r="G4645" s="4" t="s">
        <v>7645</v>
      </c>
    </row>
    <row r="4646">
      <c r="A4646" s="1">
        <v>4644.0</v>
      </c>
      <c r="B4646" s="4" t="s">
        <v>7581</v>
      </c>
      <c r="C4646" s="4" t="str">
        <f>IFERROR(__xludf.DUMMYFUNCTION("GOOGLETRANSLATE(D:D,""auto"",""en"")"),"Binbian opera dance gesture")</f>
        <v>Binbian opera dance gesture</v>
      </c>
      <c r="D4646" s="4" t="s">
        <v>7646</v>
      </c>
      <c r="E4646" s="4">
        <v>5950658.0</v>
      </c>
      <c r="F4646" s="4">
        <v>45.0</v>
      </c>
      <c r="G4646" s="4" t="s">
        <v>7647</v>
      </c>
    </row>
    <row r="4647">
      <c r="A4647" s="1">
        <v>4645.0</v>
      </c>
      <c r="B4647" s="4" t="s">
        <v>7581</v>
      </c>
      <c r="C4647" s="4" t="str">
        <f>IFERROR(__xludf.DUMMYFUNCTION("GOOGLETRANSLATE(D:D,""auto"",""en"")"),"Epidemic prevention workers exempt from personal income tax")</f>
        <v>Epidemic prevention workers exempt from personal income tax</v>
      </c>
      <c r="D4647" s="4" t="s">
        <v>7648</v>
      </c>
      <c r="E4647" s="4">
        <v>5835474.0</v>
      </c>
      <c r="F4647" s="4">
        <v>46.0</v>
      </c>
      <c r="G4647" s="4" t="s">
        <v>7649</v>
      </c>
    </row>
    <row r="4648">
      <c r="A4648" s="1">
        <v>4646.0</v>
      </c>
      <c r="B4648" s="4" t="s">
        <v>7581</v>
      </c>
      <c r="C4648" s="4" t="str">
        <f>IFERROR(__xludf.DUMMYFUNCTION("GOOGLETRANSLATE(D:D,""auto"",""en"")"),"Ling Ye Li Jia Hang challenge")</f>
        <v>Ling Ye Li Jia Hang challenge</v>
      </c>
      <c r="D4648" s="4" t="s">
        <v>7503</v>
      </c>
      <c r="E4648" s="4">
        <v>5801986.0</v>
      </c>
      <c r="F4648" s="4">
        <v>47.0</v>
      </c>
      <c r="G4648" s="4" t="s">
        <v>7504</v>
      </c>
    </row>
    <row r="4649">
      <c r="A4649" s="1">
        <v>4647.0</v>
      </c>
      <c r="B4649" s="4" t="s">
        <v>7581</v>
      </c>
      <c r="C4649" s="4" t="str">
        <f>IFERROR(__xludf.DUMMYFUNCTION("GOOGLETRANSLATE(D:D,""auto"",""en"")"),"After England students can sign an undertaking fly back home")</f>
        <v>After England students can sign an undertaking fly back home</v>
      </c>
      <c r="D4649" s="4" t="s">
        <v>7650</v>
      </c>
      <c r="E4649" s="4">
        <v>5799747.0</v>
      </c>
      <c r="F4649" s="4">
        <v>48.0</v>
      </c>
      <c r="G4649" s="4" t="s">
        <v>7651</v>
      </c>
    </row>
    <row r="4650">
      <c r="A4650" s="1">
        <v>4648.0</v>
      </c>
      <c r="B4650" s="4" t="s">
        <v>7581</v>
      </c>
      <c r="C4650" s="4" t="str">
        <f>IFERROR(__xludf.DUMMYFUNCTION("GOOGLETRANSLATE(D:D,""auto"",""en"")"),"Port of molecular chaos turned to Chinese Embassy")</f>
        <v>Port of molecular chaos turned to Chinese Embassy</v>
      </c>
      <c r="D4650" s="4" t="s">
        <v>7652</v>
      </c>
      <c r="E4650" s="4">
        <v>5787164.0</v>
      </c>
      <c r="F4650" s="4">
        <v>49.0</v>
      </c>
      <c r="G4650" s="4" t="s">
        <v>7653</v>
      </c>
    </row>
    <row r="4651">
      <c r="A4651" s="1">
        <v>4649.0</v>
      </c>
      <c r="B4651" s="4" t="s">
        <v>7581</v>
      </c>
      <c r="C4651" s="4" t="str">
        <f>IFERROR(__xludf.DUMMYFUNCTION("GOOGLETRANSLATE(D:D,""auto"",""en"")"),"Sorry teachers")</f>
        <v>Sorry teachers</v>
      </c>
      <c r="D4651" s="4" t="s">
        <v>7517</v>
      </c>
      <c r="E4651" s="4">
        <v>5752916.0</v>
      </c>
      <c r="F4651" s="4">
        <v>50.0</v>
      </c>
      <c r="G4651" s="4" t="s">
        <v>7518</v>
      </c>
    </row>
    <row r="4652">
      <c r="A4652" s="1">
        <v>4650.0</v>
      </c>
      <c r="B4652" s="4" t="s">
        <v>7654</v>
      </c>
      <c r="C4652" s="4" t="str">
        <f>IFERROR(__xludf.DUMMYFUNCTION("GOOGLETRANSLATE(D:D,""auto"",""en"")"),"Exposure Du Haitao Wang Han Chen Shen dream or get married this year")</f>
        <v>Exposure Du Haitao Wang Han Chen Shen dream or get married this year</v>
      </c>
      <c r="D4652" s="4" t="s">
        <v>7655</v>
      </c>
      <c r="E4652" s="4">
        <v>1.4532939E7</v>
      </c>
      <c r="F4652" s="4">
        <v>1.0</v>
      </c>
      <c r="G4652" s="4" t="s">
        <v>7656</v>
      </c>
    </row>
    <row r="4653">
      <c r="A4653" s="1">
        <v>4651.0</v>
      </c>
      <c r="B4653" s="4" t="s">
        <v>7654</v>
      </c>
      <c r="C4653" s="4" t="str">
        <f>IFERROR(__xludf.DUMMYFUNCTION("GOOGLETRANSLATE(D:D,""auto"",""en"")"),"Fortunately, chairman of Swiss coffee sound")</f>
        <v>Fortunately, chairman of Swiss coffee sound</v>
      </c>
      <c r="D4653" s="4" t="s">
        <v>7657</v>
      </c>
      <c r="E4653" s="4">
        <v>1.3174805E7</v>
      </c>
      <c r="F4653" s="4">
        <v>2.0</v>
      </c>
      <c r="G4653" s="4" t="s">
        <v>7658</v>
      </c>
    </row>
    <row r="4654">
      <c r="A4654" s="1">
        <v>4652.0</v>
      </c>
      <c r="B4654" s="4" t="s">
        <v>7654</v>
      </c>
      <c r="C4654" s="4" t="str">
        <f>IFERROR(__xludf.DUMMYFUNCTION("GOOGLETRANSLATE(D:D,""auto"",""en"")"),"Small plump")</f>
        <v>Small plump</v>
      </c>
      <c r="D4654" s="4" t="s">
        <v>7659</v>
      </c>
      <c r="E4654" s="4">
        <v>1.2703136E7</v>
      </c>
      <c r="F4654" s="4">
        <v>3.0</v>
      </c>
      <c r="G4654" s="4" t="s">
        <v>7660</v>
      </c>
    </row>
    <row r="4655">
      <c r="A4655" s="1">
        <v>4653.0</v>
      </c>
      <c r="B4655" s="4" t="s">
        <v>7654</v>
      </c>
      <c r="C4655" s="4" t="str">
        <f>IFERROR(__xludf.DUMMYFUNCTION("GOOGLETRANSLATE(D:D,""auto"",""en"")"),"Yu Shuxin Lotus tongue")</f>
        <v>Yu Shuxin Lotus tongue</v>
      </c>
      <c r="D4655" s="4" t="s">
        <v>7582</v>
      </c>
      <c r="E4655" s="4">
        <v>1.2408159E7</v>
      </c>
      <c r="F4655" s="4">
        <v>4.0</v>
      </c>
      <c r="G4655" s="4" t="s">
        <v>7583</v>
      </c>
    </row>
    <row r="4656">
      <c r="A4656" s="1">
        <v>4654.0</v>
      </c>
      <c r="B4656" s="4" t="s">
        <v>7654</v>
      </c>
      <c r="C4656" s="4" t="str">
        <f>IFERROR(__xludf.DUMMYFUNCTION("GOOGLETRANSLATE(D:D,""auto"",""en"")"),"The new crown is the first human coronavirus pandemic")</f>
        <v>The new crown is the first human coronavirus pandemic</v>
      </c>
      <c r="D4656" s="4" t="s">
        <v>7590</v>
      </c>
      <c r="E4656" s="4">
        <v>1.1524985E7</v>
      </c>
      <c r="F4656" s="4">
        <v>5.0</v>
      </c>
      <c r="G4656" s="4" t="s">
        <v>7591</v>
      </c>
    </row>
    <row r="4657">
      <c r="A4657" s="1">
        <v>4655.0</v>
      </c>
      <c r="B4657" s="4" t="s">
        <v>7654</v>
      </c>
      <c r="C4657" s="4" t="str">
        <f>IFERROR(__xludf.DUMMYFUNCTION("GOOGLETRANSLATE(D:D,""auto"",""en"")"),"Zhang Guowei challenge and accelerate battle")</f>
        <v>Zhang Guowei challenge and accelerate battle</v>
      </c>
      <c r="D4657" s="4" t="s">
        <v>7586</v>
      </c>
      <c r="E4657" s="4">
        <v>1.0483781E7</v>
      </c>
      <c r="F4657" s="4">
        <v>6.0</v>
      </c>
      <c r="G4657" s="4" t="s">
        <v>7587</v>
      </c>
    </row>
    <row r="4658">
      <c r="A4658" s="1">
        <v>4656.0</v>
      </c>
      <c r="B4658" s="4" t="s">
        <v>7654</v>
      </c>
      <c r="C4658" s="4" t="str">
        <f>IFERROR(__xludf.DUMMYFUNCTION("GOOGLETRANSLATE(D:D,""auto"",""en"")"),"Northeast sauce homemade marshmallow contest")</f>
        <v>Northeast sauce homemade marshmallow contest</v>
      </c>
      <c r="D4658" s="4" t="s">
        <v>7596</v>
      </c>
      <c r="E4658" s="4">
        <v>1.0286275E7</v>
      </c>
      <c r="F4658" s="4">
        <v>7.0</v>
      </c>
      <c r="G4658" s="4" t="s">
        <v>7597</v>
      </c>
    </row>
    <row r="4659">
      <c r="A4659" s="1">
        <v>4657.0</v>
      </c>
      <c r="B4659" s="4" t="s">
        <v>7654</v>
      </c>
      <c r="C4659" s="4" t="str">
        <f>IFERROR(__xludf.DUMMYFUNCTION("GOOGLETRANSLATE(D:D,""auto"",""en"")"),"April 4 national day of mourning")</f>
        <v>April 4 national day of mourning</v>
      </c>
      <c r="D4659" s="4" t="s">
        <v>7661</v>
      </c>
      <c r="E4659" s="4">
        <v>1.0225552E7</v>
      </c>
      <c r="F4659" s="4">
        <v>8.0</v>
      </c>
      <c r="G4659" s="4" t="s">
        <v>7662</v>
      </c>
    </row>
    <row r="4660">
      <c r="A4660" s="1">
        <v>4658.0</v>
      </c>
      <c r="B4660" s="4" t="s">
        <v>7654</v>
      </c>
      <c r="C4660" s="4" t="str">
        <f>IFERROR(__xludf.DUMMYFUNCTION("GOOGLETRANSLATE(D:D,""auto"",""en"")"),"Xichang sang teenager armed police fire")</f>
        <v>Xichang sang teenager armed police fire</v>
      </c>
      <c r="D4660" s="4" t="s">
        <v>7663</v>
      </c>
      <c r="E4660" s="4">
        <v>9829246.0</v>
      </c>
      <c r="F4660" s="4">
        <v>9.0</v>
      </c>
      <c r="G4660" s="4" t="s">
        <v>7664</v>
      </c>
    </row>
    <row r="4661">
      <c r="A4661" s="1">
        <v>4659.0</v>
      </c>
      <c r="B4661" s="4" t="s">
        <v>7654</v>
      </c>
      <c r="C4661" s="4" t="str">
        <f>IFERROR(__xludf.DUMMYFUNCTION("GOOGLETRANSLATE(D:D,""auto"",""en"")"),"Wuhan Tianhe International Airport to conduct a comprehensive disinfection")</f>
        <v>Wuhan Tianhe International Airport to conduct a comprehensive disinfection</v>
      </c>
      <c r="D4661" s="4" t="s">
        <v>7665</v>
      </c>
      <c r="E4661" s="4">
        <v>9641431.0</v>
      </c>
      <c r="F4661" s="4">
        <v>10.0</v>
      </c>
      <c r="G4661" s="4" t="s">
        <v>7666</v>
      </c>
    </row>
    <row r="4662">
      <c r="A4662" s="1">
        <v>4660.0</v>
      </c>
      <c r="B4662" s="4" t="s">
        <v>7654</v>
      </c>
      <c r="C4662" s="4" t="str">
        <f>IFERROR(__xludf.DUMMYFUNCTION("GOOGLETRANSLATE(D:D,""auto"",""en"")"),"Universities around school time")</f>
        <v>Universities around school time</v>
      </c>
      <c r="D4662" s="4" t="s">
        <v>7667</v>
      </c>
      <c r="E4662" s="4">
        <v>9594538.0</v>
      </c>
      <c r="F4662" s="4">
        <v>11.0</v>
      </c>
      <c r="G4662" s="4" t="s">
        <v>7668</v>
      </c>
    </row>
    <row r="4663">
      <c r="A4663" s="1">
        <v>4661.0</v>
      </c>
      <c r="B4663" s="4" t="s">
        <v>7654</v>
      </c>
      <c r="C4663" s="4" t="str">
        <f>IFERROR(__xludf.DUMMYFUNCTION("GOOGLETRANSLATE(D:D,""auto"",""en"")"),"Overheating apologize for the slip of the tongue")</f>
        <v>Overheating apologize for the slip of the tongue</v>
      </c>
      <c r="D4663" s="4" t="s">
        <v>7519</v>
      </c>
      <c r="E4663" s="4">
        <v>9503718.0</v>
      </c>
      <c r="F4663" s="4">
        <v>12.0</v>
      </c>
      <c r="G4663" s="4" t="s">
        <v>7520</v>
      </c>
    </row>
    <row r="4664">
      <c r="A4664" s="1">
        <v>4662.0</v>
      </c>
      <c r="B4664" s="4" t="s">
        <v>7654</v>
      </c>
      <c r="C4664" s="4" t="str">
        <f>IFERROR(__xludf.DUMMYFUNCTION("GOOGLETRANSLATE(D:D,""auto"",""en"")"),"Wuhan continue to strengthen the management of closed cell")</f>
        <v>Wuhan continue to strengthen the management of closed cell</v>
      </c>
      <c r="D4664" s="4" t="s">
        <v>7669</v>
      </c>
      <c r="E4664" s="4">
        <v>9197846.0</v>
      </c>
      <c r="F4664" s="4">
        <v>13.0</v>
      </c>
      <c r="G4664" s="4" t="s">
        <v>7670</v>
      </c>
    </row>
    <row r="4665">
      <c r="A4665" s="1">
        <v>4663.0</v>
      </c>
      <c r="B4665" s="4" t="s">
        <v>7654</v>
      </c>
      <c r="C4665" s="4" t="str">
        <f>IFERROR(__xludf.DUMMYFUNCTION("GOOGLETRANSLATE(D:D,""auto"",""en"")"),"More Chinese students sun wellness package")</f>
        <v>More Chinese students sun wellness package</v>
      </c>
      <c r="D4665" s="4" t="s">
        <v>7671</v>
      </c>
      <c r="E4665" s="4">
        <v>9166551.0</v>
      </c>
      <c r="F4665" s="4">
        <v>14.0</v>
      </c>
      <c r="G4665" s="4" t="s">
        <v>7672</v>
      </c>
    </row>
    <row r="4666">
      <c r="A4666" s="1">
        <v>4664.0</v>
      </c>
      <c r="B4666" s="4" t="s">
        <v>7654</v>
      </c>
      <c r="C4666" s="4" t="str">
        <f>IFERROR(__xludf.DUMMYFUNCTION("GOOGLETRANSLATE(D:D,""auto"",""en"")"),"Yunnan closed management of the province's forest")</f>
        <v>Yunnan closed management of the province's forest</v>
      </c>
      <c r="D4666" s="4" t="s">
        <v>7673</v>
      </c>
      <c r="E4666" s="4">
        <v>9148261.0</v>
      </c>
      <c r="F4666" s="4">
        <v>15.0</v>
      </c>
      <c r="G4666" s="4" t="s">
        <v>7674</v>
      </c>
    </row>
    <row r="4667">
      <c r="A4667" s="1">
        <v>4665.0</v>
      </c>
      <c r="B4667" s="4" t="s">
        <v>7654</v>
      </c>
      <c r="C4667" s="4" t="str">
        <f>IFERROR(__xludf.DUMMYFUNCTION("GOOGLETRANSLATE(D:D,""auto"",""en"")"),"Shandong school time")</f>
        <v>Shandong school time</v>
      </c>
      <c r="D4667" s="4" t="s">
        <v>7675</v>
      </c>
      <c r="E4667" s="4">
        <v>9111600.0</v>
      </c>
      <c r="F4667" s="4">
        <v>16.0</v>
      </c>
      <c r="G4667" s="4" t="s">
        <v>7676</v>
      </c>
    </row>
    <row r="4668">
      <c r="A4668" s="1">
        <v>4666.0</v>
      </c>
      <c r="B4668" s="4" t="s">
        <v>7654</v>
      </c>
      <c r="C4668" s="4" t="str">
        <f>IFERROR(__xludf.DUMMYFUNCTION("GOOGLETRANSLATE(D:D,""auto"",""en"")"),"108 people completed the new crown vaccination")</f>
        <v>108 people completed the new crown vaccination</v>
      </c>
      <c r="D4668" s="4" t="s">
        <v>7677</v>
      </c>
      <c r="E4668" s="4">
        <v>9081260.0</v>
      </c>
      <c r="F4668" s="4">
        <v>17.0</v>
      </c>
      <c r="G4668" s="4" t="s">
        <v>7678</v>
      </c>
    </row>
    <row r="4669">
      <c r="A4669" s="1">
        <v>4667.0</v>
      </c>
      <c r="B4669" s="4" t="s">
        <v>7654</v>
      </c>
      <c r="C4669" s="4" t="str">
        <f>IFERROR(__xludf.DUMMYFUNCTION("GOOGLETRANSLATE(D:D,""auto"",""en"")"),"The central bank responded impact of the epidemic on the economy")</f>
        <v>The central bank responded impact of the epidemic on the economy</v>
      </c>
      <c r="D4669" s="4" t="s">
        <v>7679</v>
      </c>
      <c r="E4669" s="4">
        <v>9077923.0</v>
      </c>
      <c r="F4669" s="4">
        <v>18.0</v>
      </c>
      <c r="G4669" s="4" t="s">
        <v>7680</v>
      </c>
    </row>
    <row r="4670">
      <c r="A4670" s="1">
        <v>4668.0</v>
      </c>
      <c r="B4670" s="4" t="s">
        <v>7654</v>
      </c>
      <c r="C4670" s="4" t="str">
        <f>IFERROR(__xludf.DUMMYFUNCTION("GOOGLETRANSLATE(D:D,""auto"",""en"")"),"The Ministry of Education rumor canceled June 4 CET")</f>
        <v>The Ministry of Education rumor canceled June 4 CET</v>
      </c>
      <c r="D4670" s="4" t="s">
        <v>7681</v>
      </c>
      <c r="E4670" s="4">
        <v>9054317.0</v>
      </c>
      <c r="F4670" s="4">
        <v>19.0</v>
      </c>
      <c r="G4670" s="4" t="s">
        <v>7682</v>
      </c>
    </row>
    <row r="4671">
      <c r="A4671" s="1">
        <v>4669.0</v>
      </c>
      <c r="B4671" s="4" t="s">
        <v>7654</v>
      </c>
      <c r="C4671" s="4" t="str">
        <f>IFERROR(__xludf.DUMMYFUNCTION("GOOGLETRANSLATE(D:D,""auto"",""en"")"),"Zhao Xiaotang how to eat rabbit")</f>
        <v>Zhao Xiaotang how to eat rabbit</v>
      </c>
      <c r="D4671" s="4" t="s">
        <v>7683</v>
      </c>
      <c r="E4671" s="4">
        <v>8771997.0</v>
      </c>
      <c r="F4671" s="4">
        <v>20.0</v>
      </c>
      <c r="G4671" s="4" t="s">
        <v>7684</v>
      </c>
    </row>
    <row r="4672">
      <c r="A4672" s="1">
        <v>4670.0</v>
      </c>
      <c r="B4672" s="4" t="s">
        <v>7654</v>
      </c>
      <c r="C4672" s="4" t="str">
        <f>IFERROR(__xludf.DUMMYFUNCTION("GOOGLETRANSLATE(D:D,""auto"",""en"")"),"Who is to say Schumacher")</f>
        <v>Who is to say Schumacher</v>
      </c>
      <c r="D4672" s="4" t="s">
        <v>7383</v>
      </c>
      <c r="E4672" s="4">
        <v>8702347.0</v>
      </c>
      <c r="F4672" s="4">
        <v>21.0</v>
      </c>
      <c r="G4672" s="4" t="s">
        <v>7384</v>
      </c>
    </row>
    <row r="4673">
      <c r="A4673" s="1">
        <v>4671.0</v>
      </c>
      <c r="B4673" s="4" t="s">
        <v>7654</v>
      </c>
      <c r="C4673" s="4" t="str">
        <f>IFERROR(__xludf.DUMMYFUNCTION("GOOGLETRANSLATE(D:D,""auto"",""en"")"),"Chinese Embassy in London take a small charter students return")</f>
        <v>Chinese Embassy in London take a small charter students return</v>
      </c>
      <c r="D4673" s="4" t="s">
        <v>7685</v>
      </c>
      <c r="E4673" s="4">
        <v>8693661.0</v>
      </c>
      <c r="F4673" s="4">
        <v>22.0</v>
      </c>
      <c r="G4673" s="4" t="s">
        <v>7686</v>
      </c>
    </row>
    <row r="4674">
      <c r="A4674" s="1">
        <v>4672.0</v>
      </c>
      <c r="B4674" s="4" t="s">
        <v>7654</v>
      </c>
      <c r="C4674" s="4" t="str">
        <f>IFERROR(__xludf.DUMMYFUNCTION("GOOGLETRANSLATE(D:D,""auto"",""en"")"),"Pan Yue Ming Do you think I kind of like the past")</f>
        <v>Pan Yue Ming Do you think I kind of like the past</v>
      </c>
      <c r="D4674" s="4" t="s">
        <v>7687</v>
      </c>
      <c r="E4674" s="4">
        <v>8693614.0</v>
      </c>
      <c r="F4674" s="4">
        <v>23.0</v>
      </c>
      <c r="G4674" s="4" t="s">
        <v>7688</v>
      </c>
    </row>
    <row r="4675">
      <c r="A4675" s="1">
        <v>4673.0</v>
      </c>
      <c r="B4675" s="4" t="s">
        <v>7654</v>
      </c>
      <c r="C4675" s="4" t="str">
        <f>IFERROR(__xludf.DUMMYFUNCTION("GOOGLETRANSLATE(D:D,""auto"",""en"")"),"Ren Jialun cloud hop dance cherry")</f>
        <v>Ren Jialun cloud hop dance cherry</v>
      </c>
      <c r="D4675" s="4" t="s">
        <v>7525</v>
      </c>
      <c r="E4675" s="4">
        <v>8289308.0</v>
      </c>
      <c r="F4675" s="4">
        <v>24.0</v>
      </c>
      <c r="G4675" s="4" t="s">
        <v>7526</v>
      </c>
    </row>
    <row r="4676">
      <c r="A4676" s="1">
        <v>4674.0</v>
      </c>
      <c r="B4676" s="4" t="s">
        <v>7654</v>
      </c>
      <c r="C4676" s="4" t="str">
        <f>IFERROR(__xludf.DUMMYFUNCTION("GOOGLETRANSLATE(D:D,""auto"",""en"")"),"The total turnover of the hundreds of millions live Overheating")</f>
        <v>The total turnover of the hundreds of millions live Overheating</v>
      </c>
      <c r="D4676" s="4" t="s">
        <v>7594</v>
      </c>
      <c r="E4676" s="4">
        <v>8042274.0</v>
      </c>
      <c r="F4676" s="4">
        <v>25.0</v>
      </c>
      <c r="G4676" s="4" t="s">
        <v>7595</v>
      </c>
    </row>
    <row r="4677">
      <c r="A4677" s="1">
        <v>4675.0</v>
      </c>
      <c r="B4677" s="4" t="s">
        <v>7654</v>
      </c>
      <c r="C4677" s="4" t="str">
        <f>IFERROR(__xludf.DUMMYFUNCTION("GOOGLETRANSLATE(D:D,""auto"",""en"")"),"Song Joey")</f>
        <v>Song Joey</v>
      </c>
      <c r="D4677" s="4" t="s">
        <v>7598</v>
      </c>
      <c r="E4677" s="4">
        <v>8017519.0</v>
      </c>
      <c r="F4677" s="4">
        <v>26.0</v>
      </c>
      <c r="G4677" s="4" t="s">
        <v>7599</v>
      </c>
    </row>
    <row r="4678">
      <c r="A4678" s="1">
        <v>4676.0</v>
      </c>
      <c r="B4678" s="4" t="s">
        <v>7654</v>
      </c>
      <c r="C4678" s="4" t="str">
        <f>IFERROR(__xludf.DUMMYFUNCTION("GOOGLETRANSLATE(D:D,""auto"",""en"")"),"Zhang Xincheng CPA was afraid of being asked")</f>
        <v>Zhang Xincheng CPA was afraid of being asked</v>
      </c>
      <c r="D4678" s="4" t="s">
        <v>7689</v>
      </c>
      <c r="E4678" s="4">
        <v>7767772.0</v>
      </c>
      <c r="F4678" s="4">
        <v>27.0</v>
      </c>
      <c r="G4678" s="4" t="s">
        <v>7690</v>
      </c>
    </row>
    <row r="4679">
      <c r="A4679" s="1">
        <v>4677.0</v>
      </c>
      <c r="B4679" s="4" t="s">
        <v>7654</v>
      </c>
      <c r="C4679" s="4" t="str">
        <f>IFERROR(__xludf.DUMMYFUNCTION("GOOGLETRANSLATE(D:D,""auto"",""en"")"),"Pan Yue Ming to apologize fat")</f>
        <v>Pan Yue Ming to apologize fat</v>
      </c>
      <c r="D4679" s="4" t="s">
        <v>7691</v>
      </c>
      <c r="E4679" s="4">
        <v>7749646.0</v>
      </c>
      <c r="F4679" s="4">
        <v>28.0</v>
      </c>
      <c r="G4679" s="4" t="s">
        <v>7692</v>
      </c>
    </row>
    <row r="4680">
      <c r="A4680" s="1">
        <v>4678.0</v>
      </c>
      <c r="B4680" s="4" t="s">
        <v>7654</v>
      </c>
      <c r="C4680" s="4" t="str">
        <f>IFERROR(__xludf.DUMMYFUNCTION("GOOGLETRANSLATE(D:D,""auto"",""en"")"),"Hold a national mourning April 4 2020")</f>
        <v>Hold a national mourning April 4 2020</v>
      </c>
      <c r="D4680" s="4" t="s">
        <v>7693</v>
      </c>
      <c r="E4680" s="4">
        <v>7620177.0</v>
      </c>
      <c r="F4680" s="4">
        <v>29.0</v>
      </c>
      <c r="G4680" s="4" t="s">
        <v>7694</v>
      </c>
    </row>
    <row r="4681">
      <c r="A4681" s="1">
        <v>4679.0</v>
      </c>
      <c r="B4681" s="4" t="s">
        <v>7654</v>
      </c>
      <c r="C4681" s="4" t="str">
        <f>IFERROR(__xludf.DUMMYFUNCTION("GOOGLETRANSLATE(D:D,""auto"",""en"")"),"Qingping given file")</f>
        <v>Qingping given file</v>
      </c>
      <c r="D4681" s="4" t="s">
        <v>7695</v>
      </c>
      <c r="E4681" s="4">
        <v>7518745.0</v>
      </c>
      <c r="F4681" s="4">
        <v>30.0</v>
      </c>
      <c r="G4681" s="4" t="s">
        <v>7696</v>
      </c>
    </row>
    <row r="4682">
      <c r="A4682" s="1">
        <v>4680.0</v>
      </c>
      <c r="B4682" s="4" t="s">
        <v>7654</v>
      </c>
      <c r="C4682" s="4" t="str">
        <f>IFERROR(__xludf.DUMMYFUNCTION("GOOGLETRANSLATE(D:D,""auto"",""en"")"),"Women cry possession police said her ex-husband at home")</f>
        <v>Women cry possession police said her ex-husband at home</v>
      </c>
      <c r="D4682" s="4" t="s">
        <v>7697</v>
      </c>
      <c r="E4682" s="4">
        <v>7457995.0</v>
      </c>
      <c r="F4682" s="4">
        <v>31.0</v>
      </c>
      <c r="G4682" s="4" t="s">
        <v>7698</v>
      </c>
    </row>
    <row r="4683">
      <c r="A4683" s="1">
        <v>4681.0</v>
      </c>
      <c r="B4683" s="4" t="s">
        <v>7654</v>
      </c>
      <c r="C4683" s="4" t="str">
        <f>IFERROR(__xludf.DUMMYFUNCTION("GOOGLETRANSLATE(D:D,""auto"",""en"")"),"7-year-old daughter that Dad fire sacrifice cry")</f>
        <v>7-year-old daughter that Dad fire sacrifice cry</v>
      </c>
      <c r="D4683" s="4" t="s">
        <v>7614</v>
      </c>
      <c r="E4683" s="4">
        <v>7261342.0</v>
      </c>
      <c r="F4683" s="4">
        <v>32.0</v>
      </c>
      <c r="G4683" s="4" t="s">
        <v>7615</v>
      </c>
    </row>
    <row r="4684">
      <c r="A4684" s="1">
        <v>4682.0</v>
      </c>
      <c r="B4684" s="4" t="s">
        <v>7654</v>
      </c>
      <c r="C4684" s="4" t="str">
        <f>IFERROR(__xludf.DUMMYFUNCTION("GOOGLETRANSLATE(D:D,""auto"",""en"")"),"Luhan Cover")</f>
        <v>Luhan Cover</v>
      </c>
      <c r="D4684" s="4" t="s">
        <v>7630</v>
      </c>
      <c r="E4684" s="4">
        <v>6929136.0</v>
      </c>
      <c r="F4684" s="4">
        <v>33.0</v>
      </c>
      <c r="G4684" s="4" t="s">
        <v>7631</v>
      </c>
    </row>
    <row r="4685">
      <c r="A4685" s="1">
        <v>4683.0</v>
      </c>
      <c r="B4685" s="4" t="s">
        <v>7654</v>
      </c>
      <c r="C4685" s="4" t="str">
        <f>IFERROR(__xludf.DUMMYFUNCTION("GOOGLETRANSLATE(D:D,""auto"",""en"")"),"Song Qian tableaux")</f>
        <v>Song Qian tableaux</v>
      </c>
      <c r="D4685" s="4" t="s">
        <v>7632</v>
      </c>
      <c r="E4685" s="4">
        <v>6924045.0</v>
      </c>
      <c r="F4685" s="4">
        <v>34.0</v>
      </c>
      <c r="G4685" s="4" t="s">
        <v>7633</v>
      </c>
    </row>
    <row r="4686">
      <c r="A4686" s="1">
        <v>4684.0</v>
      </c>
      <c r="B4686" s="4" t="s">
        <v>7654</v>
      </c>
      <c r="C4686" s="4" t="str">
        <f>IFERROR(__xludf.DUMMYFUNCTION("GOOGLETRANSLATE(D:D,""auto"",""en"")"),"Aaron shook his head")</f>
        <v>Aaron shook his head</v>
      </c>
      <c r="D4686" s="4" t="s">
        <v>7584</v>
      </c>
      <c r="E4686" s="4">
        <v>6824073.0</v>
      </c>
      <c r="F4686" s="4">
        <v>35.0</v>
      </c>
      <c r="G4686" s="4" t="s">
        <v>7585</v>
      </c>
    </row>
    <row r="4687">
      <c r="A4687" s="1">
        <v>4685.0</v>
      </c>
      <c r="B4687" s="4" t="s">
        <v>7654</v>
      </c>
      <c r="C4687" s="4" t="str">
        <f>IFERROR(__xludf.DUMMYFUNCTION("GOOGLETRANSLATE(D:D,""auto"",""en"")"),"Qin Xiao Yin Li Shamin recommend listening to the child named Little Fan")</f>
        <v>Qin Xiao Yin Li Shamin recommend listening to the child named Little Fan</v>
      </c>
      <c r="D4687" s="4" t="s">
        <v>7533</v>
      </c>
      <c r="E4687" s="4">
        <v>6591438.0</v>
      </c>
      <c r="F4687" s="4">
        <v>36.0</v>
      </c>
      <c r="G4687" s="4" t="s">
        <v>7534</v>
      </c>
    </row>
    <row r="4688">
      <c r="A4688" s="1">
        <v>4686.0</v>
      </c>
      <c r="B4688" s="4" t="s">
        <v>7654</v>
      </c>
      <c r="C4688" s="4" t="str">
        <f>IFERROR(__xludf.DUMMYFUNCTION("GOOGLETRANSLATE(D:D,""auto"",""en"")"),"National new cases of 31 cases")</f>
        <v>National new cases of 31 cases</v>
      </c>
      <c r="D4688" s="4" t="s">
        <v>7699</v>
      </c>
      <c r="E4688" s="4">
        <v>6422038.0</v>
      </c>
      <c r="F4688" s="4">
        <v>37.0</v>
      </c>
      <c r="G4688" s="4" t="s">
        <v>7700</v>
      </c>
    </row>
    <row r="4689">
      <c r="A4689" s="1">
        <v>4687.0</v>
      </c>
      <c r="B4689" s="4" t="s">
        <v>7654</v>
      </c>
      <c r="C4689" s="4" t="str">
        <f>IFERROR(__xludf.DUMMYFUNCTION("GOOGLETRANSLATE(D:D,""auto"",""en"")"),"When Wangyi Bo sandpaper attached to the slide")</f>
        <v>When Wangyi Bo sandpaper attached to the slide</v>
      </c>
      <c r="D4689" s="4" t="s">
        <v>7701</v>
      </c>
      <c r="E4689" s="4">
        <v>6401044.0</v>
      </c>
      <c r="F4689" s="4">
        <v>38.0</v>
      </c>
      <c r="G4689" s="4" t="s">
        <v>7702</v>
      </c>
    </row>
    <row r="4690">
      <c r="A4690" s="1">
        <v>4688.0</v>
      </c>
      <c r="B4690" s="4" t="s">
        <v>7654</v>
      </c>
      <c r="C4690" s="4" t="str">
        <f>IFERROR(__xludf.DUMMYFUNCTION("GOOGLETRANSLATE(D:D,""auto"",""en"")"),"Iranian parliament speaker confirmed infected with the new crown pneumonia")</f>
        <v>Iranian parliament speaker confirmed infected with the new crown pneumonia</v>
      </c>
      <c r="D4690" s="4" t="s">
        <v>7703</v>
      </c>
      <c r="E4690" s="4">
        <v>6358375.0</v>
      </c>
      <c r="F4690" s="4">
        <v>39.0</v>
      </c>
      <c r="G4690" s="4" t="s">
        <v>7704</v>
      </c>
    </row>
    <row r="4691">
      <c r="A4691" s="1">
        <v>4689.0</v>
      </c>
      <c r="B4691" s="4" t="s">
        <v>7654</v>
      </c>
      <c r="C4691" s="4" t="str">
        <f>IFERROR(__xludf.DUMMYFUNCTION("GOOGLETRANSLATE(D:D,""auto"",""en"")"),"Zhang Guowei routine Xirelijiang")</f>
        <v>Zhang Guowei routine Xirelijiang</v>
      </c>
      <c r="D4691" s="4" t="s">
        <v>7636</v>
      </c>
      <c r="E4691" s="4">
        <v>6326662.0</v>
      </c>
      <c r="F4691" s="4">
        <v>40.0</v>
      </c>
      <c r="G4691" s="4" t="s">
        <v>7637</v>
      </c>
    </row>
    <row r="4692">
      <c r="A4692" s="1">
        <v>4690.0</v>
      </c>
      <c r="B4692" s="4" t="s">
        <v>7654</v>
      </c>
      <c r="C4692" s="4" t="str">
        <f>IFERROR(__xludf.DUMMYFUNCTION("GOOGLETRANSLATE(D:D,""auto"",""en"")"),"Civil Hospital Medical Records kill the murderer was executed")</f>
        <v>Civil Hospital Medical Records kill the murderer was executed</v>
      </c>
      <c r="D4692" s="4" t="s">
        <v>7705</v>
      </c>
      <c r="E4692" s="4">
        <v>6107764.0</v>
      </c>
      <c r="F4692" s="4">
        <v>41.0</v>
      </c>
      <c r="G4692" s="4" t="s">
        <v>7706</v>
      </c>
    </row>
    <row r="4693">
      <c r="A4693" s="1">
        <v>4691.0</v>
      </c>
      <c r="B4693" s="4" t="s">
        <v>7654</v>
      </c>
      <c r="C4693" s="4" t="str">
        <f>IFERROR(__xludf.DUMMYFUNCTION("GOOGLETRANSLATE(D:D,""auto"",""en"")"),"Yiyangqianxi exclusive doorbell")</f>
        <v>Yiyangqianxi exclusive doorbell</v>
      </c>
      <c r="D4693" s="4" t="s">
        <v>7707</v>
      </c>
      <c r="E4693" s="4">
        <v>6051518.0</v>
      </c>
      <c r="F4693" s="4">
        <v>42.0</v>
      </c>
      <c r="G4693" s="4" t="s">
        <v>7708</v>
      </c>
    </row>
    <row r="4694">
      <c r="A4694" s="1">
        <v>4692.0</v>
      </c>
      <c r="B4694" s="4" t="s">
        <v>7654</v>
      </c>
      <c r="C4694" s="4" t="str">
        <f>IFERROR(__xludf.DUMMYFUNCTION("GOOGLETRANSLATE(D:D,""auto"",""en"")"),"Busan row sequel notice")</f>
        <v>Busan row sequel notice</v>
      </c>
      <c r="D4694" s="4" t="s">
        <v>7588</v>
      </c>
      <c r="E4694" s="4">
        <v>5937301.0</v>
      </c>
      <c r="F4694" s="4">
        <v>43.0</v>
      </c>
      <c r="G4694" s="4" t="s">
        <v>7589</v>
      </c>
    </row>
    <row r="4695">
      <c r="A4695" s="1">
        <v>4693.0</v>
      </c>
      <c r="B4695" s="4" t="s">
        <v>7654</v>
      </c>
      <c r="C4695" s="4" t="str">
        <f>IFERROR(__xludf.DUMMYFUNCTION("GOOGLETRANSLATE(D:D,""auto"",""en"")"),"Yu Shuxin childhood photos")</f>
        <v>Yu Shuxin childhood photos</v>
      </c>
      <c r="D4695" s="4" t="s">
        <v>7709</v>
      </c>
      <c r="E4695" s="4">
        <v>5933126.0</v>
      </c>
      <c r="F4695" s="4">
        <v>44.0</v>
      </c>
      <c r="G4695" s="4" t="s">
        <v>7710</v>
      </c>
    </row>
    <row r="4696">
      <c r="A4696" s="1">
        <v>4694.0</v>
      </c>
      <c r="B4696" s="4" t="s">
        <v>7654</v>
      </c>
      <c r="C4696" s="4" t="str">
        <f>IFERROR(__xludf.DUMMYFUNCTION("GOOGLETRANSLATE(D:D,""auto"",""en"")"),"Baicheng sandstorm")</f>
        <v>Baicheng sandstorm</v>
      </c>
      <c r="D4696" s="4" t="s">
        <v>7711</v>
      </c>
      <c r="E4696" s="4">
        <v>5627243.0</v>
      </c>
      <c r="F4696" s="4">
        <v>45.0</v>
      </c>
      <c r="G4696" s="4" t="s">
        <v>7712</v>
      </c>
    </row>
    <row r="4697">
      <c r="A4697" s="1">
        <v>4695.0</v>
      </c>
      <c r="B4697" s="4" t="s">
        <v>7654</v>
      </c>
      <c r="C4697" s="4" t="str">
        <f>IFERROR(__xludf.DUMMYFUNCTION("GOOGLETRANSLATE(D:D,""auto"",""en"")"),"Playground buried corpse case of a public official misconduct case upheld the sentence")</f>
        <v>Playground buried corpse case of a public official misconduct case upheld the sentence</v>
      </c>
      <c r="D4697" s="4" t="s">
        <v>7713</v>
      </c>
      <c r="E4697" s="4">
        <v>4769492.0</v>
      </c>
      <c r="F4697" s="4">
        <v>46.0</v>
      </c>
      <c r="G4697" s="4" t="s">
        <v>7714</v>
      </c>
    </row>
    <row r="4698">
      <c r="A4698" s="1">
        <v>4696.0</v>
      </c>
      <c r="B4698" s="4" t="s">
        <v>7654</v>
      </c>
      <c r="C4698" s="4" t="str">
        <f>IFERROR(__xludf.DUMMYFUNCTION("GOOGLETRANSLATE(D:D,""auto"",""en"")"),"Shelter Hospital on Long Sa little sister as about dance")</f>
        <v>Shelter Hospital on Long Sa little sister as about dance</v>
      </c>
      <c r="D4698" s="4" t="s">
        <v>7715</v>
      </c>
      <c r="E4698" s="4">
        <v>4694802.0</v>
      </c>
      <c r="F4698" s="4">
        <v>47.0</v>
      </c>
      <c r="G4698" s="4" t="s">
        <v>7716</v>
      </c>
    </row>
    <row r="4699">
      <c r="A4699" s="1">
        <v>4697.0</v>
      </c>
      <c r="B4699" s="4" t="s">
        <v>7654</v>
      </c>
      <c r="C4699" s="4" t="str">
        <f>IFERROR(__xludf.DUMMYFUNCTION("GOOGLETRANSLATE(D:D,""auto"",""en"")"),"Zhong Nanshan worried some countries can not control the epidemic")</f>
        <v>Zhong Nanshan worried some countries can not control the epidemic</v>
      </c>
      <c r="D4699" s="4" t="s">
        <v>7717</v>
      </c>
      <c r="E4699" s="4">
        <v>4530683.0</v>
      </c>
      <c r="F4699" s="4">
        <v>48.0</v>
      </c>
      <c r="G4699" s="4" t="s">
        <v>7718</v>
      </c>
    </row>
    <row r="4700">
      <c r="A4700" s="1">
        <v>4698.0</v>
      </c>
      <c r="B4700" s="4" t="s">
        <v>7654</v>
      </c>
      <c r="C4700" s="4" t="str">
        <f>IFERROR(__xludf.DUMMYFUNCTION("GOOGLETRANSLATE(D:D,""auto"",""en"")"),"4 The first new vaccine volunteers crown end of the observation")</f>
        <v>4 The first new vaccine volunteers crown end of the observation</v>
      </c>
      <c r="D4700" s="4" t="s">
        <v>7719</v>
      </c>
      <c r="E4700" s="4">
        <v>4488520.0</v>
      </c>
      <c r="F4700" s="4">
        <v>49.0</v>
      </c>
      <c r="G4700" s="4" t="s">
        <v>7720</v>
      </c>
    </row>
    <row r="4701">
      <c r="A4701" s="1">
        <v>4699.0</v>
      </c>
      <c r="B4701" s="4" t="s">
        <v>7654</v>
      </c>
      <c r="C4701" s="4" t="str">
        <f>IFERROR(__xludf.DUMMYFUNCTION("GOOGLETRANSLATE(D:D,""auto"",""en"")"),"Wang Yibo magazine Highlights")</f>
        <v>Wang Yibo magazine Highlights</v>
      </c>
      <c r="D4701" s="4" t="s">
        <v>7721</v>
      </c>
      <c r="E4701" s="4">
        <v>4469749.0</v>
      </c>
      <c r="F4701" s="4">
        <v>50.0</v>
      </c>
      <c r="G4701" s="4" t="s">
        <v>7722</v>
      </c>
    </row>
    <row r="4702">
      <c r="A4702" s="1">
        <v>4700.0</v>
      </c>
      <c r="B4702" s="4" t="s">
        <v>7723</v>
      </c>
      <c r="C4702" s="4" t="str">
        <f>IFERROR(__xludf.DUMMYFUNCTION("GOOGLETRANSLATE(D:D,""auto"",""en"")"),"April 4 national day of mourning")</f>
        <v>April 4 national day of mourning</v>
      </c>
      <c r="D4702" s="4" t="s">
        <v>7661</v>
      </c>
      <c r="E4702" s="4">
        <v>9002327.0</v>
      </c>
      <c r="F4702" s="4">
        <v>1.0</v>
      </c>
      <c r="G4702" s="4" t="s">
        <v>7662</v>
      </c>
    </row>
    <row r="4703">
      <c r="A4703" s="1">
        <v>4701.0</v>
      </c>
      <c r="B4703" s="4" t="s">
        <v>7723</v>
      </c>
      <c r="C4703" s="4" t="str">
        <f>IFERROR(__xludf.DUMMYFUNCTION("GOOGLETRANSLATE(D:D,""auto"",""en"")"),"Mast at Tiananmen Square")</f>
        <v>Mast at Tiananmen Square</v>
      </c>
      <c r="D4703" s="4" t="s">
        <v>7724</v>
      </c>
      <c r="E4703" s="4">
        <v>8545515.0</v>
      </c>
      <c r="F4703" s="4">
        <v>2.0</v>
      </c>
      <c r="G4703" s="4" t="s">
        <v>7725</v>
      </c>
    </row>
    <row r="4704">
      <c r="A4704" s="1">
        <v>4702.0</v>
      </c>
      <c r="B4704" s="4" t="s">
        <v>7723</v>
      </c>
      <c r="C4704" s="4" t="str">
        <f>IFERROR(__xludf.DUMMYFUNCTION("GOOGLETRANSLATE(D:D,""auto"",""en"")"),"Zhong Nanshan vigil of silence in the office")</f>
        <v>Zhong Nanshan vigil of silence in the office</v>
      </c>
      <c r="D4704" s="4" t="s">
        <v>7726</v>
      </c>
      <c r="E4704" s="4">
        <v>8296842.0</v>
      </c>
      <c r="F4704" s="4">
        <v>3.0</v>
      </c>
      <c r="G4704" s="4" t="s">
        <v>7727</v>
      </c>
    </row>
    <row r="4705">
      <c r="A4705" s="1">
        <v>4703.0</v>
      </c>
      <c r="B4705" s="4" t="s">
        <v>7723</v>
      </c>
      <c r="C4705" s="4" t="str">
        <f>IFERROR(__xludf.DUMMYFUNCTION("GOOGLETRANSLATE(D:D,""auto"",""en"")"),"Xichang sang teenager armed police fire")</f>
        <v>Xichang sang teenager armed police fire</v>
      </c>
      <c r="D4705" s="4" t="s">
        <v>7663</v>
      </c>
      <c r="E4705" s="4">
        <v>8178422.0</v>
      </c>
      <c r="F4705" s="4">
        <v>4.0</v>
      </c>
      <c r="G4705" s="4" t="s">
        <v>7664</v>
      </c>
    </row>
    <row r="4706">
      <c r="A4706" s="1">
        <v>4704.0</v>
      </c>
      <c r="B4706" s="4" t="s">
        <v>7723</v>
      </c>
      <c r="C4706" s="4" t="str">
        <f>IFERROR(__xludf.DUMMYFUNCTION("GOOGLETRANSLATE(D:D,""auto"",""en"")"),"Wuhan Tianhe International Airport to conduct a comprehensive disinfection")</f>
        <v>Wuhan Tianhe International Airport to conduct a comprehensive disinfection</v>
      </c>
      <c r="D4706" s="4" t="s">
        <v>7665</v>
      </c>
      <c r="E4706" s="4">
        <v>7845071.0</v>
      </c>
      <c r="F4706" s="4">
        <v>5.0</v>
      </c>
      <c r="G4706" s="4" t="s">
        <v>7666</v>
      </c>
    </row>
    <row r="4707">
      <c r="A4707" s="1">
        <v>4705.0</v>
      </c>
      <c r="B4707" s="4" t="s">
        <v>7723</v>
      </c>
      <c r="C4707" s="4" t="str">
        <f>IFERROR(__xludf.DUMMYFUNCTION("GOOGLETRANSLATE(D:D,""auto"",""en"")"),"Xichang forest fire sacrifice warrior memorial service")</f>
        <v>Xichang forest fire sacrifice warrior memorial service</v>
      </c>
      <c r="D4707" s="4" t="s">
        <v>7728</v>
      </c>
      <c r="E4707" s="4">
        <v>7559825.0</v>
      </c>
      <c r="F4707" s="4">
        <v>6.0</v>
      </c>
      <c r="G4707" s="4" t="s">
        <v>7729</v>
      </c>
    </row>
    <row r="4708">
      <c r="A4708" s="1">
        <v>4706.0</v>
      </c>
      <c r="B4708" s="4" t="s">
        <v>7723</v>
      </c>
      <c r="C4708" s="4" t="str">
        <f>IFERROR(__xludf.DUMMYFUNCTION("GOOGLETRANSLATE(D:D,""auto"",""en"")"),"Universities around school time")</f>
        <v>Universities around school time</v>
      </c>
      <c r="D4708" s="4" t="s">
        <v>7667</v>
      </c>
      <c r="E4708" s="4">
        <v>7530869.0</v>
      </c>
      <c r="F4708" s="4">
        <v>7.0</v>
      </c>
      <c r="G4708" s="4" t="s">
        <v>7668</v>
      </c>
    </row>
    <row r="4709">
      <c r="A4709" s="1">
        <v>4707.0</v>
      </c>
      <c r="B4709" s="4" t="s">
        <v>7723</v>
      </c>
      <c r="C4709" s="4" t="str">
        <f>IFERROR(__xludf.DUMMYFUNCTION("GOOGLETRANSLATE(D:D,""auto"",""en"")"),"Whistle")</f>
        <v>Whistle</v>
      </c>
      <c r="D4709" s="4" t="s">
        <v>7730</v>
      </c>
      <c r="E4709" s="4">
        <v>7515086.0</v>
      </c>
      <c r="F4709" s="4">
        <v>8.0</v>
      </c>
      <c r="G4709" s="4" t="s">
        <v>7731</v>
      </c>
    </row>
    <row r="4710">
      <c r="A4710" s="1">
        <v>4708.0</v>
      </c>
      <c r="B4710" s="4" t="s">
        <v>7723</v>
      </c>
      <c r="C4710" s="4" t="str">
        <f>IFERROR(__xludf.DUMMYFUNCTION("GOOGLETRANSLATE(D:D,""auto"",""en"")"),"Wuhan continue to strengthen the management of closed cell")</f>
        <v>Wuhan continue to strengthen the management of closed cell</v>
      </c>
      <c r="D4710" s="4" t="s">
        <v>7669</v>
      </c>
      <c r="E4710" s="4">
        <v>7473314.0</v>
      </c>
      <c r="F4710" s="4">
        <v>9.0</v>
      </c>
      <c r="G4710" s="4" t="s">
        <v>7670</v>
      </c>
    </row>
    <row r="4711">
      <c r="A4711" s="1">
        <v>4709.0</v>
      </c>
      <c r="B4711" s="4" t="s">
        <v>7723</v>
      </c>
      <c r="C4711" s="4" t="str">
        <f>IFERROR(__xludf.DUMMYFUNCTION("GOOGLETRANSLATE(D:D,""auto"",""en"")"),"Wuhan Yangtze River Bridge car parking whistle")</f>
        <v>Wuhan Yangtze River Bridge car parking whistle</v>
      </c>
      <c r="D4711" s="4" t="s">
        <v>7732</v>
      </c>
      <c r="E4711" s="4">
        <v>7452285.0</v>
      </c>
      <c r="F4711" s="4">
        <v>10.0</v>
      </c>
      <c r="G4711" s="4" t="s">
        <v>7733</v>
      </c>
    </row>
    <row r="4712">
      <c r="A4712" s="1">
        <v>4710.0</v>
      </c>
      <c r="B4712" s="4" t="s">
        <v>7723</v>
      </c>
      <c r="C4712" s="4" t="str">
        <f>IFERROR(__xludf.DUMMYFUNCTION("GOOGLETRANSLATE(D:D,""auto"",""en"")"),"National People's silence for three minutes")</f>
        <v>National People's silence for three minutes</v>
      </c>
      <c r="D4712" s="4" t="s">
        <v>7734</v>
      </c>
      <c r="E4712" s="4">
        <v>7343582.0</v>
      </c>
      <c r="F4712" s="4">
        <v>11.0</v>
      </c>
      <c r="G4712" s="4" t="s">
        <v>7735</v>
      </c>
    </row>
    <row r="4713">
      <c r="A4713" s="1">
        <v>4711.0</v>
      </c>
      <c r="B4713" s="4" t="s">
        <v>7723</v>
      </c>
      <c r="C4713" s="4" t="str">
        <f>IFERROR(__xludf.DUMMYFUNCTION("GOOGLETRANSLATE(D:D,""auto"",""en"")"),"2020 has lost 13 academicians")</f>
        <v>2020 has lost 13 academicians</v>
      </c>
      <c r="D4713" s="4" t="s">
        <v>7736</v>
      </c>
      <c r="E4713" s="4">
        <v>7339631.0</v>
      </c>
      <c r="F4713" s="4">
        <v>12.0</v>
      </c>
      <c r="G4713" s="4" t="s">
        <v>7737</v>
      </c>
    </row>
    <row r="4714">
      <c r="A4714" s="1">
        <v>4712.0</v>
      </c>
      <c r="B4714" s="4" t="s">
        <v>7723</v>
      </c>
      <c r="C4714" s="4" t="str">
        <f>IFERROR(__xludf.DUMMYFUNCTION("GOOGLETRANSLATE(D:D,""auto"",""en"")"),"More Chinese students sun wellness package")</f>
        <v>More Chinese students sun wellness package</v>
      </c>
      <c r="D4714" s="4" t="s">
        <v>7671</v>
      </c>
      <c r="E4714" s="4">
        <v>7264215.0</v>
      </c>
      <c r="F4714" s="4">
        <v>13.0</v>
      </c>
      <c r="G4714" s="4" t="s">
        <v>7672</v>
      </c>
    </row>
    <row r="4715">
      <c r="A4715" s="1">
        <v>4713.0</v>
      </c>
      <c r="B4715" s="4" t="s">
        <v>7723</v>
      </c>
      <c r="C4715" s="4" t="str">
        <f>IFERROR(__xludf.DUMMYFUNCTION("GOOGLETRANSLATE(D:D,""auto"",""en"")"),"Yunnan closed management of the province's forest")</f>
        <v>Yunnan closed management of the province's forest</v>
      </c>
      <c r="D4715" s="4" t="s">
        <v>7673</v>
      </c>
      <c r="E4715" s="4">
        <v>7234092.0</v>
      </c>
      <c r="F4715" s="4">
        <v>14.0</v>
      </c>
      <c r="G4715" s="4" t="s">
        <v>7674</v>
      </c>
    </row>
    <row r="4716">
      <c r="A4716" s="1">
        <v>4714.0</v>
      </c>
      <c r="B4716" s="4" t="s">
        <v>7723</v>
      </c>
      <c r="C4716" s="4" t="str">
        <f>IFERROR(__xludf.DUMMYFUNCTION("GOOGLETRANSLATE(D:D,""auto"",""en"")"),"Shandong school time")</f>
        <v>Shandong school time</v>
      </c>
      <c r="D4716" s="4" t="s">
        <v>7675</v>
      </c>
      <c r="E4716" s="4">
        <v>7179119.0</v>
      </c>
      <c r="F4716" s="4">
        <v>15.0</v>
      </c>
      <c r="G4716" s="4" t="s">
        <v>7676</v>
      </c>
    </row>
    <row r="4717">
      <c r="A4717" s="1">
        <v>4715.0</v>
      </c>
      <c r="B4717" s="4" t="s">
        <v>7723</v>
      </c>
      <c r="C4717" s="4" t="str">
        <f>IFERROR(__xludf.DUMMYFUNCTION("GOOGLETRANSLATE(D:D,""auto"",""en"")"),"108 people completed the new crown vaccination")</f>
        <v>108 people completed the new crown vaccination</v>
      </c>
      <c r="D4717" s="4" t="s">
        <v>7677</v>
      </c>
      <c r="E4717" s="4">
        <v>7173306.0</v>
      </c>
      <c r="F4717" s="4">
        <v>16.0</v>
      </c>
      <c r="G4717" s="4" t="s">
        <v>7678</v>
      </c>
    </row>
    <row r="4718">
      <c r="A4718" s="1">
        <v>4716.0</v>
      </c>
      <c r="B4718" s="4" t="s">
        <v>7723</v>
      </c>
      <c r="C4718" s="4" t="str">
        <f>IFERROR(__xludf.DUMMYFUNCTION("GOOGLETRANSLATE(D:D,""auto"",""en"")"),"The central bank responded impact of the epidemic on the economy")</f>
        <v>The central bank responded impact of the epidemic on the economy</v>
      </c>
      <c r="D4718" s="4" t="s">
        <v>7679</v>
      </c>
      <c r="E4718" s="4">
        <v>7168989.0</v>
      </c>
      <c r="F4718" s="4">
        <v>17.0</v>
      </c>
      <c r="G4718" s="4" t="s">
        <v>7680</v>
      </c>
    </row>
    <row r="4719">
      <c r="A4719" s="1">
        <v>4717.0</v>
      </c>
      <c r="B4719" s="4" t="s">
        <v>7723</v>
      </c>
      <c r="C4719" s="4" t="str">
        <f>IFERROR(__xludf.DUMMYFUNCTION("GOOGLETRANSLATE(D:D,""auto"",""en"")"),"The Ministry of Education rumor canceled June 4 CET")</f>
        <v>The Ministry of Education rumor canceled June 4 CET</v>
      </c>
      <c r="D4719" s="4" t="s">
        <v>7681</v>
      </c>
      <c r="E4719" s="4">
        <v>7167401.0</v>
      </c>
      <c r="F4719" s="4">
        <v>18.0</v>
      </c>
      <c r="G4719" s="4" t="s">
        <v>7682</v>
      </c>
    </row>
    <row r="4720">
      <c r="A4720" s="1">
        <v>4718.0</v>
      </c>
      <c r="B4720" s="4" t="s">
        <v>7723</v>
      </c>
      <c r="C4720" s="4" t="str">
        <f>IFERROR(__xludf.DUMMYFUNCTION("GOOGLETRANSLATE(D:D,""auto"",""en"")"),"Chinese Embassy in London take a small charter students return")</f>
        <v>Chinese Embassy in London take a small charter students return</v>
      </c>
      <c r="D4720" s="4" t="s">
        <v>7685</v>
      </c>
      <c r="E4720" s="4">
        <v>7162770.0</v>
      </c>
      <c r="F4720" s="4">
        <v>19.0</v>
      </c>
      <c r="G4720" s="4" t="s">
        <v>7686</v>
      </c>
    </row>
    <row r="4721">
      <c r="A4721" s="1">
        <v>4719.0</v>
      </c>
      <c r="B4721" s="4" t="s">
        <v>7723</v>
      </c>
      <c r="C4721" s="4" t="str">
        <f>IFERROR(__xludf.DUMMYFUNCTION("GOOGLETRANSLATE(D:D,""auto"",""en"")"),"Shelter Hospital on Long Sa little sister as about dance")</f>
        <v>Shelter Hospital on Long Sa little sister as about dance</v>
      </c>
      <c r="D4721" s="4" t="s">
        <v>7715</v>
      </c>
      <c r="E4721" s="4">
        <v>7143028.0</v>
      </c>
      <c r="F4721" s="4">
        <v>20.0</v>
      </c>
      <c r="G4721" s="4" t="s">
        <v>7716</v>
      </c>
    </row>
    <row r="4722">
      <c r="A4722" s="1">
        <v>4720.0</v>
      </c>
      <c r="B4722" s="4" t="s">
        <v>7723</v>
      </c>
      <c r="C4722" s="4" t="str">
        <f>IFERROR(__xludf.DUMMYFUNCTION("GOOGLETRANSLATE(D:D,""auto"",""en"")"),"Shanghai Bund 52 building collective half-mast")</f>
        <v>Shanghai Bund 52 building collective half-mast</v>
      </c>
      <c r="D4722" s="4" t="s">
        <v>7738</v>
      </c>
      <c r="E4722" s="4">
        <v>7119041.0</v>
      </c>
      <c r="F4722" s="4">
        <v>21.0</v>
      </c>
      <c r="G4722" s="4" t="s">
        <v>7739</v>
      </c>
    </row>
    <row r="4723">
      <c r="A4723" s="1">
        <v>4721.0</v>
      </c>
      <c r="B4723" s="4" t="s">
        <v>7723</v>
      </c>
      <c r="C4723" s="4" t="str">
        <f>IFERROR(__xludf.DUMMYFUNCTION("GOOGLETRANSLATE(D:D,""auto"",""en"")"),"Fortunately, chairman of Swiss coffee sound")</f>
        <v>Fortunately, chairman of Swiss coffee sound</v>
      </c>
      <c r="D4723" s="4" t="s">
        <v>7657</v>
      </c>
      <c r="E4723" s="4">
        <v>7086275.0</v>
      </c>
      <c r="F4723" s="4">
        <v>22.0</v>
      </c>
      <c r="G4723" s="4" t="s">
        <v>7658</v>
      </c>
    </row>
    <row r="4724">
      <c r="A4724" s="1">
        <v>4722.0</v>
      </c>
      <c r="B4724" s="4" t="s">
        <v>7723</v>
      </c>
      <c r="C4724" s="4" t="str">
        <f>IFERROR(__xludf.DUMMYFUNCTION("GOOGLETRANSLATE(D:D,""auto"",""en"")"),"15 seconds maximum deceleration shock endless belt be opened")</f>
        <v>15 seconds maximum deceleration shock endless belt be opened</v>
      </c>
      <c r="D4724" s="4" t="s">
        <v>7740</v>
      </c>
      <c r="E4724" s="4">
        <v>7076219.0</v>
      </c>
      <c r="F4724" s="4">
        <v>23.0</v>
      </c>
      <c r="G4724" s="4" t="s">
        <v>7741</v>
      </c>
    </row>
    <row r="4725">
      <c r="A4725" s="1">
        <v>4723.0</v>
      </c>
      <c r="B4725" s="4" t="s">
        <v>7723</v>
      </c>
      <c r="C4725" s="4" t="str">
        <f>IFERROR(__xludf.DUMMYFUNCTION("GOOGLETRANSLATE(D:D,""auto"",""en"")"),"4 Wuhan vehicle is stopped three minutes")</f>
        <v>4 Wuhan vehicle is stopped three minutes</v>
      </c>
      <c r="D4725" s="4" t="s">
        <v>7742</v>
      </c>
      <c r="E4725" s="4">
        <v>7020514.0</v>
      </c>
      <c r="F4725" s="4">
        <v>24.0</v>
      </c>
      <c r="G4725" s="4" t="s">
        <v>7743</v>
      </c>
    </row>
    <row r="4726">
      <c r="A4726" s="1">
        <v>4724.0</v>
      </c>
      <c r="B4726" s="4" t="s">
        <v>7723</v>
      </c>
      <c r="C4726" s="4" t="str">
        <f>IFERROR(__xludf.DUMMYFUNCTION("GOOGLETRANSLATE(D:D,""auto"",""en"")"),"Civil Hospital Medical Records kill the murderer was executed")</f>
        <v>Civil Hospital Medical Records kill the murderer was executed</v>
      </c>
      <c r="D4726" s="4" t="s">
        <v>7705</v>
      </c>
      <c r="E4726" s="4">
        <v>6973084.0</v>
      </c>
      <c r="F4726" s="4">
        <v>25.0</v>
      </c>
      <c r="G4726" s="4" t="s">
        <v>7706</v>
      </c>
    </row>
    <row r="4727">
      <c r="A4727" s="1">
        <v>4725.0</v>
      </c>
      <c r="B4727" s="4" t="s">
        <v>7723</v>
      </c>
      <c r="C4727" s="4" t="str">
        <f>IFERROR(__xludf.DUMMYFUNCTION("GOOGLETRANSLATE(D:D,""auto"",""en"")"),"Wuhan half-mast")</f>
        <v>Wuhan half-mast</v>
      </c>
      <c r="D4727" s="4" t="s">
        <v>7744</v>
      </c>
      <c r="E4727" s="4">
        <v>6902531.0</v>
      </c>
      <c r="F4727" s="4">
        <v>26.0</v>
      </c>
      <c r="G4727" s="4" t="s">
        <v>7745</v>
      </c>
    </row>
    <row r="4728">
      <c r="A4728" s="1">
        <v>4726.0</v>
      </c>
      <c r="B4728" s="4" t="s">
        <v>7723</v>
      </c>
      <c r="C4728" s="4" t="str">
        <f>IFERROR(__xludf.DUMMYFUNCTION("GOOGLETRANSLATE(D:D,""auto"",""en"")"),"Underground parking silence")</f>
        <v>Underground parking silence</v>
      </c>
      <c r="D4728" s="4" t="s">
        <v>7746</v>
      </c>
      <c r="E4728" s="4">
        <v>6852638.0</v>
      </c>
      <c r="F4728" s="4">
        <v>27.0</v>
      </c>
      <c r="G4728" s="4" t="s">
        <v>7747</v>
      </c>
    </row>
    <row r="4729">
      <c r="A4729" s="1">
        <v>4727.0</v>
      </c>
      <c r="B4729" s="4" t="s">
        <v>7723</v>
      </c>
      <c r="C4729" s="4" t="str">
        <f>IFERROR(__xludf.DUMMYFUNCTION("GOOGLETRANSLATE(D:D,""auto"",""en"")"),"Wuhan marshland people sang the national anthem")</f>
        <v>Wuhan marshland people sang the national anthem</v>
      </c>
      <c r="D4729" s="4" t="s">
        <v>7748</v>
      </c>
      <c r="E4729" s="4">
        <v>6835086.0</v>
      </c>
      <c r="F4729" s="4">
        <v>28.0</v>
      </c>
      <c r="G4729" s="4" t="s">
        <v>7749</v>
      </c>
    </row>
    <row r="4730">
      <c r="A4730" s="1">
        <v>4728.0</v>
      </c>
      <c r="B4730" s="4" t="s">
        <v>7723</v>
      </c>
      <c r="C4730" s="4" t="str">
        <f>IFERROR(__xludf.DUMMYFUNCTION("GOOGLETRANSLATE(D:D,""auto"",""en"")"),"Wang Wei tomb was sent F-20 model")</f>
        <v>Wang Wei tomb was sent F-20 model</v>
      </c>
      <c r="D4730" s="4" t="s">
        <v>7750</v>
      </c>
      <c r="E4730" s="4">
        <v>6821452.0</v>
      </c>
      <c r="F4730" s="4">
        <v>29.0</v>
      </c>
      <c r="G4730" s="4" t="s">
        <v>7751</v>
      </c>
    </row>
    <row r="4731">
      <c r="A4731" s="1">
        <v>4729.0</v>
      </c>
      <c r="B4731" s="4" t="s">
        <v>7723</v>
      </c>
      <c r="C4731" s="4" t="str">
        <f>IFERROR(__xludf.DUMMYFUNCTION("GOOGLETRANSLATE(D:D,""auto"",""en"")"),"Women cry possession police said her ex-husband at home")</f>
        <v>Women cry possession police said her ex-husband at home</v>
      </c>
      <c r="D4731" s="4" t="s">
        <v>7697</v>
      </c>
      <c r="E4731" s="4">
        <v>6711263.0</v>
      </c>
      <c r="F4731" s="4">
        <v>30.0</v>
      </c>
      <c r="G4731" s="4" t="s">
        <v>7698</v>
      </c>
    </row>
    <row r="4732">
      <c r="A4732" s="1">
        <v>4730.0</v>
      </c>
      <c r="B4732" s="4" t="s">
        <v>7723</v>
      </c>
      <c r="C4732" s="4" t="str">
        <f>IFERROR(__xludf.DUMMYFUNCTION("GOOGLETRANSLATE(D:D,""auto"",""en"")"),"Russian Ambassador to China and the Chinese people a painful silence")</f>
        <v>Russian Ambassador to China and the Chinese people a painful silence</v>
      </c>
      <c r="D4732" s="4" t="s">
        <v>7752</v>
      </c>
      <c r="E4732" s="4">
        <v>6711174.0</v>
      </c>
      <c r="F4732" s="4">
        <v>31.0</v>
      </c>
      <c r="G4732" s="4" t="s">
        <v>7753</v>
      </c>
    </row>
    <row r="4733">
      <c r="A4733" s="1">
        <v>4731.0</v>
      </c>
      <c r="B4733" s="4" t="s">
        <v>7723</v>
      </c>
      <c r="C4733" s="4" t="str">
        <f>IFERROR(__xludf.DUMMYFUNCTION("GOOGLETRANSLATE(D:D,""auto"",""en"")"),"Zhang Dingyu Dean leads a team of silence")</f>
        <v>Zhang Dingyu Dean leads a team of silence</v>
      </c>
      <c r="D4733" s="4" t="s">
        <v>7754</v>
      </c>
      <c r="E4733" s="4">
        <v>6433454.0</v>
      </c>
      <c r="F4733" s="4">
        <v>32.0</v>
      </c>
      <c r="G4733" s="4" t="s">
        <v>7755</v>
      </c>
    </row>
    <row r="4734">
      <c r="A4734" s="1">
        <v>4732.0</v>
      </c>
      <c r="B4734" s="4" t="s">
        <v>7723</v>
      </c>
      <c r="C4734" s="4" t="str">
        <f>IFERROR(__xludf.DUMMYFUNCTION("GOOGLETRANSLATE(D:D,""auto"",""en"")"),"Trump has changed to a")</f>
        <v>Trump has changed to a</v>
      </c>
      <c r="D4734" s="4" t="s">
        <v>7756</v>
      </c>
      <c r="E4734" s="4">
        <v>6326709.0</v>
      </c>
      <c r="F4734" s="4">
        <v>33.0</v>
      </c>
      <c r="G4734" s="4" t="s">
        <v>7757</v>
      </c>
    </row>
    <row r="4735">
      <c r="A4735" s="1">
        <v>4733.0</v>
      </c>
      <c r="B4735" s="4" t="s">
        <v>7723</v>
      </c>
      <c r="C4735" s="4" t="str">
        <f>IFERROR(__xludf.DUMMYFUNCTION("GOOGLETRANSLATE(D:D,""auto"",""en"")"),"Qingming Festival")</f>
        <v>Qingming Festival</v>
      </c>
      <c r="D4735" s="4" t="s">
        <v>7758</v>
      </c>
      <c r="E4735" s="4">
        <v>5992956.0</v>
      </c>
      <c r="F4735" s="4">
        <v>34.0</v>
      </c>
      <c r="G4735" s="4" t="s">
        <v>7759</v>
      </c>
    </row>
    <row r="4736">
      <c r="A4736" s="1">
        <v>4734.0</v>
      </c>
      <c r="B4736" s="4" t="s">
        <v>7723</v>
      </c>
      <c r="C4736" s="4" t="str">
        <f>IFERROR(__xludf.DUMMYFUNCTION("GOOGLETRANSLATE(D:D,""auto"",""en"")"),"Ministry of Agriculture and Rural respond or not to store grain")</f>
        <v>Ministry of Agriculture and Rural respond or not to store grain</v>
      </c>
      <c r="D4736" s="4" t="s">
        <v>7760</v>
      </c>
      <c r="E4736" s="4">
        <v>5971771.0</v>
      </c>
      <c r="F4736" s="4">
        <v>35.0</v>
      </c>
      <c r="G4736" s="4" t="s">
        <v>7761</v>
      </c>
    </row>
    <row r="4737">
      <c r="A4737" s="1">
        <v>4735.0</v>
      </c>
      <c r="B4737" s="4" t="s">
        <v>7723</v>
      </c>
      <c r="C4737" s="4" t="str">
        <f>IFERROR(__xludf.DUMMYFUNCTION("GOOGLETRANSLATE(D:D,""auto"",""en"")"),"Spain new confirmed cases 7026 cases")</f>
        <v>Spain new confirmed cases 7026 cases</v>
      </c>
      <c r="D4737" s="4" t="s">
        <v>7762</v>
      </c>
      <c r="E4737" s="4">
        <v>5946309.0</v>
      </c>
      <c r="F4737" s="4">
        <v>36.0</v>
      </c>
      <c r="G4737" s="4" t="s">
        <v>7763</v>
      </c>
    </row>
    <row r="4738">
      <c r="A4738" s="1">
        <v>4736.0</v>
      </c>
      <c r="B4738" s="4" t="s">
        <v>7723</v>
      </c>
      <c r="C4738" s="4" t="str">
        <f>IFERROR(__xludf.DUMMYFUNCTION("GOOGLETRANSLATE(D:D,""auto"",""en"")"),"19 cases of new confirmed cases nationwide")</f>
        <v>19 cases of new confirmed cases nationwide</v>
      </c>
      <c r="D4738" s="4" t="s">
        <v>5973</v>
      </c>
      <c r="E4738" s="4">
        <v>5931783.0</v>
      </c>
      <c r="F4738" s="4">
        <v>37.0</v>
      </c>
      <c r="G4738" s="4" t="s">
        <v>5974</v>
      </c>
    </row>
    <row r="4739">
      <c r="A4739" s="1">
        <v>4737.0</v>
      </c>
      <c r="B4739" s="4" t="s">
        <v>7723</v>
      </c>
      <c r="C4739" s="4" t="str">
        <f>IFERROR(__xludf.DUMMYFUNCTION("GOOGLETRANSLATE(D:D,""auto"",""en"")"),"United States more than 270,000 confirmed cases")</f>
        <v>United States more than 270,000 confirmed cases</v>
      </c>
      <c r="D4739" s="4" t="s">
        <v>7764</v>
      </c>
      <c r="E4739" s="4">
        <v>5920403.0</v>
      </c>
      <c r="F4739" s="4">
        <v>38.0</v>
      </c>
      <c r="G4739" s="4" t="s">
        <v>7765</v>
      </c>
    </row>
    <row r="4740">
      <c r="A4740" s="1">
        <v>4738.0</v>
      </c>
      <c r="B4740" s="4" t="s">
        <v>7723</v>
      </c>
      <c r="C4740" s="4" t="str">
        <f>IFERROR(__xludf.DUMMYFUNCTION("GOOGLETRANSLATE(D:D,""auto"",""en"")"),"Serbian President thanked the Chinese conference on 3")</f>
        <v>Serbian President thanked the Chinese conference on 3</v>
      </c>
      <c r="D4740" s="4" t="s">
        <v>7766</v>
      </c>
      <c r="E4740" s="4">
        <v>5919955.0</v>
      </c>
      <c r="F4740" s="4">
        <v>39.0</v>
      </c>
      <c r="G4740" s="4" t="s">
        <v>7767</v>
      </c>
    </row>
    <row r="4741">
      <c r="A4741" s="1">
        <v>4739.0</v>
      </c>
      <c r="B4741" s="4" t="s">
        <v>7723</v>
      </c>
      <c r="C4741" s="4" t="str">
        <f>IFERROR(__xludf.DUMMYFUNCTION("GOOGLETRANSLATE(D:D,""auto"",""en"")"),"Since the epidemic had chosen not to use the central grain reserves")</f>
        <v>Since the epidemic had chosen not to use the central grain reserves</v>
      </c>
      <c r="D4741" s="4" t="s">
        <v>7768</v>
      </c>
      <c r="E4741" s="4">
        <v>5512859.0</v>
      </c>
      <c r="F4741" s="4">
        <v>40.0</v>
      </c>
      <c r="G4741" s="4" t="s">
        <v>7769</v>
      </c>
    </row>
    <row r="4742">
      <c r="A4742" s="1">
        <v>4740.0</v>
      </c>
      <c r="B4742" s="4" t="s">
        <v>7723</v>
      </c>
      <c r="C4742" s="4" t="str">
        <f>IFERROR(__xludf.DUMMYFUNCTION("GOOGLETRANSLATE(D:D,""auto"",""en"")"),"After the segregated Check room litter")</f>
        <v>After the segregated Check room litter</v>
      </c>
      <c r="D4742" s="4" t="s">
        <v>7770</v>
      </c>
      <c r="E4742" s="4">
        <v>5486652.0</v>
      </c>
      <c r="F4742" s="4">
        <v>41.0</v>
      </c>
      <c r="G4742" s="4" t="s">
        <v>7771</v>
      </c>
    </row>
    <row r="4743">
      <c r="A4743" s="1">
        <v>4741.0</v>
      </c>
      <c r="B4743" s="4" t="s">
        <v>7723</v>
      </c>
      <c r="C4743" s="4" t="str">
        <f>IFERROR(__xludf.DUMMYFUNCTION("GOOGLETRANSLATE(D:D,""auto"",""en"")"),"Wuhan new one cases of indigenous cases")</f>
        <v>Wuhan new one cases of indigenous cases</v>
      </c>
      <c r="D4743" s="4" t="s">
        <v>7772</v>
      </c>
      <c r="E4743" s="4">
        <v>5453982.0</v>
      </c>
      <c r="F4743" s="4">
        <v>42.0</v>
      </c>
      <c r="G4743" s="4" t="s">
        <v>7773</v>
      </c>
    </row>
    <row r="4744">
      <c r="A4744" s="1">
        <v>4742.0</v>
      </c>
      <c r="B4744" s="4" t="s">
        <v>7723</v>
      </c>
      <c r="C4744" s="4" t="str">
        <f>IFERROR(__xludf.DUMMYFUNCTION("GOOGLETRANSLATE(D:D,""auto"",""en"")"),"Tuscany will test herbs")</f>
        <v>Tuscany will test herbs</v>
      </c>
      <c r="D4744" s="4" t="s">
        <v>7774</v>
      </c>
      <c r="E4744" s="4">
        <v>4881416.0</v>
      </c>
      <c r="F4744" s="4">
        <v>43.0</v>
      </c>
      <c r="G4744" s="4" t="s">
        <v>7775</v>
      </c>
    </row>
    <row r="4745">
      <c r="A4745" s="1">
        <v>4743.0</v>
      </c>
      <c r="B4745" s="4" t="s">
        <v>7723</v>
      </c>
      <c r="C4745" s="4" t="str">
        <f>IFERROR(__xludf.DUMMYFUNCTION("GOOGLETRANSLATE(D:D,""auto"",""en"")"),"Metro public silence")</f>
        <v>Metro public silence</v>
      </c>
      <c r="D4745" s="4" t="s">
        <v>7776</v>
      </c>
      <c r="E4745" s="4">
        <v>4661218.0</v>
      </c>
      <c r="F4745" s="4">
        <v>44.0</v>
      </c>
      <c r="G4745" s="4" t="s">
        <v>7777</v>
      </c>
    </row>
    <row r="4746">
      <c r="A4746" s="1">
        <v>4744.0</v>
      </c>
      <c r="B4746" s="4" t="s">
        <v>7723</v>
      </c>
      <c r="C4746" s="4" t="str">
        <f>IFERROR(__xludf.DUMMYFUNCTION("GOOGLETRANSLATE(D:D,""auto"",""en"")"),"Baicheng sandstorm")</f>
        <v>Baicheng sandstorm</v>
      </c>
      <c r="D4746" s="4" t="s">
        <v>7711</v>
      </c>
      <c r="E4746" s="4">
        <v>4574994.0</v>
      </c>
      <c r="F4746" s="4">
        <v>45.0</v>
      </c>
      <c r="G4746" s="4" t="s">
        <v>7712</v>
      </c>
    </row>
    <row r="4747">
      <c r="A4747" s="1">
        <v>4745.0</v>
      </c>
      <c r="B4747" s="4" t="s">
        <v>7723</v>
      </c>
      <c r="C4747" s="4" t="str">
        <f>IFERROR(__xludf.DUMMYFUNCTION("GOOGLETRANSLATE(D:D,""auto"",""en"")"),"Washington Post criticized Pompeo")</f>
        <v>Washington Post criticized Pompeo</v>
      </c>
      <c r="D4747" s="4" t="s">
        <v>7778</v>
      </c>
      <c r="E4747" s="4">
        <v>4558228.0</v>
      </c>
      <c r="F4747" s="4">
        <v>46.0</v>
      </c>
      <c r="G4747" s="4" t="s">
        <v>7779</v>
      </c>
    </row>
    <row r="4748">
      <c r="A4748" s="1">
        <v>4746.0</v>
      </c>
      <c r="B4748" s="4" t="s">
        <v>7723</v>
      </c>
      <c r="C4748" s="4" t="str">
        <f>IFERROR(__xludf.DUMMYFUNCTION("GOOGLETRANSLATE(D:D,""auto"",""en"")"),"Multinational Embassy lowered to half mast")</f>
        <v>Multinational Embassy lowered to half mast</v>
      </c>
      <c r="D4748" s="4" t="s">
        <v>7780</v>
      </c>
      <c r="E4748" s="4">
        <v>4139427.0</v>
      </c>
      <c r="F4748" s="4">
        <v>47.0</v>
      </c>
      <c r="G4748" s="4" t="s">
        <v>7781</v>
      </c>
    </row>
    <row r="4749">
      <c r="A4749" s="1">
        <v>4747.0</v>
      </c>
      <c r="B4749" s="4" t="s">
        <v>7723</v>
      </c>
      <c r="C4749" s="4" t="str">
        <f>IFERROR(__xludf.DUMMYFUNCTION("GOOGLETRANSLATE(D:D,""auto"",""en"")"),"Wuhan citizens reluctant to leave")</f>
        <v>Wuhan citizens reluctant to leave</v>
      </c>
      <c r="D4749" s="4" t="s">
        <v>7782</v>
      </c>
      <c r="E4749" s="4">
        <v>4137293.0</v>
      </c>
      <c r="F4749" s="4">
        <v>48.0</v>
      </c>
      <c r="G4749" s="4" t="s">
        <v>7783</v>
      </c>
    </row>
    <row r="4750">
      <c r="A4750" s="1">
        <v>4748.0</v>
      </c>
      <c r="B4750" s="4" t="s">
        <v>7723</v>
      </c>
      <c r="C4750" s="4" t="str">
        <f>IFERROR(__xludf.DUMMYFUNCTION("GOOGLETRANSLATE(D:D,""auto"",""en"")"),"Beijing non-graduating class does not account for weekend and summer")</f>
        <v>Beijing non-graduating class does not account for weekend and summer</v>
      </c>
      <c r="D4750" s="4" t="s">
        <v>7784</v>
      </c>
      <c r="E4750" s="4">
        <v>4137158.0</v>
      </c>
      <c r="F4750" s="4">
        <v>49.0</v>
      </c>
      <c r="G4750" s="4" t="s">
        <v>7785</v>
      </c>
    </row>
    <row r="4751">
      <c r="A4751" s="1">
        <v>4749.0</v>
      </c>
      <c r="B4751" s="4" t="s">
        <v>7723</v>
      </c>
      <c r="C4751" s="4" t="str">
        <f>IFERROR(__xludf.DUMMYFUNCTION("GOOGLETRANSLATE(D:D,""auto"",""en"")"),"Wuhan citizens river Sahua mourn")</f>
        <v>Wuhan citizens river Sahua mourn</v>
      </c>
      <c r="D4751" s="4" t="s">
        <v>7786</v>
      </c>
      <c r="E4751" s="4">
        <v>4088361.0</v>
      </c>
      <c r="F4751" s="4">
        <v>50.0</v>
      </c>
      <c r="G4751" s="4" t="s">
        <v>7787</v>
      </c>
    </row>
    <row r="4752">
      <c r="A4752" s="1">
        <v>4750.0</v>
      </c>
      <c r="B4752" s="4" t="s">
        <v>7788</v>
      </c>
      <c r="C4752" s="4" t="str">
        <f>IFERROR(__xludf.DUMMYFUNCTION("GOOGLETRANSLATE(D:D,""auto"",""en"")"),"Cardiac arrest care originally planned to go home to 5 am")</f>
        <v>Cardiac arrest care originally planned to go home to 5 am</v>
      </c>
      <c r="D4752" s="4" t="s">
        <v>7789</v>
      </c>
      <c r="E4752" s="4">
        <v>9846151.0</v>
      </c>
      <c r="F4752" s="4">
        <v>1.0</v>
      </c>
      <c r="G4752" s="4" t="s">
        <v>7790</v>
      </c>
    </row>
    <row r="4753">
      <c r="A4753" s="1">
        <v>4751.0</v>
      </c>
      <c r="B4753" s="4" t="s">
        <v>7788</v>
      </c>
      <c r="C4753" s="4" t="str">
        <f>IFERROR(__xludf.DUMMYFUNCTION("GOOGLETRANSLATE(D:D,""auto"",""en"")"),"Beijing primary and secondary school final exam may not increase the difficulty")</f>
        <v>Beijing primary and secondary school final exam may not increase the difficulty</v>
      </c>
      <c r="D4753" s="4" t="s">
        <v>7791</v>
      </c>
      <c r="E4753" s="4">
        <v>9360485.0</v>
      </c>
      <c r="F4753" s="4">
        <v>2.0</v>
      </c>
      <c r="G4753" s="4" t="s">
        <v>7792</v>
      </c>
    </row>
    <row r="4754">
      <c r="A4754" s="1">
        <v>4752.0</v>
      </c>
      <c r="B4754" s="4" t="s">
        <v>7788</v>
      </c>
      <c r="C4754" s="4" t="str">
        <f>IFERROR(__xludf.DUMMYFUNCTION("GOOGLETRANSLATE(D:D,""auto"",""en"")"),"New global number of cases for the first time over a single day 100,000")</f>
        <v>New global number of cases for the first time over a single day 100,000</v>
      </c>
      <c r="D4754" s="4" t="s">
        <v>7793</v>
      </c>
      <c r="E4754" s="4">
        <v>9326584.0</v>
      </c>
      <c r="F4754" s="4">
        <v>3.0</v>
      </c>
      <c r="G4754" s="4" t="s">
        <v>7794</v>
      </c>
    </row>
    <row r="4755">
      <c r="A4755" s="1">
        <v>4753.0</v>
      </c>
      <c r="B4755" s="4" t="s">
        <v>7788</v>
      </c>
      <c r="C4755" s="4" t="str">
        <f>IFERROR(__xludf.DUMMYFUNCTION("GOOGLETRANSLATE(D:D,""auto"",""en"")"),"Women diagnosed conceal symptoms resolve after isolation")</f>
        <v>Women diagnosed conceal symptoms resolve after isolation</v>
      </c>
      <c r="D4755" s="4" t="s">
        <v>7795</v>
      </c>
      <c r="E4755" s="4">
        <v>8943780.0</v>
      </c>
      <c r="F4755" s="4">
        <v>4.0</v>
      </c>
      <c r="G4755" s="4" t="s">
        <v>7796</v>
      </c>
    </row>
    <row r="4756">
      <c r="A4756" s="1">
        <v>4754.0</v>
      </c>
      <c r="B4756" s="4" t="s">
        <v>7788</v>
      </c>
      <c r="C4756" s="4" t="str">
        <f>IFERROR(__xludf.DUMMYFUNCTION("GOOGLETRANSLATE(D:D,""auto"",""en"")"),"Li Jia Hang hop dance question mark")</f>
        <v>Li Jia Hang hop dance question mark</v>
      </c>
      <c r="D4756" s="4" t="s">
        <v>7797</v>
      </c>
      <c r="E4756" s="4">
        <v>8867469.0</v>
      </c>
      <c r="F4756" s="4">
        <v>5.0</v>
      </c>
      <c r="G4756" s="4" t="s">
        <v>7798</v>
      </c>
    </row>
    <row r="4757">
      <c r="A4757" s="1">
        <v>4755.0</v>
      </c>
      <c r="B4757" s="4" t="s">
        <v>7788</v>
      </c>
      <c r="C4757" s="4" t="str">
        <f>IFERROR(__xludf.DUMMYFUNCTION("GOOGLETRANSLATE(D:D,""auto"",""en"")"),"Published involved because people mourn inappropriate remarks to be processed")</f>
        <v>Published involved because people mourn inappropriate remarks to be processed</v>
      </c>
      <c r="D4757" s="4" t="s">
        <v>7799</v>
      </c>
      <c r="E4757" s="4">
        <v>8826580.0</v>
      </c>
      <c r="F4757" s="4">
        <v>6.0</v>
      </c>
      <c r="G4757" s="4" t="s">
        <v>7800</v>
      </c>
    </row>
    <row r="4758">
      <c r="A4758" s="1">
        <v>4756.0</v>
      </c>
      <c r="B4758" s="4" t="s">
        <v>7788</v>
      </c>
      <c r="C4758" s="4" t="str">
        <f>IFERROR(__xludf.DUMMYFUNCTION("GOOGLETRANSLATE(D:D,""auto"",""en"")"),"An informed the State Department commissioned Chenzhou derailment accident")</f>
        <v>An informed the State Department commissioned Chenzhou derailment accident</v>
      </c>
      <c r="D4758" s="4" t="s">
        <v>7801</v>
      </c>
      <c r="E4758" s="4">
        <v>8675779.0</v>
      </c>
      <c r="F4758" s="4">
        <v>7.0</v>
      </c>
      <c r="G4758" s="4" t="s">
        <v>7802</v>
      </c>
    </row>
    <row r="4759">
      <c r="A4759" s="1">
        <v>4757.0</v>
      </c>
      <c r="B4759" s="4" t="s">
        <v>7788</v>
      </c>
      <c r="C4759" s="4" t="str">
        <f>IFERROR(__xludf.DUMMYFUNCTION("GOOGLETRANSLATE(D:D,""auto"",""en"")"),"Fortunately, the Swiss coffee apology")</f>
        <v>Fortunately, the Swiss coffee apology</v>
      </c>
      <c r="D4759" s="4" t="s">
        <v>7803</v>
      </c>
      <c r="E4759" s="4">
        <v>8592936.0</v>
      </c>
      <c r="F4759" s="4">
        <v>8.0</v>
      </c>
      <c r="G4759" s="4" t="s">
        <v>7804</v>
      </c>
    </row>
    <row r="4760">
      <c r="A4760" s="1">
        <v>4758.0</v>
      </c>
      <c r="B4760" s="4" t="s">
        <v>7788</v>
      </c>
      <c r="C4760" s="4" t="str">
        <f>IFERROR(__xludf.DUMMYFUNCTION("GOOGLETRANSLATE(D:D,""auto"",""en"")"),"Shandong 1-year-old girl identified as asymptomatic infection")</f>
        <v>Shandong 1-year-old girl identified as asymptomatic infection</v>
      </c>
      <c r="D4760" s="4" t="s">
        <v>7805</v>
      </c>
      <c r="E4760" s="4">
        <v>8549534.0</v>
      </c>
      <c r="F4760" s="4">
        <v>9.0</v>
      </c>
      <c r="G4760" s="4" t="s">
        <v>7806</v>
      </c>
    </row>
    <row r="4761">
      <c r="A4761" s="1">
        <v>4759.0</v>
      </c>
      <c r="B4761" s="4" t="s">
        <v>7788</v>
      </c>
      <c r="C4761" s="4" t="str">
        <f>IFERROR(__xludf.DUMMYFUNCTION("GOOGLETRANSLATE(D:D,""auto"",""en"")"),"Beijing may be in a longer period of epidemic prevention and control state")</f>
        <v>Beijing may be in a longer period of epidemic prevention and control state</v>
      </c>
      <c r="D4761" s="4" t="s">
        <v>7807</v>
      </c>
      <c r="E4761" s="4">
        <v>8545118.0</v>
      </c>
      <c r="F4761" s="4">
        <v>10.0</v>
      </c>
      <c r="G4761" s="4" t="s">
        <v>7808</v>
      </c>
    </row>
    <row r="4762">
      <c r="A4762" s="1">
        <v>4760.0</v>
      </c>
      <c r="B4762" s="4" t="s">
        <v>7788</v>
      </c>
      <c r="C4762" s="4" t="str">
        <f>IFERROR(__xludf.DUMMYFUNCTION("GOOGLETRANSLATE(D:D,""auto"",""en"")"),"iPhone 12 or the scheduled release")</f>
        <v>iPhone 12 or the scheduled release</v>
      </c>
      <c r="D4762" s="4" t="s">
        <v>7809</v>
      </c>
      <c r="E4762" s="4">
        <v>8481440.0</v>
      </c>
      <c r="F4762" s="4">
        <v>11.0</v>
      </c>
      <c r="G4762" s="4" t="s">
        <v>7810</v>
      </c>
    </row>
    <row r="4763">
      <c r="A4763" s="1">
        <v>4761.0</v>
      </c>
      <c r="B4763" s="4" t="s">
        <v>7788</v>
      </c>
      <c r="C4763" s="4" t="str">
        <f>IFERROR(__xludf.DUMMYFUNCTION("GOOGLETRANSLATE(D:D,""auto"",""en"")"),"Zhong Nanshan, urged the public to continue to keep their distance")</f>
        <v>Zhong Nanshan, urged the public to continue to keep their distance</v>
      </c>
      <c r="D4763" s="4" t="s">
        <v>7811</v>
      </c>
      <c r="E4763" s="4">
        <v>8101758.0</v>
      </c>
      <c r="F4763" s="4">
        <v>12.0</v>
      </c>
      <c r="G4763" s="4" t="s">
        <v>7812</v>
      </c>
    </row>
    <row r="4764">
      <c r="A4764" s="1">
        <v>4762.0</v>
      </c>
      <c r="B4764" s="4" t="s">
        <v>7788</v>
      </c>
      <c r="C4764" s="4" t="str">
        <f>IFERROR(__xludf.DUMMYFUNCTION("GOOGLETRANSLATE(D:D,""auto"",""en"")"),"Guangdong new five cases of indigenous cases")</f>
        <v>Guangdong new five cases of indigenous cases</v>
      </c>
      <c r="D4764" s="4" t="s">
        <v>7813</v>
      </c>
      <c r="E4764" s="4">
        <v>8071585.0</v>
      </c>
      <c r="F4764" s="4">
        <v>13.0</v>
      </c>
      <c r="G4764" s="4" t="s">
        <v>7814</v>
      </c>
    </row>
    <row r="4765">
      <c r="A4765" s="1">
        <v>4763.0</v>
      </c>
      <c r="B4765" s="4" t="s">
        <v>7788</v>
      </c>
      <c r="C4765" s="4" t="str">
        <f>IFERROR(__xludf.DUMMYFUNCTION("GOOGLETRANSLATE(D:D,""auto"",""en"")"),"Tan Ge Guan Xiaotong's flight attendants")</f>
        <v>Tan Ge Guan Xiaotong's flight attendants</v>
      </c>
      <c r="D4765" s="4" t="s">
        <v>7815</v>
      </c>
      <c r="E4765" s="4">
        <v>7821683.0</v>
      </c>
      <c r="F4765" s="4">
        <v>14.0</v>
      </c>
      <c r="G4765" s="4" t="s">
        <v>7816</v>
      </c>
    </row>
    <row r="4766">
      <c r="A4766" s="1">
        <v>4764.0</v>
      </c>
      <c r="B4766" s="4" t="s">
        <v>7788</v>
      </c>
      <c r="C4766" s="4" t="str">
        <f>IFERROR(__xludf.DUMMYFUNCTION("GOOGLETRANSLATE(D:D,""auto"",""en"")"),"Nortel 7 Professional direct admission by the university entrance exam")</f>
        <v>Nortel 7 Professional direct admission by the university entrance exam</v>
      </c>
      <c r="D4766" s="4" t="s">
        <v>7817</v>
      </c>
      <c r="E4766" s="4">
        <v>7726392.0</v>
      </c>
      <c r="F4766" s="4">
        <v>15.0</v>
      </c>
      <c r="G4766" s="4" t="s">
        <v>7818</v>
      </c>
    </row>
    <row r="4767">
      <c r="A4767" s="1">
        <v>4765.0</v>
      </c>
      <c r="B4767" s="4" t="s">
        <v>7788</v>
      </c>
      <c r="C4767" s="4" t="str">
        <f>IFERROR(__xludf.DUMMYFUNCTION("GOOGLETRANSLATE(D:D,""auto"",""en"")"),"Beijing a new imported cases had been staying in the area")</f>
        <v>Beijing a new imported cases had been staying in the area</v>
      </c>
      <c r="D4767" s="4" t="s">
        <v>7819</v>
      </c>
      <c r="E4767" s="4">
        <v>7693349.0</v>
      </c>
      <c r="F4767" s="4">
        <v>16.0</v>
      </c>
      <c r="G4767" s="4" t="s">
        <v>7820</v>
      </c>
    </row>
    <row r="4768">
      <c r="A4768" s="1">
        <v>4766.0</v>
      </c>
      <c r="B4768" s="4" t="s">
        <v>7788</v>
      </c>
      <c r="C4768" s="4" t="str">
        <f>IFERROR(__xludf.DUMMYFUNCTION("GOOGLETRANSLATE(D:D,""auto"",""en"")"),"Shandong, Hubei and returned to Lu nurse aid sudden cardiac arrest")</f>
        <v>Shandong, Hubei and returned to Lu nurse aid sudden cardiac arrest</v>
      </c>
      <c r="D4768" s="4" t="s">
        <v>7821</v>
      </c>
      <c r="E4768" s="4">
        <v>7688146.0</v>
      </c>
      <c r="F4768" s="4">
        <v>17.0</v>
      </c>
      <c r="G4768" s="4" t="s">
        <v>7822</v>
      </c>
    </row>
    <row r="4769">
      <c r="A4769" s="1">
        <v>4767.0</v>
      </c>
      <c r="B4769" s="4" t="s">
        <v>7788</v>
      </c>
      <c r="C4769" s="4" t="str">
        <f>IFERROR(__xludf.DUMMYFUNCTION("GOOGLETRANSLATE(D:D,""auto"",""en"")"),"British 5G base station arson")</f>
        <v>British 5G base station arson</v>
      </c>
      <c r="D4769" s="4" t="s">
        <v>7823</v>
      </c>
      <c r="E4769" s="4">
        <v>7684489.0</v>
      </c>
      <c r="F4769" s="4">
        <v>18.0</v>
      </c>
      <c r="G4769" s="4" t="s">
        <v>7824</v>
      </c>
    </row>
    <row r="4770">
      <c r="A4770" s="1">
        <v>4768.0</v>
      </c>
      <c r="B4770" s="4" t="s">
        <v>7788</v>
      </c>
      <c r="C4770" s="4" t="str">
        <f>IFERROR(__xludf.DUMMYFUNCTION("GOOGLETRANSLATE(D:D,""auto"",""en"")"),"China shipped back to the UK from an entire aircraft shielding materials")</f>
        <v>China shipped back to the UK from an entire aircraft shielding materials</v>
      </c>
      <c r="D4770" s="4" t="s">
        <v>7825</v>
      </c>
      <c r="E4770" s="4">
        <v>7684466.0</v>
      </c>
      <c r="F4770" s="4">
        <v>19.0</v>
      </c>
      <c r="G4770" s="4" t="s">
        <v>7826</v>
      </c>
    </row>
    <row r="4771">
      <c r="A4771" s="1">
        <v>4769.0</v>
      </c>
      <c r="B4771" s="4" t="s">
        <v>7788</v>
      </c>
      <c r="C4771" s="4" t="str">
        <f>IFERROR(__xludf.DUMMYFUNCTION("GOOGLETRANSLATE(D:D,""auto"",""en"")"),"New York police over 2,000 people diagnosed")</f>
        <v>New York police over 2,000 people diagnosed</v>
      </c>
      <c r="D4771" s="4" t="s">
        <v>7827</v>
      </c>
      <c r="E4771" s="4">
        <v>7684287.0</v>
      </c>
      <c r="F4771" s="4">
        <v>20.0</v>
      </c>
      <c r="G4771" s="4" t="s">
        <v>7828</v>
      </c>
    </row>
    <row r="4772">
      <c r="A4772" s="1">
        <v>4770.0</v>
      </c>
      <c r="B4772" s="4" t="s">
        <v>7788</v>
      </c>
      <c r="C4772" s="4" t="str">
        <f>IFERROR(__xludf.DUMMYFUNCTION("GOOGLETRANSLATE(D:D,""auto"",""en"")"),"Heilongjiang new 13 cases of imported cases in Russia")</f>
        <v>Heilongjiang new 13 cases of imported cases in Russia</v>
      </c>
      <c r="D4772" s="4" t="s">
        <v>7829</v>
      </c>
      <c r="E4772" s="4">
        <v>7684264.0</v>
      </c>
      <c r="F4772" s="4">
        <v>21.0</v>
      </c>
      <c r="G4772" s="4" t="s">
        <v>7830</v>
      </c>
    </row>
    <row r="4773">
      <c r="A4773" s="1">
        <v>4771.0</v>
      </c>
      <c r="B4773" s="4" t="s">
        <v>7788</v>
      </c>
      <c r="C4773" s="4" t="str">
        <f>IFERROR(__xludf.DUMMYFUNCTION("GOOGLETRANSLATE(D:D,""auto"",""en"")"),"The number of new US crown pneumonia diagnosed over 300,000")</f>
        <v>The number of new US crown pneumonia diagnosed over 300,000</v>
      </c>
      <c r="D4773" s="4" t="s">
        <v>7831</v>
      </c>
      <c r="E4773" s="4">
        <v>7684198.0</v>
      </c>
      <c r="F4773" s="4">
        <v>22.0</v>
      </c>
      <c r="G4773" s="4" t="s">
        <v>7832</v>
      </c>
    </row>
    <row r="4774">
      <c r="A4774" s="1">
        <v>4772.0</v>
      </c>
      <c r="B4774" s="4" t="s">
        <v>7788</v>
      </c>
      <c r="C4774" s="4" t="str">
        <f>IFERROR(__xludf.DUMMYFUNCTION("GOOGLETRANSLATE(D:D,""auto"",""en"")"),"France ordered from China nearly two billion masks")</f>
        <v>France ordered from China nearly two billion masks</v>
      </c>
      <c r="D4774" s="4" t="s">
        <v>7833</v>
      </c>
      <c r="E4774" s="4">
        <v>7684196.0</v>
      </c>
      <c r="F4774" s="4">
        <v>23.0</v>
      </c>
      <c r="G4774" s="4" t="s">
        <v>7834</v>
      </c>
    </row>
    <row r="4775">
      <c r="A4775" s="1">
        <v>4773.0</v>
      </c>
      <c r="B4775" s="4" t="s">
        <v>7788</v>
      </c>
      <c r="C4775" s="4" t="str">
        <f>IFERROR(__xludf.DUMMYFUNCTION("GOOGLETRANSLATE(D:D,""auto"",""en"")"),"Wuhan citizens reluctant to leave")</f>
        <v>Wuhan citizens reluctant to leave</v>
      </c>
      <c r="D4775" s="4" t="s">
        <v>7782</v>
      </c>
      <c r="E4775" s="4">
        <v>7684194.0</v>
      </c>
      <c r="F4775" s="4">
        <v>24.0</v>
      </c>
      <c r="G4775" s="4" t="s">
        <v>7783</v>
      </c>
    </row>
    <row r="4776">
      <c r="A4776" s="1">
        <v>4774.0</v>
      </c>
      <c r="B4776" s="4" t="s">
        <v>7788</v>
      </c>
      <c r="C4776" s="4" t="str">
        <f>IFERROR(__xludf.DUMMYFUNCTION("GOOGLETRANSLATE(D:D,""auto"",""en"")"),"2020 has lost 13 academicians")</f>
        <v>2020 has lost 13 academicians</v>
      </c>
      <c r="D4776" s="4" t="s">
        <v>7736</v>
      </c>
      <c r="E4776" s="4">
        <v>7684193.0</v>
      </c>
      <c r="F4776" s="4">
        <v>25.0</v>
      </c>
      <c r="G4776" s="4" t="s">
        <v>7737</v>
      </c>
    </row>
    <row r="4777">
      <c r="A4777" s="1">
        <v>4775.0</v>
      </c>
      <c r="B4777" s="4" t="s">
        <v>7788</v>
      </c>
      <c r="C4777" s="4" t="str">
        <f>IFERROR(__xludf.DUMMYFUNCTION("GOOGLETRANSLATE(D:D,""auto"",""en"")"),"Shanghai Bund 52 building collective half-mast")</f>
        <v>Shanghai Bund 52 building collective half-mast</v>
      </c>
      <c r="D4777" s="4" t="s">
        <v>7738</v>
      </c>
      <c r="E4777" s="4">
        <v>7684193.0</v>
      </c>
      <c r="F4777" s="4">
        <v>26.0</v>
      </c>
      <c r="G4777" s="4" t="s">
        <v>7739</v>
      </c>
    </row>
    <row r="4778">
      <c r="A4778" s="1">
        <v>4776.0</v>
      </c>
      <c r="B4778" s="4" t="s">
        <v>7788</v>
      </c>
      <c r="C4778" s="4" t="str">
        <f>IFERROR(__xludf.DUMMYFUNCTION("GOOGLETRANSLATE(D:D,""auto"",""en"")"),"Mast at Tiananmen Square")</f>
        <v>Mast at Tiananmen Square</v>
      </c>
      <c r="D4778" s="4" t="s">
        <v>7724</v>
      </c>
      <c r="E4778" s="4">
        <v>7684193.0</v>
      </c>
      <c r="F4778" s="4">
        <v>27.0</v>
      </c>
      <c r="G4778" s="4" t="s">
        <v>7725</v>
      </c>
    </row>
    <row r="4779">
      <c r="A4779" s="1">
        <v>4777.0</v>
      </c>
      <c r="B4779" s="4" t="s">
        <v>7788</v>
      </c>
      <c r="C4779" s="4" t="str">
        <f>IFERROR(__xludf.DUMMYFUNCTION("GOOGLETRANSLATE(D:D,""auto"",""en"")"),"Wuhan Yangtze River Bridge car parking whistle")</f>
        <v>Wuhan Yangtze River Bridge car parking whistle</v>
      </c>
      <c r="D4779" s="4" t="s">
        <v>7732</v>
      </c>
      <c r="E4779" s="4">
        <v>7684193.0</v>
      </c>
      <c r="F4779" s="4">
        <v>28.0</v>
      </c>
      <c r="G4779" s="4" t="s">
        <v>7733</v>
      </c>
    </row>
    <row r="4780">
      <c r="A4780" s="1">
        <v>4778.0</v>
      </c>
      <c r="B4780" s="4" t="s">
        <v>7788</v>
      </c>
      <c r="C4780" s="4" t="str">
        <f>IFERROR(__xludf.DUMMYFUNCTION("GOOGLETRANSLATE(D:D,""auto"",""en"")"),"Wang Wei tomb was sent F-20 model")</f>
        <v>Wang Wei tomb was sent F-20 model</v>
      </c>
      <c r="D4780" s="4" t="s">
        <v>7750</v>
      </c>
      <c r="E4780" s="4">
        <v>7684193.0</v>
      </c>
      <c r="F4780" s="4">
        <v>29.0</v>
      </c>
      <c r="G4780" s="4" t="s">
        <v>7751</v>
      </c>
    </row>
    <row r="4781">
      <c r="A4781" s="1">
        <v>4779.0</v>
      </c>
      <c r="B4781" s="4" t="s">
        <v>7788</v>
      </c>
      <c r="C4781" s="4" t="str">
        <f>IFERROR(__xludf.DUMMYFUNCTION("GOOGLETRANSLATE(D:D,""auto"",""en"")"),"Shoe factory workers suspected masks masks")</f>
        <v>Shoe factory workers suspected masks masks</v>
      </c>
      <c r="D4781" s="4" t="s">
        <v>7835</v>
      </c>
      <c r="E4781" s="4">
        <v>7684193.0</v>
      </c>
      <c r="F4781" s="4">
        <v>30.0</v>
      </c>
      <c r="G4781" s="4" t="s">
        <v>7836</v>
      </c>
    </row>
    <row r="4782">
      <c r="A4782" s="1">
        <v>4780.0</v>
      </c>
      <c r="B4782" s="4" t="s">
        <v>7788</v>
      </c>
      <c r="C4782" s="4" t="str">
        <f>IFERROR(__xludf.DUMMYFUNCTION("GOOGLETRANSLATE(D:D,""auto"",""en"")"),"Xichang forest fire sacrifice warrior memorial service")</f>
        <v>Xichang forest fire sacrifice warrior memorial service</v>
      </c>
      <c r="D4782" s="4" t="s">
        <v>7728</v>
      </c>
      <c r="E4782" s="4">
        <v>7684193.0</v>
      </c>
      <c r="F4782" s="4">
        <v>31.0</v>
      </c>
      <c r="G4782" s="4" t="s">
        <v>7729</v>
      </c>
    </row>
    <row r="4783">
      <c r="A4783" s="1">
        <v>4781.0</v>
      </c>
      <c r="B4783" s="4" t="s">
        <v>7788</v>
      </c>
      <c r="C4783" s="4" t="str">
        <f>IFERROR(__xludf.DUMMYFUNCTION("GOOGLETRANSLATE(D:D,""auto"",""en"")"),"Whistle")</f>
        <v>Whistle</v>
      </c>
      <c r="D4783" s="4" t="s">
        <v>7730</v>
      </c>
      <c r="E4783" s="4">
        <v>7684193.0</v>
      </c>
      <c r="F4783" s="4">
        <v>32.0</v>
      </c>
      <c r="G4783" s="4" t="s">
        <v>7731</v>
      </c>
    </row>
    <row r="4784">
      <c r="A4784" s="1">
        <v>4782.0</v>
      </c>
      <c r="B4784" s="4" t="s">
        <v>7788</v>
      </c>
      <c r="C4784" s="4" t="str">
        <f>IFERROR(__xludf.DUMMYFUNCTION("GOOGLETRANSLATE(D:D,""auto"",""en"")"),"Huangshan scenic area of ​​20,000 tourists stop ticketing")</f>
        <v>Huangshan scenic area of ​​20,000 tourists stop ticketing</v>
      </c>
      <c r="D4784" s="4" t="s">
        <v>7837</v>
      </c>
      <c r="E4784" s="4">
        <v>7684193.0</v>
      </c>
      <c r="F4784" s="4">
        <v>33.0</v>
      </c>
      <c r="G4784" s="4" t="s">
        <v>7838</v>
      </c>
    </row>
    <row r="4785">
      <c r="A4785" s="1">
        <v>4783.0</v>
      </c>
      <c r="B4785" s="4" t="s">
        <v>7788</v>
      </c>
      <c r="C4785" s="4" t="str">
        <f>IFERROR(__xludf.DUMMYFUNCTION("GOOGLETRANSLATE(D:D,""auto"",""en"")"),"National new cases of 30 cases")</f>
        <v>National new cases of 30 cases</v>
      </c>
      <c r="D4785" s="4" t="s">
        <v>7839</v>
      </c>
      <c r="E4785" s="4">
        <v>7566545.0</v>
      </c>
      <c r="F4785" s="4">
        <v>34.0</v>
      </c>
      <c r="G4785" s="4" t="s">
        <v>7840</v>
      </c>
    </row>
    <row r="4786">
      <c r="A4786" s="1">
        <v>4784.0</v>
      </c>
      <c r="B4786" s="4" t="s">
        <v>7788</v>
      </c>
      <c r="C4786" s="4" t="str">
        <f>IFERROR(__xludf.DUMMYFUNCTION("GOOGLETRANSLATE(D:D,""auto"",""en"")"),"2020 Imperial Palace for the first time live")</f>
        <v>2020 Imperial Palace for the first time live</v>
      </c>
      <c r="D4786" s="4" t="s">
        <v>7841</v>
      </c>
      <c r="E4786" s="4">
        <v>7515439.0</v>
      </c>
      <c r="F4786" s="4">
        <v>35.0</v>
      </c>
      <c r="G4786" s="4" t="s">
        <v>7842</v>
      </c>
    </row>
    <row r="4787">
      <c r="A4787" s="1">
        <v>4785.0</v>
      </c>
      <c r="B4787" s="4" t="s">
        <v>7788</v>
      </c>
      <c r="C4787" s="4" t="str">
        <f>IFERROR(__xludf.DUMMYFUNCTION("GOOGLETRANSLATE(D:D,""auto"",""en"")"),"Chinese scientists first discovered whales in the South China Sea off")</f>
        <v>Chinese scientists first discovered whales in the South China Sea off</v>
      </c>
      <c r="D4787" s="4" t="s">
        <v>7843</v>
      </c>
      <c r="E4787" s="4">
        <v>7515439.0</v>
      </c>
      <c r="F4787" s="4">
        <v>36.0</v>
      </c>
      <c r="G4787" s="4" t="s">
        <v>7844</v>
      </c>
    </row>
    <row r="4788">
      <c r="A4788" s="1">
        <v>4786.0</v>
      </c>
      <c r="B4788" s="4" t="s">
        <v>7788</v>
      </c>
      <c r="C4788" s="4" t="str">
        <f>IFERROR(__xludf.DUMMYFUNCTION("GOOGLETRANSLATE(D:D,""auto"",""en"")"),"New York Governor thanked the Chinese donated 1,000 ventilator")</f>
        <v>New York Governor thanked the Chinese donated 1,000 ventilator</v>
      </c>
      <c r="D4788" s="4" t="s">
        <v>7845</v>
      </c>
      <c r="E4788" s="4">
        <v>7163523.0</v>
      </c>
      <c r="F4788" s="4">
        <v>37.0</v>
      </c>
      <c r="G4788" s="4" t="s">
        <v>7846</v>
      </c>
    </row>
    <row r="4789">
      <c r="A4789" s="1">
        <v>4787.0</v>
      </c>
      <c r="B4789" s="4" t="s">
        <v>7788</v>
      </c>
      <c r="C4789" s="4" t="str">
        <f>IFERROR(__xludf.DUMMYFUNCTION("GOOGLETRANSLATE(D:D,""auto"",""en"")"),"Bryant Duncan, Kevin Garnett Hall of Fame")</f>
        <v>Bryant Duncan, Kevin Garnett Hall of Fame</v>
      </c>
      <c r="D4789" s="4" t="s">
        <v>7847</v>
      </c>
      <c r="E4789" s="4">
        <v>7159906.0</v>
      </c>
      <c r="F4789" s="4">
        <v>38.0</v>
      </c>
      <c r="G4789" s="4" t="s">
        <v>7848</v>
      </c>
    </row>
    <row r="4790">
      <c r="A4790" s="1">
        <v>4788.0</v>
      </c>
      <c r="B4790" s="4" t="s">
        <v>7788</v>
      </c>
      <c r="C4790" s="4" t="str">
        <f>IFERROR(__xludf.DUMMYFUNCTION("GOOGLETRANSLATE(D:D,""auto"",""en"")"),"Since the epidemic had chosen not to use the central grain reserves")</f>
        <v>Since the epidemic had chosen not to use the central grain reserves</v>
      </c>
      <c r="D4790" s="4" t="s">
        <v>7768</v>
      </c>
      <c r="E4790" s="4">
        <v>7156921.0</v>
      </c>
      <c r="F4790" s="4">
        <v>39.0</v>
      </c>
      <c r="G4790" s="4" t="s">
        <v>7769</v>
      </c>
    </row>
    <row r="4791">
      <c r="A4791" s="1">
        <v>4789.0</v>
      </c>
      <c r="B4791" s="4" t="s">
        <v>7788</v>
      </c>
      <c r="C4791" s="4" t="str">
        <f>IFERROR(__xludf.DUMMYFUNCTION("GOOGLETRANSLATE(D:D,""auto"",""en"")"),"Zhong Nanshan vigil of silence in the office")</f>
        <v>Zhong Nanshan vigil of silence in the office</v>
      </c>
      <c r="D4791" s="4" t="s">
        <v>7726</v>
      </c>
      <c r="E4791" s="4">
        <v>7156810.0</v>
      </c>
      <c r="F4791" s="4">
        <v>40.0</v>
      </c>
      <c r="G4791" s="4" t="s">
        <v>7727</v>
      </c>
    </row>
    <row r="4792">
      <c r="A4792" s="1">
        <v>4790.0</v>
      </c>
      <c r="B4792" s="4" t="s">
        <v>7788</v>
      </c>
      <c r="C4792" s="4" t="str">
        <f>IFERROR(__xludf.DUMMYFUNCTION("GOOGLETRANSLATE(D:D,""auto"",""en"")"),"Wuhan marshland people sang the national anthem")</f>
        <v>Wuhan marshland people sang the national anthem</v>
      </c>
      <c r="D4792" s="4" t="s">
        <v>7748</v>
      </c>
      <c r="E4792" s="4">
        <v>7156761.0</v>
      </c>
      <c r="F4792" s="4">
        <v>41.0</v>
      </c>
      <c r="G4792" s="4" t="s">
        <v>7749</v>
      </c>
    </row>
    <row r="4793">
      <c r="A4793" s="1">
        <v>4791.0</v>
      </c>
      <c r="B4793" s="4" t="s">
        <v>7788</v>
      </c>
      <c r="C4793" s="4" t="str">
        <f>IFERROR(__xludf.DUMMYFUNCTION("GOOGLETRANSLATE(D:D,""auto"",""en"")"),"India could become a global epidemic out of control deep-fried king")</f>
        <v>India could become a global epidemic out of control deep-fried king</v>
      </c>
      <c r="D4793" s="4" t="s">
        <v>7849</v>
      </c>
      <c r="E4793" s="4">
        <v>7069722.0</v>
      </c>
      <c r="F4793" s="4">
        <v>42.0</v>
      </c>
      <c r="G4793" s="4" t="s">
        <v>7850</v>
      </c>
    </row>
    <row r="4794">
      <c r="A4794" s="1">
        <v>4792.0</v>
      </c>
      <c r="B4794" s="4" t="s">
        <v>7788</v>
      </c>
      <c r="C4794" s="4" t="str">
        <f>IFERROR(__xludf.DUMMYFUNCTION("GOOGLETRANSLATE(D:D,""auto"",""en"")"),"Qingming mourning Henan thousands of people enjoyed the Square Dance")</f>
        <v>Qingming mourning Henan thousands of people enjoyed the Square Dance</v>
      </c>
      <c r="D4794" s="4" t="s">
        <v>7851</v>
      </c>
      <c r="E4794" s="4">
        <v>7036482.0</v>
      </c>
      <c r="F4794" s="4">
        <v>43.0</v>
      </c>
      <c r="G4794" s="4" t="s">
        <v>7852</v>
      </c>
    </row>
    <row r="4795">
      <c r="A4795" s="1">
        <v>4793.0</v>
      </c>
      <c r="B4795" s="4" t="s">
        <v>7788</v>
      </c>
      <c r="C4795" s="4" t="str">
        <f>IFERROR(__xludf.DUMMYFUNCTION("GOOGLETRANSLATE(D:D,""auto"",""en"")"),"Langweixianyun for eating")</f>
        <v>Langweixianyun for eating</v>
      </c>
      <c r="D4795" s="4" t="s">
        <v>7853</v>
      </c>
      <c r="E4795" s="4">
        <v>7029109.0</v>
      </c>
      <c r="F4795" s="4">
        <v>44.0</v>
      </c>
      <c r="G4795" s="4" t="s">
        <v>7854</v>
      </c>
    </row>
    <row r="4796">
      <c r="A4796" s="1">
        <v>4794.0</v>
      </c>
      <c r="B4796" s="4" t="s">
        <v>7788</v>
      </c>
      <c r="C4796" s="4" t="str">
        <f>IFERROR(__xludf.DUMMYFUNCTION("GOOGLETRANSLATE(D:D,""auto"",""en"")"),"Japanese woman holding knives gasoline tank to break the private residence of the Prime Minister")</f>
        <v>Japanese woman holding knives gasoline tank to break the private residence of the Prime Minister</v>
      </c>
      <c r="D4796" s="4" t="s">
        <v>7855</v>
      </c>
      <c r="E4796" s="4">
        <v>6911990.0</v>
      </c>
      <c r="F4796" s="4">
        <v>45.0</v>
      </c>
      <c r="G4796" s="4" t="s">
        <v>7856</v>
      </c>
    </row>
    <row r="4797">
      <c r="A4797" s="1">
        <v>4795.0</v>
      </c>
      <c r="B4797" s="4" t="s">
        <v>7788</v>
      </c>
      <c r="C4797" s="4" t="str">
        <f>IFERROR(__xludf.DUMMYFUNCTION("GOOGLETRANSLATE(D:D,""auto"",""en"")"),"China does not and will not restrict the export of medical supplies")</f>
        <v>China does not and will not restrict the export of medical supplies</v>
      </c>
      <c r="D4797" s="4" t="s">
        <v>7857</v>
      </c>
      <c r="E4797" s="4">
        <v>6855641.0</v>
      </c>
      <c r="F4797" s="4">
        <v>46.0</v>
      </c>
      <c r="G4797" s="4" t="s">
        <v>7858</v>
      </c>
    </row>
    <row r="4798">
      <c r="A4798" s="1">
        <v>4796.0</v>
      </c>
      <c r="B4798" s="4" t="s">
        <v>7788</v>
      </c>
      <c r="C4798" s="4" t="str">
        <f>IFERROR(__xludf.DUMMYFUNCTION("GOOGLETRANSLATE(D:D,""auto"",""en"")"),"US dairy farmers dumped a lot of milk")</f>
        <v>US dairy farmers dumped a lot of milk</v>
      </c>
      <c r="D4798" s="4" t="s">
        <v>7859</v>
      </c>
      <c r="E4798" s="4">
        <v>6750979.0</v>
      </c>
      <c r="F4798" s="4">
        <v>47.0</v>
      </c>
      <c r="G4798" s="4" t="s">
        <v>7860</v>
      </c>
    </row>
    <row r="4799">
      <c r="A4799" s="1">
        <v>4797.0</v>
      </c>
      <c r="B4799" s="4" t="s">
        <v>7788</v>
      </c>
      <c r="C4799" s="4" t="str">
        <f>IFERROR(__xludf.DUMMYFUNCTION("GOOGLETRANSLATE(D:D,""auto"",""en"")"),"Palace of the blossoms")</f>
        <v>Palace of the blossoms</v>
      </c>
      <c r="D4799" s="4" t="s">
        <v>7861</v>
      </c>
      <c r="E4799" s="4">
        <v>6706506.0</v>
      </c>
      <c r="F4799" s="4">
        <v>48.0</v>
      </c>
      <c r="G4799" s="4" t="s">
        <v>7862</v>
      </c>
    </row>
    <row r="4800">
      <c r="A4800" s="1">
        <v>4798.0</v>
      </c>
      <c r="B4800" s="4" t="s">
        <v>7788</v>
      </c>
      <c r="C4800" s="4" t="str">
        <f>IFERROR(__xludf.DUMMYFUNCTION("GOOGLETRANSLATE(D:D,""auto"",""en"")"),"Wuhan out of the house after the girls burst into tears")</f>
        <v>Wuhan out of the house after the girls burst into tears</v>
      </c>
      <c r="D4800" s="4" t="s">
        <v>7863</v>
      </c>
      <c r="E4800" s="4">
        <v>6498937.0</v>
      </c>
      <c r="F4800" s="4">
        <v>49.0</v>
      </c>
      <c r="G4800" s="4" t="s">
        <v>7864</v>
      </c>
    </row>
    <row r="4801">
      <c r="A4801" s="1">
        <v>4799.0</v>
      </c>
      <c r="B4801" s="4" t="s">
        <v>7788</v>
      </c>
      <c r="C4801" s="4" t="str">
        <f>IFERROR(__xludf.DUMMYFUNCTION("GOOGLETRANSLATE(D:D,""auto"",""en"")"),"Trump response to the US and Germany cut masks")</f>
        <v>Trump response to the US and Germany cut masks</v>
      </c>
      <c r="D4801" s="4" t="s">
        <v>7865</v>
      </c>
      <c r="E4801" s="4">
        <v>6430759.0</v>
      </c>
      <c r="F4801" s="4">
        <v>50.0</v>
      </c>
      <c r="G4801" s="4" t="s">
        <v>7866</v>
      </c>
    </row>
    <row r="4802">
      <c r="A4802" s="1">
        <v>4800.0</v>
      </c>
      <c r="B4802" s="4" t="s">
        <v>7867</v>
      </c>
      <c r="C4802" s="4" t="str">
        <f>IFERROR(__xludf.DUMMYFUNCTION("GOOGLETRANSLATE(D:D,""auto"",""en"")"),"Whale found off the South China Sea for the first time")</f>
        <v>Whale found off the South China Sea for the first time</v>
      </c>
      <c r="D4802" s="4" t="s">
        <v>7868</v>
      </c>
      <c r="E4802" s="4">
        <v>1.107102E7</v>
      </c>
      <c r="F4802" s="4">
        <v>1.0</v>
      </c>
      <c r="G4802" s="4" t="s">
        <v>7869</v>
      </c>
    </row>
    <row r="4803">
      <c r="A4803" s="1">
        <v>4801.0</v>
      </c>
      <c r="B4803" s="4" t="s">
        <v>7867</v>
      </c>
      <c r="C4803" s="4" t="str">
        <f>IFERROR(__xludf.DUMMYFUNCTION("GOOGLETRANSLATE(D:D,""auto"",""en"")"),"Zhang Guowei retired")</f>
        <v>Zhang Guowei retired</v>
      </c>
      <c r="D4803" s="4" t="s">
        <v>7870</v>
      </c>
      <c r="E4803" s="4">
        <v>1.0808852E7</v>
      </c>
      <c r="F4803" s="4">
        <v>2.0</v>
      </c>
      <c r="G4803" s="4" t="s">
        <v>7871</v>
      </c>
    </row>
    <row r="4804">
      <c r="A4804" s="1">
        <v>4802.0</v>
      </c>
      <c r="B4804" s="4" t="s">
        <v>7867</v>
      </c>
      <c r="C4804" s="4" t="str">
        <f>IFERROR(__xludf.DUMMYFUNCTION("GOOGLETRANSLATE(D:D,""auto"",""en"")"),"Moss sister stick on Xi Yi smelt one thousand")</f>
        <v>Moss sister stick on Xi Yi smelt one thousand</v>
      </c>
      <c r="D4804" s="4" t="s">
        <v>7872</v>
      </c>
      <c r="E4804" s="4">
        <v>1.0707265E7</v>
      </c>
      <c r="F4804" s="4">
        <v>3.0</v>
      </c>
      <c r="G4804" s="4" t="s">
        <v>7873</v>
      </c>
    </row>
    <row r="4805">
      <c r="A4805" s="1">
        <v>4803.0</v>
      </c>
      <c r="B4805" s="4" t="s">
        <v>7867</v>
      </c>
      <c r="C4805" s="4" t="str">
        <f>IFERROR(__xludf.DUMMYFUNCTION("GOOGLETRANSLATE(D:D,""auto"",""en"")"),"Shandong, Hubei medical aid team members Zhang quietly died")</f>
        <v>Shandong, Hubei medical aid team members Zhang quietly died</v>
      </c>
      <c r="D4805" s="4" t="s">
        <v>7874</v>
      </c>
      <c r="E4805" s="4">
        <v>1.0487437E7</v>
      </c>
      <c r="F4805" s="4">
        <v>4.0</v>
      </c>
      <c r="G4805" s="4" t="s">
        <v>7875</v>
      </c>
    </row>
    <row r="4806">
      <c r="A4806" s="1">
        <v>4804.0</v>
      </c>
      <c r="B4806" s="4" t="s">
        <v>7867</v>
      </c>
      <c r="C4806" s="4" t="str">
        <f>IFERROR(__xludf.DUMMYFUNCTION("GOOGLETRANSLATE(D:D,""auto"",""en"")"),"Fei Xu responded Super Girl reunion")</f>
        <v>Fei Xu responded Super Girl reunion</v>
      </c>
      <c r="D4806" s="4" t="s">
        <v>7876</v>
      </c>
      <c r="E4806" s="4">
        <v>1.0044875E7</v>
      </c>
      <c r="F4806" s="4">
        <v>5.0</v>
      </c>
      <c r="G4806" s="4" t="s">
        <v>7877</v>
      </c>
    </row>
    <row r="4807">
      <c r="A4807" s="1">
        <v>4805.0</v>
      </c>
      <c r="B4807" s="4" t="s">
        <v>7867</v>
      </c>
      <c r="C4807" s="4" t="str">
        <f>IFERROR(__xludf.DUMMYFUNCTION("GOOGLETRANSLATE(D:D,""auto"",""en"")"),"Promulgation of the country and more urgent measures to halt the return to work")</f>
        <v>Promulgation of the country and more urgent measures to halt the return to work</v>
      </c>
      <c r="D4807" s="4" t="s">
        <v>7878</v>
      </c>
      <c r="E4807" s="4">
        <v>9569911.0</v>
      </c>
      <c r="F4807" s="4">
        <v>6.0</v>
      </c>
      <c r="G4807" s="4" t="s">
        <v>7879</v>
      </c>
    </row>
    <row r="4808">
      <c r="A4808" s="1">
        <v>4806.0</v>
      </c>
      <c r="B4808" s="4" t="s">
        <v>7867</v>
      </c>
      <c r="C4808" s="4" t="str">
        <f>IFERROR(__xludf.DUMMYFUNCTION("GOOGLETRANSLATE(D:D,""auto"",""en"")"),"Li Jia Hang hop dance question mark")</f>
        <v>Li Jia Hang hop dance question mark</v>
      </c>
      <c r="D4808" s="4" t="s">
        <v>7797</v>
      </c>
      <c r="E4808" s="4">
        <v>8816132.0</v>
      </c>
      <c r="F4808" s="4">
        <v>7.0</v>
      </c>
      <c r="G4808" s="4" t="s">
        <v>7798</v>
      </c>
    </row>
    <row r="4809">
      <c r="A4809" s="1">
        <v>4807.0</v>
      </c>
      <c r="B4809" s="4" t="s">
        <v>7867</v>
      </c>
      <c r="C4809" s="4" t="str">
        <f>IFERROR(__xludf.DUMMYFUNCTION("GOOGLETRANSLATE(D:D,""auto"",""en"")"),"Fortunately, the Swiss coffee apology")</f>
        <v>Fortunately, the Swiss coffee apology</v>
      </c>
      <c r="D4809" s="4" t="s">
        <v>7803</v>
      </c>
      <c r="E4809" s="4">
        <v>8657136.0</v>
      </c>
      <c r="F4809" s="4">
        <v>8.0</v>
      </c>
      <c r="G4809" s="4" t="s">
        <v>7804</v>
      </c>
    </row>
    <row r="4810">
      <c r="A4810" s="1">
        <v>4808.0</v>
      </c>
      <c r="B4810" s="4" t="s">
        <v>7867</v>
      </c>
      <c r="C4810" s="4" t="str">
        <f>IFERROR(__xludf.DUMMYFUNCTION("GOOGLETRANSLATE(D:D,""auto"",""en"")"),"Tan Ge Guan Xiaotong's flight attendants")</f>
        <v>Tan Ge Guan Xiaotong's flight attendants</v>
      </c>
      <c r="D4810" s="4" t="s">
        <v>7815</v>
      </c>
      <c r="E4810" s="4">
        <v>8614515.0</v>
      </c>
      <c r="F4810" s="4">
        <v>9.0</v>
      </c>
      <c r="G4810" s="4" t="s">
        <v>7816</v>
      </c>
    </row>
    <row r="4811">
      <c r="A4811" s="1">
        <v>4809.0</v>
      </c>
      <c r="B4811" s="4" t="s">
        <v>7867</v>
      </c>
      <c r="C4811" s="4" t="str">
        <f>IFERROR(__xludf.DUMMYFUNCTION("GOOGLETRANSLATE(D:D,""auto"",""en"")"),"Zhao Liying online language test")</f>
        <v>Zhao Liying online language test</v>
      </c>
      <c r="D4811" s="4" t="s">
        <v>7880</v>
      </c>
      <c r="E4811" s="4">
        <v>8608545.0</v>
      </c>
      <c r="F4811" s="4">
        <v>10.0</v>
      </c>
      <c r="G4811" s="4" t="s">
        <v>7881</v>
      </c>
    </row>
    <row r="4812">
      <c r="A4812" s="1">
        <v>4810.0</v>
      </c>
      <c r="B4812" s="4" t="s">
        <v>7867</v>
      </c>
      <c r="C4812" s="4" t="str">
        <f>IFERROR(__xludf.DUMMYFUNCTION("GOOGLETRANSLATE(D:D,""auto"",""en"")"),"Women diagnosed conceal symptoms resolve after isolation")</f>
        <v>Women diagnosed conceal symptoms resolve after isolation</v>
      </c>
      <c r="D4812" s="4" t="s">
        <v>7795</v>
      </c>
      <c r="E4812" s="4">
        <v>8535903.0</v>
      </c>
      <c r="F4812" s="4">
        <v>11.0</v>
      </c>
      <c r="G4812" s="4" t="s">
        <v>7796</v>
      </c>
    </row>
    <row r="4813">
      <c r="A4813" s="1">
        <v>4811.0</v>
      </c>
      <c r="B4813" s="4" t="s">
        <v>7867</v>
      </c>
      <c r="C4813" s="4" t="str">
        <f>IFERROR(__xludf.DUMMYFUNCTION("GOOGLETRANSLATE(D:D,""auto"",""en"")"),"80 million deposit can not be removed in time man angry hate banks")</f>
        <v>80 million deposit can not be removed in time man angry hate banks</v>
      </c>
      <c r="D4813" s="4" t="s">
        <v>7882</v>
      </c>
      <c r="E4813" s="4">
        <v>8483662.0</v>
      </c>
      <c r="F4813" s="4">
        <v>12.0</v>
      </c>
      <c r="G4813" s="4" t="s">
        <v>7883</v>
      </c>
    </row>
    <row r="4814">
      <c r="A4814" s="1">
        <v>4812.0</v>
      </c>
      <c r="B4814" s="4" t="s">
        <v>7867</v>
      </c>
      <c r="C4814" s="4" t="str">
        <f>IFERROR(__xludf.DUMMYFUNCTION("GOOGLETRANSLATE(D:D,""auto"",""en"")"),"iPhone 12 or the scheduled release")</f>
        <v>iPhone 12 or the scheduled release</v>
      </c>
      <c r="D4814" s="4" t="s">
        <v>7809</v>
      </c>
      <c r="E4814" s="4">
        <v>8452108.0</v>
      </c>
      <c r="F4814" s="4">
        <v>13.0</v>
      </c>
      <c r="G4814" s="4" t="s">
        <v>7810</v>
      </c>
    </row>
    <row r="4815">
      <c r="A4815" s="1">
        <v>4813.0</v>
      </c>
      <c r="B4815" s="4" t="s">
        <v>7867</v>
      </c>
      <c r="C4815" s="4" t="str">
        <f>IFERROR(__xludf.DUMMYFUNCTION("GOOGLETRANSLATE(D:D,""auto"",""en"")"),"Shandong 1-year-old girl identified as asymptomatic infection")</f>
        <v>Shandong 1-year-old girl identified as asymptomatic infection</v>
      </c>
      <c r="D4815" s="4" t="s">
        <v>7805</v>
      </c>
      <c r="E4815" s="4">
        <v>8238264.0</v>
      </c>
      <c r="F4815" s="4">
        <v>14.0</v>
      </c>
      <c r="G4815" s="4" t="s">
        <v>7806</v>
      </c>
    </row>
    <row r="4816">
      <c r="A4816" s="1">
        <v>4814.0</v>
      </c>
      <c r="B4816" s="4" t="s">
        <v>7867</v>
      </c>
      <c r="C4816" s="4" t="str">
        <f>IFERROR(__xludf.DUMMYFUNCTION("GOOGLETRANSLATE(D:D,""auto"",""en"")"),"Massu propaganda Li Xueqin")</f>
        <v>Massu propaganda Li Xueqin</v>
      </c>
      <c r="D4816" s="4" t="s">
        <v>7884</v>
      </c>
      <c r="E4816" s="4">
        <v>8233084.0</v>
      </c>
      <c r="F4816" s="4">
        <v>15.0</v>
      </c>
      <c r="G4816" s="4" t="s">
        <v>7885</v>
      </c>
    </row>
    <row r="4817">
      <c r="A4817" s="1">
        <v>4815.0</v>
      </c>
      <c r="B4817" s="4" t="s">
        <v>7867</v>
      </c>
      <c r="C4817" s="4" t="str">
        <f>IFERROR(__xludf.DUMMYFUNCTION("GOOGLETRANSLATE(D:D,""auto"",""en"")"),"Labor arbitration company lost two sacks one yuan banknote")</f>
        <v>Labor arbitration company lost two sacks one yuan banknote</v>
      </c>
      <c r="D4817" s="4" t="s">
        <v>7886</v>
      </c>
      <c r="E4817" s="4">
        <v>8173367.0</v>
      </c>
      <c r="F4817" s="4">
        <v>16.0</v>
      </c>
      <c r="G4817" s="4" t="s">
        <v>7887</v>
      </c>
    </row>
    <row r="4818">
      <c r="A4818" s="1">
        <v>4816.0</v>
      </c>
      <c r="B4818" s="4" t="s">
        <v>7867</v>
      </c>
      <c r="C4818" s="4" t="str">
        <f>IFERROR(__xludf.DUMMYFUNCTION("GOOGLETRANSLATE(D:D,""auto"",""en"")"),"There are now happy hearts open play")</f>
        <v>There are now happy hearts open play</v>
      </c>
      <c r="D4818" s="4" t="s">
        <v>7888</v>
      </c>
      <c r="E4818" s="4">
        <v>8126727.0</v>
      </c>
      <c r="F4818" s="4">
        <v>17.0</v>
      </c>
      <c r="G4818" s="4" t="s">
        <v>7889</v>
      </c>
    </row>
    <row r="4819">
      <c r="A4819" s="1">
        <v>4817.0</v>
      </c>
      <c r="B4819" s="4" t="s">
        <v>7867</v>
      </c>
      <c r="C4819" s="4" t="str">
        <f>IFERROR(__xludf.DUMMYFUNCTION("GOOGLETRANSLATE(D:D,""auto"",""en"")"),"India could become a global epidemic out of control deep-fried king")</f>
        <v>India could become a global epidemic out of control deep-fried king</v>
      </c>
      <c r="D4819" s="4" t="s">
        <v>7849</v>
      </c>
      <c r="E4819" s="4">
        <v>8079868.0</v>
      </c>
      <c r="F4819" s="4">
        <v>18.0</v>
      </c>
      <c r="G4819" s="4" t="s">
        <v>7850</v>
      </c>
    </row>
    <row r="4820">
      <c r="A4820" s="1">
        <v>4818.0</v>
      </c>
      <c r="B4820" s="4" t="s">
        <v>7867</v>
      </c>
      <c r="C4820" s="4" t="str">
        <f>IFERROR(__xludf.DUMMYFUNCTION("GOOGLETRANSLATE(D:D,""auto"",""en"")"),"Beijing may be in a longer period of epidemic prevention and control state")</f>
        <v>Beijing may be in a longer period of epidemic prevention and control state</v>
      </c>
      <c r="D4820" s="4" t="s">
        <v>7807</v>
      </c>
      <c r="E4820" s="4">
        <v>8063041.0</v>
      </c>
      <c r="F4820" s="4">
        <v>19.0</v>
      </c>
      <c r="G4820" s="4" t="s">
        <v>7808</v>
      </c>
    </row>
    <row r="4821">
      <c r="A4821" s="1">
        <v>4819.0</v>
      </c>
      <c r="B4821" s="4" t="s">
        <v>7867</v>
      </c>
      <c r="C4821" s="4" t="str">
        <f>IFERROR(__xludf.DUMMYFUNCTION("GOOGLETRANSLATE(D:D,""auto"",""en"")"),"Langweixianchi broadcast connection fight against SARS doctors")</f>
        <v>Langweixianchi broadcast connection fight against SARS doctors</v>
      </c>
      <c r="D4821" s="4" t="s">
        <v>7890</v>
      </c>
      <c r="E4821" s="4">
        <v>8053108.0</v>
      </c>
      <c r="F4821" s="4">
        <v>20.0</v>
      </c>
      <c r="G4821" s="4" t="s">
        <v>7891</v>
      </c>
    </row>
    <row r="4822">
      <c r="A4822" s="1">
        <v>4820.0</v>
      </c>
      <c r="B4822" s="4" t="s">
        <v>7867</v>
      </c>
      <c r="C4822" s="4" t="str">
        <f>IFERROR(__xludf.DUMMYFUNCTION("GOOGLETRANSLATE(D:D,""auto"",""en"")"),"Russia shot down by US fighters around the empty provocation")</f>
        <v>Russia shot down by US fighters around the empty provocation</v>
      </c>
      <c r="D4822" s="4" t="s">
        <v>7892</v>
      </c>
      <c r="E4822" s="4">
        <v>8036183.0</v>
      </c>
      <c r="F4822" s="4">
        <v>21.0</v>
      </c>
      <c r="G4822" s="4" t="s">
        <v>7893</v>
      </c>
    </row>
    <row r="4823">
      <c r="A4823" s="1">
        <v>4821.0</v>
      </c>
      <c r="B4823" s="4" t="s">
        <v>7867</v>
      </c>
      <c r="C4823" s="4" t="str">
        <f>IFERROR(__xludf.DUMMYFUNCTION("GOOGLETRANSLATE(D:D,""auto"",""en"")"),"National new cases of 39 cases of domestic one case")</f>
        <v>National new cases of 39 cases of domestic one case</v>
      </c>
      <c r="D4823" s="4" t="s">
        <v>7894</v>
      </c>
      <c r="E4823" s="4">
        <v>8015842.0</v>
      </c>
      <c r="F4823" s="4">
        <v>22.0</v>
      </c>
      <c r="G4823" s="4" t="s">
        <v>7895</v>
      </c>
    </row>
    <row r="4824">
      <c r="A4824" s="1">
        <v>4822.0</v>
      </c>
      <c r="B4824" s="4" t="s">
        <v>7867</v>
      </c>
      <c r="C4824" s="4" t="str">
        <f>IFERROR(__xludf.DUMMYFUNCTION("GOOGLETRANSLATE(D:D,""auto"",""en"")"),"Migratory birds mistake the glass wall when the sky was killed")</f>
        <v>Migratory birds mistake the glass wall when the sky was killed</v>
      </c>
      <c r="D4824" s="4" t="s">
        <v>7896</v>
      </c>
      <c r="E4824" s="4">
        <v>7943658.0</v>
      </c>
      <c r="F4824" s="4">
        <v>23.0</v>
      </c>
      <c r="G4824" s="4" t="s">
        <v>7897</v>
      </c>
    </row>
    <row r="4825">
      <c r="A4825" s="1">
        <v>4823.0</v>
      </c>
      <c r="B4825" s="4" t="s">
        <v>7867</v>
      </c>
      <c r="C4825" s="4" t="str">
        <f>IFERROR(__xludf.DUMMYFUNCTION("GOOGLETRANSLATE(D:D,""auto"",""en"")"),"Heilongjiang new foreign input 20 cases")</f>
        <v>Heilongjiang new foreign input 20 cases</v>
      </c>
      <c r="D4825" s="4" t="s">
        <v>7898</v>
      </c>
      <c r="E4825" s="4">
        <v>7707208.0</v>
      </c>
      <c r="F4825" s="4">
        <v>24.0</v>
      </c>
      <c r="G4825" s="4" t="s">
        <v>7899</v>
      </c>
    </row>
    <row r="4826">
      <c r="A4826" s="1">
        <v>4824.0</v>
      </c>
      <c r="B4826" s="4" t="s">
        <v>7867</v>
      </c>
      <c r="C4826" s="4" t="str">
        <f>IFERROR(__xludf.DUMMYFUNCTION("GOOGLETRANSLATE(D:D,""auto"",""en"")"),"Wang Yaoqing laugh cry Silvia")</f>
        <v>Wang Yaoqing laugh cry Silvia</v>
      </c>
      <c r="D4826" s="4" t="s">
        <v>7900</v>
      </c>
      <c r="E4826" s="4">
        <v>7700655.0</v>
      </c>
      <c r="F4826" s="4">
        <v>25.0</v>
      </c>
      <c r="G4826" s="4" t="s">
        <v>7901</v>
      </c>
    </row>
    <row r="4827">
      <c r="A4827" s="1">
        <v>4825.0</v>
      </c>
      <c r="B4827" s="4" t="s">
        <v>7867</v>
      </c>
      <c r="C4827" s="4" t="str">
        <f>IFERROR(__xludf.DUMMYFUNCTION("GOOGLETRANSLATE(D:D,""auto"",""en"")"),"British Prime Minister Tony Johnson admitted to hospital with high fever detection")</f>
        <v>British Prime Minister Tony Johnson admitted to hospital with high fever detection</v>
      </c>
      <c r="D4827" s="4" t="s">
        <v>7902</v>
      </c>
      <c r="E4827" s="4">
        <v>7692710.0</v>
      </c>
      <c r="F4827" s="4">
        <v>26.0</v>
      </c>
      <c r="G4827" s="4" t="s">
        <v>7903</v>
      </c>
    </row>
    <row r="4828">
      <c r="A4828" s="1">
        <v>4826.0</v>
      </c>
      <c r="B4828" s="4" t="s">
        <v>7867</v>
      </c>
      <c r="C4828" s="4" t="str">
        <f>IFERROR(__xludf.DUMMYFUNCTION("GOOGLETRANSLATE(D:D,""auto"",""en"")"),"US new crown a tiger tested positive for the virus")</f>
        <v>US new crown a tiger tested positive for the virus</v>
      </c>
      <c r="D4828" s="4" t="s">
        <v>7904</v>
      </c>
      <c r="E4828" s="4">
        <v>7690082.0</v>
      </c>
      <c r="F4828" s="4">
        <v>27.0</v>
      </c>
      <c r="G4828" s="4" t="s">
        <v>7905</v>
      </c>
    </row>
    <row r="4829">
      <c r="A4829" s="1">
        <v>4827.0</v>
      </c>
      <c r="B4829" s="4" t="s">
        <v>7867</v>
      </c>
      <c r="C4829" s="4" t="str">
        <f>IFERROR(__xludf.DUMMYFUNCTION("GOOGLETRANSLATE(D:D,""auto"",""en"")"),"WHO says China into the mitigation phase")</f>
        <v>WHO says China into the mitigation phase</v>
      </c>
      <c r="D4829" s="4" t="s">
        <v>7906</v>
      </c>
      <c r="E4829" s="4">
        <v>7685293.0</v>
      </c>
      <c r="F4829" s="4">
        <v>28.0</v>
      </c>
      <c r="G4829" s="4" t="s">
        <v>7907</v>
      </c>
    </row>
    <row r="4830">
      <c r="A4830" s="1">
        <v>4828.0</v>
      </c>
      <c r="B4830" s="4" t="s">
        <v>7867</v>
      </c>
      <c r="C4830" s="4" t="str">
        <f>IFERROR(__xludf.DUMMYFUNCTION("GOOGLETRANSLATE(D:D,""auto"",""en"")"),"Zhong Nanshan, urged the public to continue to keep their distance")</f>
        <v>Zhong Nanshan, urged the public to continue to keep their distance</v>
      </c>
      <c r="D4830" s="4" t="s">
        <v>7811</v>
      </c>
      <c r="E4830" s="4">
        <v>7680295.0</v>
      </c>
      <c r="F4830" s="4">
        <v>29.0</v>
      </c>
      <c r="G4830" s="4" t="s">
        <v>7812</v>
      </c>
    </row>
    <row r="4831">
      <c r="A4831" s="1">
        <v>4829.0</v>
      </c>
      <c r="B4831" s="4" t="s">
        <v>7867</v>
      </c>
      <c r="C4831" s="4" t="str">
        <f>IFERROR(__xludf.DUMMYFUNCTION("GOOGLETRANSLATE(D:D,""auto"",""en"")"),"The only indigenous cases in Guangdong Hubei input")</f>
        <v>The only indigenous cases in Guangdong Hubei input</v>
      </c>
      <c r="D4831" s="4" t="s">
        <v>7908</v>
      </c>
      <c r="E4831" s="4">
        <v>7672565.0</v>
      </c>
      <c r="F4831" s="4">
        <v>30.0</v>
      </c>
      <c r="G4831" s="4" t="s">
        <v>7909</v>
      </c>
    </row>
    <row r="4832">
      <c r="A4832" s="1">
        <v>4830.0</v>
      </c>
      <c r="B4832" s="4" t="s">
        <v>7867</v>
      </c>
      <c r="C4832" s="4" t="str">
        <f>IFERROR(__xludf.DUMMYFUNCTION("GOOGLETRANSLATE(D:D,""auto"",""en"")"),"Queen of England televised speech")</f>
        <v>Queen of England televised speech</v>
      </c>
      <c r="D4832" s="4" t="s">
        <v>7910</v>
      </c>
      <c r="E4832" s="4">
        <v>7672169.0</v>
      </c>
      <c r="F4832" s="4">
        <v>31.0</v>
      </c>
      <c r="G4832" s="4" t="s">
        <v>7911</v>
      </c>
    </row>
    <row r="4833">
      <c r="A4833" s="1">
        <v>4831.0</v>
      </c>
      <c r="B4833" s="4" t="s">
        <v>7867</v>
      </c>
      <c r="C4833" s="4" t="str">
        <f>IFERROR(__xludf.DUMMYFUNCTION("GOOGLETRANSLATE(D:D,""auto"",""en"")"),"Some very decent actor surface")</f>
        <v>Some very decent actor surface</v>
      </c>
      <c r="D4833" s="4" t="s">
        <v>7912</v>
      </c>
      <c r="E4833" s="4">
        <v>7671116.0</v>
      </c>
      <c r="F4833" s="4">
        <v>32.0</v>
      </c>
      <c r="G4833" s="4" t="s">
        <v>7913</v>
      </c>
    </row>
    <row r="4834">
      <c r="A4834" s="1">
        <v>4832.0</v>
      </c>
      <c r="B4834" s="4" t="s">
        <v>7867</v>
      </c>
      <c r="C4834" s="4" t="str">
        <f>IFERROR(__xludf.DUMMYFUNCTION("GOOGLETRANSLATE(D:D,""auto"",""en"")"),"How to tell freshman and seniors")</f>
        <v>How to tell freshman and seniors</v>
      </c>
      <c r="D4834" s="4" t="s">
        <v>7914</v>
      </c>
      <c r="E4834" s="4">
        <v>7452042.0</v>
      </c>
      <c r="F4834" s="4">
        <v>33.0</v>
      </c>
      <c r="G4834" s="4" t="s">
        <v>7915</v>
      </c>
    </row>
    <row r="4835">
      <c r="A4835" s="1">
        <v>4833.0</v>
      </c>
      <c r="B4835" s="4" t="s">
        <v>7867</v>
      </c>
      <c r="C4835" s="4" t="str">
        <f>IFERROR(__xludf.DUMMYFUNCTION("GOOGLETRANSLATE(D:D,""auto"",""en"")"),"Punch petition to make shooting")</f>
        <v>Punch petition to make shooting</v>
      </c>
      <c r="D4835" s="4" t="s">
        <v>7916</v>
      </c>
      <c r="E4835" s="4">
        <v>7398369.0</v>
      </c>
      <c r="F4835" s="4">
        <v>34.0</v>
      </c>
      <c r="G4835" s="4" t="s">
        <v>7917</v>
      </c>
    </row>
    <row r="4836">
      <c r="A4836" s="1">
        <v>4834.0</v>
      </c>
      <c r="B4836" s="4" t="s">
        <v>7867</v>
      </c>
      <c r="C4836" s="4" t="str">
        <f>IFERROR(__xludf.DUMMYFUNCTION("GOOGLETRANSLATE(D:D,""auto"",""en"")"),"Chen Qian cherry headphone cable wrapped around the waist dance")</f>
        <v>Chen Qian cherry headphone cable wrapped around the waist dance</v>
      </c>
      <c r="D4836" s="4" t="s">
        <v>7918</v>
      </c>
      <c r="E4836" s="4">
        <v>7257669.0</v>
      </c>
      <c r="F4836" s="4">
        <v>35.0</v>
      </c>
      <c r="G4836" s="4" t="s">
        <v>7919</v>
      </c>
    </row>
    <row r="4837">
      <c r="A4837" s="1">
        <v>4835.0</v>
      </c>
      <c r="B4837" s="4" t="s">
        <v>7867</v>
      </c>
      <c r="C4837" s="4" t="str">
        <f>IFERROR(__xludf.DUMMYFUNCTION("GOOGLETRANSLATE(D:D,""auto"",""en"")"),"Angelababy do pottery")</f>
        <v>Angelababy do pottery</v>
      </c>
      <c r="D4837" s="4" t="s">
        <v>7920</v>
      </c>
      <c r="E4837" s="4">
        <v>6885611.0</v>
      </c>
      <c r="F4837" s="4">
        <v>36.0</v>
      </c>
      <c r="G4837" s="4" t="s">
        <v>7921</v>
      </c>
    </row>
    <row r="4838">
      <c r="A4838" s="1">
        <v>4836.0</v>
      </c>
      <c r="B4838" s="4" t="s">
        <v>7867</v>
      </c>
      <c r="C4838" s="4" t="str">
        <f>IFERROR(__xludf.DUMMYFUNCTION("GOOGLETRANSLATE(D:D,""auto"",""en"")"),"The maximum annual Super Moon April 8 staged")</f>
        <v>The maximum annual Super Moon April 8 staged</v>
      </c>
      <c r="D4838" s="4" t="s">
        <v>7922</v>
      </c>
      <c r="E4838" s="4">
        <v>6826069.0</v>
      </c>
      <c r="F4838" s="4">
        <v>37.0</v>
      </c>
      <c r="G4838" s="4" t="s">
        <v>7923</v>
      </c>
    </row>
    <row r="4839">
      <c r="A4839" s="1">
        <v>4837.0</v>
      </c>
      <c r="B4839" s="4" t="s">
        <v>7867</v>
      </c>
      <c r="C4839" s="4" t="str">
        <f>IFERROR(__xludf.DUMMYFUNCTION("GOOGLETRANSLATE(D:D,""auto"",""en"")"),"Police stopped hoarse girl to commit suicide")</f>
        <v>Police stopped hoarse girl to commit suicide</v>
      </c>
      <c r="D4839" s="4" t="s">
        <v>7924</v>
      </c>
      <c r="E4839" s="4">
        <v>6743105.0</v>
      </c>
      <c r="F4839" s="4">
        <v>38.0</v>
      </c>
      <c r="G4839" s="4" t="s">
        <v>7925</v>
      </c>
    </row>
    <row r="4840">
      <c r="A4840" s="1">
        <v>4838.0</v>
      </c>
      <c r="B4840" s="4" t="s">
        <v>7867</v>
      </c>
      <c r="C4840" s="4" t="str">
        <f>IFERROR(__xludf.DUMMYFUNCTION("GOOGLETRANSLATE(D:D,""auto"",""en"")"),"Hubei new confirmed cases 0 cases")</f>
        <v>Hubei new confirmed cases 0 cases</v>
      </c>
      <c r="D4840" s="4" t="s">
        <v>7926</v>
      </c>
      <c r="E4840" s="4">
        <v>6563192.0</v>
      </c>
      <c r="F4840" s="4">
        <v>39.0</v>
      </c>
      <c r="G4840" s="4" t="s">
        <v>7927</v>
      </c>
    </row>
    <row r="4841">
      <c r="A4841" s="1">
        <v>4839.0</v>
      </c>
      <c r="B4841" s="4" t="s">
        <v>7867</v>
      </c>
      <c r="C4841" s="4" t="str">
        <f>IFERROR(__xludf.DUMMYFUNCTION("GOOGLETRANSLATE(D:D,""auto"",""en"")"),"Qinghai found one case of asymptomatic infection outside input")</f>
        <v>Qinghai found one case of asymptomatic infection outside input</v>
      </c>
      <c r="D4841" s="4" t="s">
        <v>7928</v>
      </c>
      <c r="E4841" s="4">
        <v>6453914.0</v>
      </c>
      <c r="F4841" s="4">
        <v>40.0</v>
      </c>
      <c r="G4841" s="4" t="s">
        <v>7929</v>
      </c>
    </row>
    <row r="4842">
      <c r="A4842" s="1">
        <v>4840.0</v>
      </c>
      <c r="B4842" s="4" t="s">
        <v>7867</v>
      </c>
      <c r="C4842" s="4" t="str">
        <f>IFERROR(__xludf.DUMMYFUNCTION("GOOGLETRANSLATE(D:D,""auto"",""en"")"),"Elva public unintentional injuries Photo")</f>
        <v>Elva public unintentional injuries Photo</v>
      </c>
      <c r="D4842" s="4" t="s">
        <v>7930</v>
      </c>
      <c r="E4842" s="4">
        <v>6439135.0</v>
      </c>
      <c r="F4842" s="4">
        <v>41.0</v>
      </c>
      <c r="G4842" s="4" t="s">
        <v>7931</v>
      </c>
    </row>
    <row r="4843">
      <c r="A4843" s="1">
        <v>4841.0</v>
      </c>
      <c r="B4843" s="4" t="s">
        <v>7867</v>
      </c>
      <c r="C4843" s="4" t="str">
        <f>IFERROR(__xludf.DUMMYFUNCTION("GOOGLETRANSLATE(D:D,""auto"",""en"")"),"There is no evidence to prove Yang catkins exist in the new virus crown")</f>
        <v>There is no evidence to prove Yang catkins exist in the new virus crown</v>
      </c>
      <c r="D4843" s="4" t="s">
        <v>7932</v>
      </c>
      <c r="E4843" s="4">
        <v>6365749.0</v>
      </c>
      <c r="F4843" s="4">
        <v>42.0</v>
      </c>
      <c r="G4843" s="4" t="s">
        <v>7933</v>
      </c>
    </row>
    <row r="4844">
      <c r="A4844" s="1">
        <v>4842.0</v>
      </c>
      <c r="B4844" s="4" t="s">
        <v>7867</v>
      </c>
      <c r="C4844" s="4" t="str">
        <f>IFERROR(__xludf.DUMMYFUNCTION("GOOGLETRANSLATE(D:D,""auto"",""en"")"),"India's largest slum section closed")</f>
        <v>India's largest slum section closed</v>
      </c>
      <c r="D4844" s="4" t="s">
        <v>7934</v>
      </c>
      <c r="E4844" s="4">
        <v>6299252.0</v>
      </c>
      <c r="F4844" s="4">
        <v>43.0</v>
      </c>
      <c r="G4844" s="4" t="s">
        <v>7935</v>
      </c>
    </row>
    <row r="4845">
      <c r="A4845" s="1">
        <v>4843.0</v>
      </c>
      <c r="B4845" s="4" t="s">
        <v>7867</v>
      </c>
      <c r="C4845" s="4" t="str">
        <f>IFERROR(__xludf.DUMMYFUNCTION("GOOGLETRANSLATE(D:D,""auto"",""en"")"),"The implementation of the country and more action chopsticks Gongbiao")</f>
        <v>The implementation of the country and more action chopsticks Gongbiao</v>
      </c>
      <c r="D4845" s="4" t="s">
        <v>7936</v>
      </c>
      <c r="E4845" s="4">
        <v>6093600.0</v>
      </c>
      <c r="F4845" s="4">
        <v>44.0</v>
      </c>
      <c r="G4845" s="4" t="s">
        <v>7937</v>
      </c>
    </row>
    <row r="4846">
      <c r="A4846" s="1">
        <v>4844.0</v>
      </c>
      <c r="B4846" s="4" t="s">
        <v>7867</v>
      </c>
      <c r="C4846" s="4" t="str">
        <f>IFERROR(__xludf.DUMMYFUNCTION("GOOGLETRANSLATE(D:D,""auto"",""en"")"),"Brother to accompany sister practice zither")</f>
        <v>Brother to accompany sister practice zither</v>
      </c>
      <c r="D4846" s="4" t="s">
        <v>7938</v>
      </c>
      <c r="E4846" s="4">
        <v>5870369.0</v>
      </c>
      <c r="F4846" s="4">
        <v>45.0</v>
      </c>
      <c r="G4846" s="4" t="s">
        <v>7939</v>
      </c>
    </row>
    <row r="4847">
      <c r="A4847" s="1">
        <v>4845.0</v>
      </c>
      <c r="B4847" s="4" t="s">
        <v>7867</v>
      </c>
      <c r="C4847" s="4" t="str">
        <f>IFERROR(__xludf.DUMMYFUNCTION("GOOGLETRANSLATE(D:D,""auto"",""en"")"),"To wear a mask to stay for four years shaved off beard")</f>
        <v>To wear a mask to stay for four years shaved off beard</v>
      </c>
      <c r="D4847" s="4" t="s">
        <v>7940</v>
      </c>
      <c r="E4847" s="4">
        <v>5745460.0</v>
      </c>
      <c r="F4847" s="4">
        <v>46.0</v>
      </c>
      <c r="G4847" s="4" t="s">
        <v>7941</v>
      </c>
    </row>
    <row r="4848">
      <c r="A4848" s="1">
        <v>4846.0</v>
      </c>
      <c r="B4848" s="4" t="s">
        <v>7867</v>
      </c>
      <c r="C4848" s="4" t="str">
        <f>IFERROR(__xludf.DUMMYFUNCTION("GOOGLETRANSLATE(D:D,""auto"",""en"")"),"He figures global epidemic by two Chinese trader America, Dr.")</f>
        <v>He figures global epidemic by two Chinese trader America, Dr.</v>
      </c>
      <c r="D4848" s="4" t="s">
        <v>7942</v>
      </c>
      <c r="E4848" s="4">
        <v>5588964.0</v>
      </c>
      <c r="F4848" s="4">
        <v>47.0</v>
      </c>
      <c r="G4848" s="4" t="s">
        <v>7943</v>
      </c>
    </row>
    <row r="4849">
      <c r="A4849" s="1">
        <v>4847.0</v>
      </c>
      <c r="B4849" s="4" t="s">
        <v>7867</v>
      </c>
      <c r="C4849" s="4" t="str">
        <f>IFERROR(__xludf.DUMMYFUNCTION("GOOGLETRANSLATE(D:D,""auto"",""en"")"),"Qingming mourning Henan thousands of people enjoyed the Square Dance")</f>
        <v>Qingming mourning Henan thousands of people enjoyed the Square Dance</v>
      </c>
      <c r="D4849" s="4" t="s">
        <v>7851</v>
      </c>
      <c r="E4849" s="4">
        <v>5517522.0</v>
      </c>
      <c r="F4849" s="4">
        <v>48.0</v>
      </c>
      <c r="G4849" s="4" t="s">
        <v>7852</v>
      </c>
    </row>
    <row r="4850">
      <c r="A4850" s="1">
        <v>4848.0</v>
      </c>
      <c r="B4850" s="4" t="s">
        <v>7867</v>
      </c>
      <c r="C4850" s="4" t="str">
        <f>IFERROR(__xludf.DUMMYFUNCTION("GOOGLETRANSLATE(D:D,""auto"",""en"")"),"Qingdao preferential foreign respond street isolated personnel")</f>
        <v>Qingdao preferential foreign respond street isolated personnel</v>
      </c>
      <c r="D4850" s="4" t="s">
        <v>7944</v>
      </c>
      <c r="E4850" s="4">
        <v>5466945.0</v>
      </c>
      <c r="F4850" s="4">
        <v>49.0</v>
      </c>
      <c r="G4850" s="4" t="s">
        <v>7945</v>
      </c>
    </row>
    <row r="4851">
      <c r="A4851" s="1">
        <v>4849.0</v>
      </c>
      <c r="B4851" s="4" t="s">
        <v>7867</v>
      </c>
      <c r="C4851" s="4" t="str">
        <f>IFERROR(__xludf.DUMMYFUNCTION("GOOGLETRANSLATE(D:D,""auto"",""en"")"),"Foreign home quarantine supervision too hardcore a")</f>
        <v>Foreign home quarantine supervision too hardcore a</v>
      </c>
      <c r="D4851" s="4" t="s">
        <v>7946</v>
      </c>
      <c r="E4851" s="4">
        <v>5457223.0</v>
      </c>
      <c r="F4851" s="4">
        <v>50.0</v>
      </c>
      <c r="G4851" s="4" t="s">
        <v>7947</v>
      </c>
    </row>
    <row r="4852">
      <c r="A4852" s="1">
        <v>4850.0</v>
      </c>
      <c r="B4852" s="4" t="s">
        <v>7948</v>
      </c>
      <c r="C4852" s="4" t="str">
        <f>IFERROR(__xludf.DUMMYFUNCTION("GOOGLETRANSLATE(D:D,""auto"",""en"")"),"Whale found off the South China Sea for the first time")</f>
        <v>Whale found off the South China Sea for the first time</v>
      </c>
      <c r="D4852" s="4" t="s">
        <v>7868</v>
      </c>
      <c r="E4852" s="4">
        <v>1.0526305E7</v>
      </c>
      <c r="F4852" s="4">
        <v>1.0</v>
      </c>
      <c r="G4852" s="4" t="s">
        <v>7869</v>
      </c>
    </row>
    <row r="4853">
      <c r="A4853" s="1">
        <v>4851.0</v>
      </c>
      <c r="B4853" s="4" t="s">
        <v>7948</v>
      </c>
      <c r="C4853" s="4" t="str">
        <f>IFERROR(__xludf.DUMMYFUNCTION("GOOGLETRANSLATE(D:D,""auto"",""en"")"),"Fei Xu responded Super Girl reunion")</f>
        <v>Fei Xu responded Super Girl reunion</v>
      </c>
      <c r="D4853" s="4" t="s">
        <v>7876</v>
      </c>
      <c r="E4853" s="4">
        <v>1.0135401E7</v>
      </c>
      <c r="F4853" s="4">
        <v>2.0</v>
      </c>
      <c r="G4853" s="4" t="s">
        <v>7877</v>
      </c>
    </row>
    <row r="4854">
      <c r="A4854" s="1">
        <v>4852.0</v>
      </c>
      <c r="B4854" s="4" t="s">
        <v>7948</v>
      </c>
      <c r="C4854" s="4" t="str">
        <f>IFERROR(__xludf.DUMMYFUNCTION("GOOGLETRANSLATE(D:D,""auto"",""en"")"),"Angelababy do pottery")</f>
        <v>Angelababy do pottery</v>
      </c>
      <c r="D4854" s="4" t="s">
        <v>7920</v>
      </c>
      <c r="E4854" s="4">
        <v>9570780.0</v>
      </c>
      <c r="F4854" s="4">
        <v>3.0</v>
      </c>
      <c r="G4854" s="4" t="s">
        <v>7921</v>
      </c>
    </row>
    <row r="4855">
      <c r="A4855" s="1">
        <v>4853.0</v>
      </c>
      <c r="B4855" s="4" t="s">
        <v>7948</v>
      </c>
      <c r="C4855" s="4" t="str">
        <f>IFERROR(__xludf.DUMMYFUNCTION("GOOGLETRANSLATE(D:D,""auto"",""en"")"),"Space Aurora million people vow")</f>
        <v>Space Aurora million people vow</v>
      </c>
      <c r="D4855" s="4" t="s">
        <v>7949</v>
      </c>
      <c r="E4855" s="4">
        <v>9271194.0</v>
      </c>
      <c r="F4855" s="4">
        <v>4.0</v>
      </c>
      <c r="G4855" s="4" t="s">
        <v>7950</v>
      </c>
    </row>
    <row r="4856">
      <c r="A4856" s="1">
        <v>4854.0</v>
      </c>
      <c r="B4856" s="4" t="s">
        <v>7948</v>
      </c>
      <c r="C4856" s="4" t="str">
        <f>IFERROR(__xludf.DUMMYFUNCTION("GOOGLETRANSLATE(D:D,""auto"",""en"")"),"Throwing flowers into a painting challenge")</f>
        <v>Throwing flowers into a painting challenge</v>
      </c>
      <c r="D4856" s="4" t="s">
        <v>7951</v>
      </c>
      <c r="E4856" s="4">
        <v>8820442.0</v>
      </c>
      <c r="F4856" s="4">
        <v>5.0</v>
      </c>
      <c r="G4856" s="4" t="s">
        <v>7952</v>
      </c>
    </row>
    <row r="4857">
      <c r="A4857" s="1">
        <v>4855.0</v>
      </c>
      <c r="B4857" s="4" t="s">
        <v>7948</v>
      </c>
      <c r="C4857" s="4" t="str">
        <f>IFERROR(__xludf.DUMMYFUNCTION("GOOGLETRANSLATE(D:D,""auto"",""en"")"),"Dunks brother threatened championship is diss")</f>
        <v>Dunks brother threatened championship is diss</v>
      </c>
      <c r="D4857" s="4" t="s">
        <v>7953</v>
      </c>
      <c r="E4857" s="4">
        <v>8477724.0</v>
      </c>
      <c r="F4857" s="4">
        <v>6.0</v>
      </c>
      <c r="G4857" s="4" t="s">
        <v>7954</v>
      </c>
    </row>
    <row r="4858">
      <c r="A4858" s="1">
        <v>4856.0</v>
      </c>
      <c r="B4858" s="4" t="s">
        <v>7948</v>
      </c>
      <c r="C4858" s="4" t="str">
        <f>IFERROR(__xludf.DUMMYFUNCTION("GOOGLETRANSLATE(D:D,""auto"",""en"")"),"The maximum annual Super Moon tonight staged")</f>
        <v>The maximum annual Super Moon tonight staged</v>
      </c>
      <c r="D4858" s="4" t="s">
        <v>7955</v>
      </c>
      <c r="E4858" s="4">
        <v>8427368.0</v>
      </c>
      <c r="F4858" s="4">
        <v>7.0</v>
      </c>
      <c r="G4858" s="4" t="s">
        <v>7956</v>
      </c>
    </row>
    <row r="4859">
      <c r="A4859" s="1">
        <v>4857.0</v>
      </c>
      <c r="B4859" s="4" t="s">
        <v>7948</v>
      </c>
      <c r="C4859" s="4" t="str">
        <f>IFERROR(__xludf.DUMMYFUNCTION("GOOGLETRANSLATE(D:D,""auto"",""en"")"),"Russia shot down by US fighters around the empty provocation")</f>
        <v>Russia shot down by US fighters around the empty provocation</v>
      </c>
      <c r="D4859" s="4" t="s">
        <v>7892</v>
      </c>
      <c r="E4859" s="4">
        <v>8419711.0</v>
      </c>
      <c r="F4859" s="4">
        <v>8.0</v>
      </c>
      <c r="G4859" s="4" t="s">
        <v>7893</v>
      </c>
    </row>
    <row r="4860">
      <c r="A4860" s="1">
        <v>4858.0</v>
      </c>
      <c r="B4860" s="4" t="s">
        <v>7948</v>
      </c>
      <c r="C4860" s="4" t="str">
        <f>IFERROR(__xludf.DUMMYFUNCTION("GOOGLETRANSLATE(D:D,""auto"",""en"")"),"Lu rain disheveled dressing")</f>
        <v>Lu rain disheveled dressing</v>
      </c>
      <c r="D4860" s="4" t="s">
        <v>7957</v>
      </c>
      <c r="E4860" s="4">
        <v>8367534.0</v>
      </c>
      <c r="F4860" s="4">
        <v>9.0</v>
      </c>
      <c r="G4860" s="4" t="s">
        <v>7958</v>
      </c>
    </row>
    <row r="4861">
      <c r="A4861" s="1">
        <v>4859.0</v>
      </c>
      <c r="B4861" s="4" t="s">
        <v>7948</v>
      </c>
      <c r="C4861" s="4" t="str">
        <f>IFERROR(__xludf.DUMMYFUNCTION("GOOGLETRANSLATE(D:D,""auto"",""en"")"),"32 cases of new confirmed cases nationwide")</f>
        <v>32 cases of new confirmed cases nationwide</v>
      </c>
      <c r="D4861" s="4" t="s">
        <v>7959</v>
      </c>
      <c r="E4861" s="4">
        <v>8254530.0</v>
      </c>
      <c r="F4861" s="4">
        <v>10.0</v>
      </c>
      <c r="G4861" s="4" t="s">
        <v>7960</v>
      </c>
    </row>
    <row r="4862">
      <c r="A4862" s="1">
        <v>4860.0</v>
      </c>
      <c r="B4862" s="4" t="s">
        <v>7948</v>
      </c>
      <c r="C4862" s="4" t="str">
        <f>IFERROR(__xludf.DUMMYFUNCTION("GOOGLETRANSLATE(D:D,""auto"",""en"")"),"Global challenges wash their hands dance")</f>
        <v>Global challenges wash their hands dance</v>
      </c>
      <c r="D4862" s="4" t="s">
        <v>7961</v>
      </c>
      <c r="E4862" s="4">
        <v>8103190.0</v>
      </c>
      <c r="F4862" s="4">
        <v>11.0</v>
      </c>
      <c r="G4862" s="4" t="s">
        <v>7962</v>
      </c>
    </row>
    <row r="4863">
      <c r="A4863" s="1">
        <v>4861.0</v>
      </c>
      <c r="B4863" s="4" t="s">
        <v>7948</v>
      </c>
      <c r="C4863" s="4" t="str">
        <f>IFERROR(__xludf.DUMMYFUNCTION("GOOGLETRANSLATE(D:D,""auto"",""en"")"),"British Prime disease progression transferred to ICU")</f>
        <v>British Prime disease progression transferred to ICU</v>
      </c>
      <c r="D4863" s="4" t="s">
        <v>7963</v>
      </c>
      <c r="E4863" s="4">
        <v>8080362.0</v>
      </c>
      <c r="F4863" s="4">
        <v>12.0</v>
      </c>
      <c r="G4863" s="4" t="s">
        <v>7964</v>
      </c>
    </row>
    <row r="4864">
      <c r="A4864" s="1">
        <v>4862.0</v>
      </c>
      <c r="B4864" s="4" t="s">
        <v>7948</v>
      </c>
      <c r="C4864" s="4" t="str">
        <f>IFERROR(__xludf.DUMMYFUNCTION("GOOGLETRANSLATE(D:D,""auto"",""en"")"),"Luo return to the ultimate challenge")</f>
        <v>Luo return to the ultimate challenge</v>
      </c>
      <c r="D4864" s="4" t="s">
        <v>7965</v>
      </c>
      <c r="E4864" s="4">
        <v>8061706.0</v>
      </c>
      <c r="F4864" s="4">
        <v>13.0</v>
      </c>
      <c r="G4864" s="4" t="s">
        <v>7966</v>
      </c>
    </row>
    <row r="4865">
      <c r="A4865" s="1">
        <v>4863.0</v>
      </c>
      <c r="B4865" s="4" t="s">
        <v>7948</v>
      </c>
      <c r="C4865" s="4" t="str">
        <f>IFERROR(__xludf.DUMMYFUNCTION("GOOGLETRANSLATE(D:D,""auto"",""en"")"),"Bai Jingting Bai Jingting")</f>
        <v>Bai Jingting Bai Jingting</v>
      </c>
      <c r="D4865" s="4" t="s">
        <v>7967</v>
      </c>
      <c r="E4865" s="4">
        <v>8053982.0</v>
      </c>
      <c r="F4865" s="4">
        <v>14.0</v>
      </c>
      <c r="G4865" s="4" t="s">
        <v>7968</v>
      </c>
    </row>
    <row r="4866">
      <c r="A4866" s="1">
        <v>4864.0</v>
      </c>
      <c r="B4866" s="4" t="s">
        <v>7948</v>
      </c>
      <c r="C4866" s="4" t="str">
        <f>IFERROR(__xludf.DUMMYFUNCTION("GOOGLETRANSLATE(D:D,""auto"",""en"")"),"Zhang quietly return the aircraft on scene")</f>
        <v>Zhang quietly return the aircraft on scene</v>
      </c>
      <c r="D4866" s="4" t="s">
        <v>7969</v>
      </c>
      <c r="E4866" s="4">
        <v>8009261.0</v>
      </c>
      <c r="F4866" s="4">
        <v>15.0</v>
      </c>
      <c r="G4866" s="4" t="s">
        <v>7970</v>
      </c>
    </row>
    <row r="4867">
      <c r="A4867" s="1">
        <v>4865.0</v>
      </c>
      <c r="B4867" s="4" t="s">
        <v>7948</v>
      </c>
      <c r="C4867" s="4" t="str">
        <f>IFERROR(__xludf.DUMMYFUNCTION("GOOGLETRANSLATE(D:D,""auto"",""en"")"),"Student textbook grade stockpile")</f>
        <v>Student textbook grade stockpile</v>
      </c>
      <c r="D4867" s="4" t="s">
        <v>7971</v>
      </c>
      <c r="E4867" s="4">
        <v>7932440.0</v>
      </c>
      <c r="F4867" s="4">
        <v>16.0</v>
      </c>
      <c r="G4867" s="4" t="s">
        <v>7972</v>
      </c>
    </row>
    <row r="4868">
      <c r="A4868" s="1">
        <v>4866.0</v>
      </c>
      <c r="B4868" s="4" t="s">
        <v>7948</v>
      </c>
      <c r="C4868" s="4" t="str">
        <f>IFERROR(__xludf.DUMMYFUNCTION("GOOGLETRANSLATE(D:D,""auto"",""en"")"),"Xu Jiaqi's curtains")</f>
        <v>Xu Jiaqi's curtains</v>
      </c>
      <c r="D4868" s="4" t="s">
        <v>7973</v>
      </c>
      <c r="E4868" s="4">
        <v>7621590.0</v>
      </c>
      <c r="F4868" s="4">
        <v>17.0</v>
      </c>
      <c r="G4868" s="4" t="s">
        <v>7974</v>
      </c>
    </row>
    <row r="4869">
      <c r="A4869" s="1">
        <v>4867.0</v>
      </c>
      <c r="B4869" s="4" t="s">
        <v>7948</v>
      </c>
      <c r="C4869" s="4" t="str">
        <f>IFERROR(__xludf.DUMMYFUNCTION("GOOGLETRANSLATE(D:D,""auto"",""en"")"),"Fortunately, the Swiss coffee apology")</f>
        <v>Fortunately, the Swiss coffee apology</v>
      </c>
      <c r="D4869" s="4" t="s">
        <v>7803</v>
      </c>
      <c r="E4869" s="4">
        <v>7540095.0</v>
      </c>
      <c r="F4869" s="4">
        <v>18.0</v>
      </c>
      <c r="G4869" s="4" t="s">
        <v>7804</v>
      </c>
    </row>
    <row r="4870">
      <c r="A4870" s="1">
        <v>4868.0</v>
      </c>
      <c r="B4870" s="4" t="s">
        <v>7948</v>
      </c>
      <c r="C4870" s="4" t="str">
        <f>IFERROR(__xludf.DUMMYFUNCTION("GOOGLETRANSLATE(D:D,""auto"",""en"")"),"EG Eamon")</f>
        <v>EG Eamon</v>
      </c>
      <c r="D4870" s="4" t="s">
        <v>7975</v>
      </c>
      <c r="E4870" s="4">
        <v>7511157.0</v>
      </c>
      <c r="F4870" s="4">
        <v>19.0</v>
      </c>
      <c r="G4870" s="4" t="s">
        <v>7976</v>
      </c>
    </row>
    <row r="4871">
      <c r="A4871" s="1">
        <v>4869.0</v>
      </c>
      <c r="B4871" s="4" t="s">
        <v>7948</v>
      </c>
      <c r="C4871" s="4" t="str">
        <f>IFERROR(__xludf.DUMMYFUNCTION("GOOGLETRANSLATE(D:D,""auto"",""en"")"),"WHO says 90 percent of the global impact of suspension of classes by students")</f>
        <v>WHO says 90 percent of the global impact of suspension of classes by students</v>
      </c>
      <c r="D4871" s="4" t="s">
        <v>7977</v>
      </c>
      <c r="E4871" s="4">
        <v>7377977.0</v>
      </c>
      <c r="F4871" s="4">
        <v>20.0</v>
      </c>
      <c r="G4871" s="4" t="s">
        <v>7978</v>
      </c>
    </row>
    <row r="4872">
      <c r="A4872" s="1">
        <v>4870.0</v>
      </c>
      <c r="B4872" s="4" t="s">
        <v>7948</v>
      </c>
      <c r="C4872" s="4" t="str">
        <f>IFERROR(__xludf.DUMMYFUNCTION("GOOGLETRANSLATE(D:D,""auto"",""en"")"),"There Wuhan seal to lift one hour")</f>
        <v>There Wuhan seal to lift one hour</v>
      </c>
      <c r="D4872" s="4" t="s">
        <v>7979</v>
      </c>
      <c r="E4872" s="4">
        <v>7314873.0</v>
      </c>
      <c r="F4872" s="4">
        <v>21.0</v>
      </c>
      <c r="G4872" s="4" t="s">
        <v>7980</v>
      </c>
    </row>
    <row r="4873">
      <c r="A4873" s="1">
        <v>4871.0</v>
      </c>
      <c r="B4873" s="4" t="s">
        <v>7948</v>
      </c>
      <c r="C4873" s="4" t="str">
        <f>IFERROR(__xludf.DUMMYFUNCTION("GOOGLETRANSLATE(D:D,""auto"",""en"")"),"Heilongjiang new foreign input 20 cases")</f>
        <v>Heilongjiang new foreign input 20 cases</v>
      </c>
      <c r="D4873" s="4" t="s">
        <v>7981</v>
      </c>
      <c r="E4873" s="4">
        <v>7050065.0</v>
      </c>
      <c r="F4873" s="4">
        <v>22.0</v>
      </c>
      <c r="G4873" s="4" t="s">
        <v>7982</v>
      </c>
    </row>
    <row r="4874">
      <c r="A4874" s="1">
        <v>4872.0</v>
      </c>
      <c r="B4874" s="4" t="s">
        <v>7948</v>
      </c>
      <c r="C4874" s="4" t="str">
        <f>IFERROR(__xludf.DUMMYFUNCTION("GOOGLETRANSLATE(D:D,""auto"",""en"")"),"Langweixianchi broadcast connection fight against SARS doctors")</f>
        <v>Langweixianchi broadcast connection fight against SARS doctors</v>
      </c>
      <c r="D4874" s="4" t="s">
        <v>7890</v>
      </c>
      <c r="E4874" s="4">
        <v>7003626.0</v>
      </c>
      <c r="F4874" s="4">
        <v>23.0</v>
      </c>
      <c r="G4874" s="4" t="s">
        <v>7891</v>
      </c>
    </row>
    <row r="4875">
      <c r="A4875" s="1">
        <v>4873.0</v>
      </c>
      <c r="B4875" s="4" t="s">
        <v>7948</v>
      </c>
      <c r="C4875" s="4" t="str">
        <f>IFERROR(__xludf.DUMMYFUNCTION("GOOGLETRANSLATE(D:D,""auto"",""en"")"),"Zhao Liying online language test")</f>
        <v>Zhao Liying online language test</v>
      </c>
      <c r="D4875" s="4" t="s">
        <v>7880</v>
      </c>
      <c r="E4875" s="4">
        <v>6910837.0</v>
      </c>
      <c r="F4875" s="4">
        <v>24.0</v>
      </c>
      <c r="G4875" s="4" t="s">
        <v>7881</v>
      </c>
    </row>
    <row r="4876">
      <c r="A4876" s="1">
        <v>4874.0</v>
      </c>
      <c r="B4876" s="4" t="s">
        <v>7948</v>
      </c>
      <c r="C4876" s="4" t="str">
        <f>IFERROR(__xludf.DUMMYFUNCTION("GOOGLETRANSLATE(D:D,""auto"",""en"")"),"Moss sister stick on Xi Yi smelt one thousand")</f>
        <v>Moss sister stick on Xi Yi smelt one thousand</v>
      </c>
      <c r="D4876" s="4" t="s">
        <v>7872</v>
      </c>
      <c r="E4876" s="4">
        <v>6863104.0</v>
      </c>
      <c r="F4876" s="4">
        <v>25.0</v>
      </c>
      <c r="G4876" s="4" t="s">
        <v>7873</v>
      </c>
    </row>
    <row r="4877">
      <c r="A4877" s="1">
        <v>4875.0</v>
      </c>
      <c r="B4877" s="4" t="s">
        <v>7948</v>
      </c>
      <c r="C4877" s="4" t="str">
        <f>IFERROR(__xludf.DUMMYFUNCTION("GOOGLETRANSLATE(D:D,""auto"",""en"")"),"Migratory birds mistake the glass wall when the sky was killed")</f>
        <v>Migratory birds mistake the glass wall when the sky was killed</v>
      </c>
      <c r="D4877" s="4" t="s">
        <v>7896</v>
      </c>
      <c r="E4877" s="4">
        <v>6819109.0</v>
      </c>
      <c r="F4877" s="4">
        <v>26.0</v>
      </c>
      <c r="G4877" s="4" t="s">
        <v>7897</v>
      </c>
    </row>
    <row r="4878">
      <c r="A4878" s="1">
        <v>4876.0</v>
      </c>
      <c r="B4878" s="4" t="s">
        <v>7948</v>
      </c>
      <c r="C4878" s="4" t="str">
        <f>IFERROR(__xludf.DUMMYFUNCTION("GOOGLETRANSLATE(D:D,""auto"",""en"")"),"Police stopped hoarse girl to commit suicide")</f>
        <v>Police stopped hoarse girl to commit suicide</v>
      </c>
      <c r="D4878" s="4" t="s">
        <v>7924</v>
      </c>
      <c r="E4878" s="4">
        <v>6794239.0</v>
      </c>
      <c r="F4878" s="4">
        <v>27.0</v>
      </c>
      <c r="G4878" s="4" t="s">
        <v>7925</v>
      </c>
    </row>
    <row r="4879">
      <c r="A4879" s="1">
        <v>4877.0</v>
      </c>
      <c r="B4879" s="4" t="s">
        <v>7948</v>
      </c>
      <c r="C4879" s="4" t="str">
        <f>IFERROR(__xludf.DUMMYFUNCTION("GOOGLETRANSLATE(D:D,""auto"",""en"")"),"Xiamen June 30 A state-level scenic spots all free")</f>
        <v>Xiamen June 30 A state-level scenic spots all free</v>
      </c>
      <c r="D4879" s="4" t="s">
        <v>7983</v>
      </c>
      <c r="E4879" s="4">
        <v>6754829.0</v>
      </c>
      <c r="F4879" s="4">
        <v>28.0</v>
      </c>
      <c r="G4879" s="4" t="s">
        <v>7984</v>
      </c>
    </row>
    <row r="4880">
      <c r="A4880" s="1">
        <v>4878.0</v>
      </c>
      <c r="B4880" s="4" t="s">
        <v>7948</v>
      </c>
      <c r="C4880" s="4" t="str">
        <f>IFERROR(__xludf.DUMMYFUNCTION("GOOGLETRANSLATE(D:D,""auto"",""en"")"),"Massu propaganda Li Xueqin")</f>
        <v>Massu propaganda Li Xueqin</v>
      </c>
      <c r="D4880" s="4" t="s">
        <v>7884</v>
      </c>
      <c r="E4880" s="4">
        <v>6735150.0</v>
      </c>
      <c r="F4880" s="4">
        <v>29.0</v>
      </c>
      <c r="G4880" s="4" t="s">
        <v>7885</v>
      </c>
    </row>
    <row r="4881">
      <c r="A4881" s="1">
        <v>4879.0</v>
      </c>
      <c r="B4881" s="4" t="s">
        <v>7948</v>
      </c>
      <c r="C4881" s="4" t="str">
        <f>IFERROR(__xludf.DUMMYFUNCTION("GOOGLETRANSLATE(D:D,""auto"",""en"")"),"Chen Qian cherry headphone cable wrapped around the waist dance")</f>
        <v>Chen Qian cherry headphone cable wrapped around the waist dance</v>
      </c>
      <c r="D4881" s="4" t="s">
        <v>7918</v>
      </c>
      <c r="E4881" s="4">
        <v>6677610.0</v>
      </c>
      <c r="F4881" s="4">
        <v>30.0</v>
      </c>
      <c r="G4881" s="4" t="s">
        <v>7919</v>
      </c>
    </row>
    <row r="4882">
      <c r="A4882" s="1">
        <v>4880.0</v>
      </c>
      <c r="B4882" s="4" t="s">
        <v>7948</v>
      </c>
      <c r="C4882" s="4" t="str">
        <f>IFERROR(__xludf.DUMMYFUNCTION("GOOGLETRANSLATE(D:D,""auto"",""en"")"),"Yu Huan water")</f>
        <v>Yu Huan water</v>
      </c>
      <c r="D4882" s="4" t="s">
        <v>7985</v>
      </c>
      <c r="E4882" s="4">
        <v>6665428.0</v>
      </c>
      <c r="F4882" s="4">
        <v>31.0</v>
      </c>
      <c r="G4882" s="4" t="s">
        <v>7986</v>
      </c>
    </row>
    <row r="4883">
      <c r="A4883" s="1">
        <v>4881.0</v>
      </c>
      <c r="B4883" s="4" t="s">
        <v>7948</v>
      </c>
      <c r="C4883" s="4" t="str">
        <f>IFERROR(__xludf.DUMMYFUNCTION("GOOGLETRANSLATE(D:D,""auto"",""en"")"),"Kazuhiro O Ebisuhei 拔鼻 hair")</f>
        <v>Kazuhiro O Ebisuhei 拔鼻 hair</v>
      </c>
      <c r="D4883" s="4" t="s">
        <v>7987</v>
      </c>
      <c r="E4883" s="4">
        <v>6610592.0</v>
      </c>
      <c r="F4883" s="4">
        <v>32.0</v>
      </c>
      <c r="G4883" s="4" t="s">
        <v>7988</v>
      </c>
    </row>
    <row r="4884">
      <c r="A4884" s="1">
        <v>4882.0</v>
      </c>
      <c r="B4884" s="4" t="s">
        <v>7948</v>
      </c>
      <c r="C4884" s="4" t="str">
        <f>IFERROR(__xludf.DUMMYFUNCTION("GOOGLETRANSLATE(D:D,""auto"",""en"")"),"Labor arbitration company lost two sacks one yuan banknote")</f>
        <v>Labor arbitration company lost two sacks one yuan banknote</v>
      </c>
      <c r="D4884" s="4" t="s">
        <v>7886</v>
      </c>
      <c r="E4884" s="4">
        <v>6545581.0</v>
      </c>
      <c r="F4884" s="4">
        <v>33.0</v>
      </c>
      <c r="G4884" s="4" t="s">
        <v>7887</v>
      </c>
    </row>
    <row r="4885">
      <c r="A4885" s="1">
        <v>4883.0</v>
      </c>
      <c r="B4885" s="4" t="s">
        <v>7948</v>
      </c>
      <c r="C4885" s="4" t="str">
        <f>IFERROR(__xludf.DUMMYFUNCTION("GOOGLETRANSLATE(D:D,""auto"",""en"")"),"Li Jia Hang hop dance question mark")</f>
        <v>Li Jia Hang hop dance question mark</v>
      </c>
      <c r="D4885" s="4" t="s">
        <v>7797</v>
      </c>
      <c r="E4885" s="4">
        <v>6545447.0</v>
      </c>
      <c r="F4885" s="4">
        <v>34.0</v>
      </c>
      <c r="G4885" s="4" t="s">
        <v>7798</v>
      </c>
    </row>
    <row r="4886">
      <c r="A4886" s="1">
        <v>4884.0</v>
      </c>
      <c r="B4886" s="4" t="s">
        <v>7948</v>
      </c>
      <c r="C4886" s="4" t="str">
        <f>IFERROR(__xludf.DUMMYFUNCTION("GOOGLETRANSLATE(D:D,""auto"",""en"")"),"US new crown over 360,000 cases diagnosed pneumonia")</f>
        <v>US new crown over 360,000 cases diagnosed pneumonia</v>
      </c>
      <c r="D4886" s="4" t="s">
        <v>7989</v>
      </c>
      <c r="E4886" s="4">
        <v>6543887.0</v>
      </c>
      <c r="F4886" s="4">
        <v>35.0</v>
      </c>
      <c r="G4886" s="4" t="s">
        <v>7990</v>
      </c>
    </row>
    <row r="4887">
      <c r="A4887" s="1">
        <v>4885.0</v>
      </c>
      <c r="B4887" s="4" t="s">
        <v>7948</v>
      </c>
      <c r="C4887" s="4" t="str">
        <f>IFERROR(__xludf.DUMMYFUNCTION("GOOGLETRANSLATE(D:D,""auto"",""en"")"),"How to tell freshman and seniors")</f>
        <v>How to tell freshman and seniors</v>
      </c>
      <c r="D4887" s="4" t="s">
        <v>7914</v>
      </c>
      <c r="E4887" s="4">
        <v>6528641.0</v>
      </c>
      <c r="F4887" s="4">
        <v>36.0</v>
      </c>
      <c r="G4887" s="4" t="s">
        <v>7915</v>
      </c>
    </row>
    <row r="4888">
      <c r="A4888" s="1">
        <v>4886.0</v>
      </c>
      <c r="B4888" s="4" t="s">
        <v>7948</v>
      </c>
      <c r="C4888" s="4" t="str">
        <f>IFERROR(__xludf.DUMMYFUNCTION("GOOGLETRANSLATE(D:D,""auto"",""en"")"),"He figures global epidemic by two Chinese trader America, Dr.")</f>
        <v>He figures global epidemic by two Chinese trader America, Dr.</v>
      </c>
      <c r="D4888" s="4" t="s">
        <v>7942</v>
      </c>
      <c r="E4888" s="4">
        <v>6522350.0</v>
      </c>
      <c r="F4888" s="4">
        <v>37.0</v>
      </c>
      <c r="G4888" s="4" t="s">
        <v>7943</v>
      </c>
    </row>
    <row r="4889">
      <c r="A4889" s="1">
        <v>4887.0</v>
      </c>
      <c r="B4889" s="4" t="s">
        <v>7948</v>
      </c>
      <c r="C4889" s="4" t="str">
        <f>IFERROR(__xludf.DUMMYFUNCTION("GOOGLETRANSLATE(D:D,""auto"",""en"")"),"America became the third country of over a million deaths")</f>
        <v>America became the third country of over a million deaths</v>
      </c>
      <c r="D4889" s="4" t="s">
        <v>7991</v>
      </c>
      <c r="E4889" s="4">
        <v>6453836.0</v>
      </c>
      <c r="F4889" s="4">
        <v>38.0</v>
      </c>
      <c r="G4889" s="4" t="s">
        <v>7992</v>
      </c>
    </row>
    <row r="4890">
      <c r="A4890" s="1">
        <v>4888.0</v>
      </c>
      <c r="B4890" s="4" t="s">
        <v>7948</v>
      </c>
      <c r="C4890" s="4" t="str">
        <f>IFERROR(__xludf.DUMMYFUNCTION("GOOGLETRANSLATE(D:D,""auto"",""en"")"),"Zhang quietly aid to non husband to return home as soon as possible hope for help")</f>
        <v>Zhang quietly aid to non husband to return home as soon as possible hope for help</v>
      </c>
      <c r="D4890" s="4" t="s">
        <v>7993</v>
      </c>
      <c r="E4890" s="4">
        <v>6426243.0</v>
      </c>
      <c r="F4890" s="4">
        <v>39.0</v>
      </c>
      <c r="G4890" s="4" t="s">
        <v>7994</v>
      </c>
    </row>
    <row r="4891">
      <c r="A4891" s="1">
        <v>4889.0</v>
      </c>
      <c r="B4891" s="4" t="s">
        <v>7948</v>
      </c>
      <c r="C4891" s="4" t="str">
        <f>IFERROR(__xludf.DUMMYFUNCTION("GOOGLETRANSLATE(D:D,""auto"",""en"")"),"Japan launched the Olympic kimono")</f>
        <v>Japan launched the Olympic kimono</v>
      </c>
      <c r="D4891" s="4" t="s">
        <v>7995</v>
      </c>
      <c r="E4891" s="4">
        <v>6418987.0</v>
      </c>
      <c r="F4891" s="4">
        <v>40.0</v>
      </c>
      <c r="G4891" s="4" t="s">
        <v>7996</v>
      </c>
    </row>
    <row r="4892">
      <c r="A4892" s="1">
        <v>4890.0</v>
      </c>
      <c r="B4892" s="4" t="s">
        <v>7948</v>
      </c>
      <c r="C4892" s="4" t="str">
        <f>IFERROR(__xludf.DUMMYFUNCTION("GOOGLETRANSLATE(D:D,""auto"",""en"")"),"Trump disease progression in response to British Prime Minister")</f>
        <v>Trump disease progression in response to British Prime Minister</v>
      </c>
      <c r="D4892" s="4" t="s">
        <v>7997</v>
      </c>
      <c r="E4892" s="4">
        <v>6416163.0</v>
      </c>
      <c r="F4892" s="4">
        <v>41.0</v>
      </c>
      <c r="G4892" s="4" t="s">
        <v>7998</v>
      </c>
    </row>
    <row r="4893">
      <c r="A4893" s="1">
        <v>4891.0</v>
      </c>
      <c r="B4893" s="4" t="s">
        <v>7948</v>
      </c>
      <c r="C4893" s="4" t="str">
        <f>IFERROR(__xludf.DUMMYFUNCTION("GOOGLETRANSLATE(D:D,""auto"",""en"")"),"When the Huskies turned Unicorn")</f>
        <v>When the Huskies turned Unicorn</v>
      </c>
      <c r="D4893" s="4" t="s">
        <v>7999</v>
      </c>
      <c r="E4893" s="4">
        <v>6411426.0</v>
      </c>
      <c r="F4893" s="4">
        <v>42.0</v>
      </c>
      <c r="G4893" s="4" t="s">
        <v>8000</v>
      </c>
    </row>
    <row r="4894">
      <c r="A4894" s="1">
        <v>4892.0</v>
      </c>
      <c r="B4894" s="4" t="s">
        <v>7948</v>
      </c>
      <c r="C4894" s="4" t="str">
        <f>IFERROR(__xludf.DUMMYFUNCTION("GOOGLETRANSLATE(D:D,""auto"",""en"")"),"JK Rowling new crown after symptoms rehabilitation")</f>
        <v>JK Rowling new crown after symptoms rehabilitation</v>
      </c>
      <c r="D4894" s="4" t="s">
        <v>8001</v>
      </c>
      <c r="E4894" s="4">
        <v>6410880.0</v>
      </c>
      <c r="F4894" s="4">
        <v>43.0</v>
      </c>
      <c r="G4894" s="4" t="s">
        <v>8002</v>
      </c>
    </row>
    <row r="4895">
      <c r="A4895" s="1">
        <v>4893.0</v>
      </c>
      <c r="B4895" s="4" t="s">
        <v>7948</v>
      </c>
      <c r="C4895" s="4" t="str">
        <f>IFERROR(__xludf.DUMMYFUNCTION("GOOGLETRANSLATE(D:D,""auto"",""en"")"),"Deng purple chess true height")</f>
        <v>Deng purple chess true height</v>
      </c>
      <c r="D4895" s="4" t="s">
        <v>8003</v>
      </c>
      <c r="E4895" s="4">
        <v>6410880.0</v>
      </c>
      <c r="F4895" s="4">
        <v>44.0</v>
      </c>
      <c r="G4895" s="4" t="s">
        <v>8004</v>
      </c>
    </row>
    <row r="4896">
      <c r="A4896" s="1">
        <v>4894.0</v>
      </c>
      <c r="B4896" s="4" t="s">
        <v>7948</v>
      </c>
      <c r="C4896" s="4" t="str">
        <f>IFERROR(__xludf.DUMMYFUNCTION("GOOGLETRANSLATE(D:D,""auto"",""en"")"),"After the quarantine dogs being kicked hiding in his arms to console")</f>
        <v>After the quarantine dogs being kicked hiding in his arms to console</v>
      </c>
      <c r="D4896" s="4" t="s">
        <v>8005</v>
      </c>
      <c r="E4896" s="4">
        <v>6409289.0</v>
      </c>
      <c r="F4896" s="4">
        <v>45.0</v>
      </c>
      <c r="G4896" s="4" t="s">
        <v>8006</v>
      </c>
    </row>
    <row r="4897">
      <c r="A4897" s="1">
        <v>4895.0</v>
      </c>
      <c r="B4897" s="4" t="s">
        <v>7948</v>
      </c>
      <c r="C4897" s="4" t="str">
        <f>IFERROR(__xludf.DUMMYFUNCTION("GOOGLETRANSLATE(D:D,""auto"",""en"")"),"Antic's death")</f>
        <v>Antic's death</v>
      </c>
      <c r="D4897" s="4" t="s">
        <v>8007</v>
      </c>
      <c r="E4897" s="4">
        <v>6349804.0</v>
      </c>
      <c r="F4897" s="4">
        <v>46.0</v>
      </c>
      <c r="G4897" s="4" t="s">
        <v>8008</v>
      </c>
    </row>
    <row r="4898">
      <c r="A4898" s="1">
        <v>4896.0</v>
      </c>
      <c r="B4898" s="4" t="s">
        <v>7948</v>
      </c>
      <c r="C4898" s="4" t="str">
        <f>IFERROR(__xludf.DUMMYFUNCTION("GOOGLETRANSLATE(D:D,""auto"",""en"")"),"The implementation of the country and more action chopsticks Gongbiao")</f>
        <v>The implementation of the country and more action chopsticks Gongbiao</v>
      </c>
      <c r="D4898" s="4" t="s">
        <v>7936</v>
      </c>
      <c r="E4898" s="4">
        <v>6304563.0</v>
      </c>
      <c r="F4898" s="4">
        <v>47.0</v>
      </c>
      <c r="G4898" s="4" t="s">
        <v>7937</v>
      </c>
    </row>
    <row r="4899">
      <c r="A4899" s="1">
        <v>4897.0</v>
      </c>
      <c r="B4899" s="4" t="s">
        <v>7948</v>
      </c>
      <c r="C4899" s="4" t="str">
        <f>IFERROR(__xludf.DUMMYFUNCTION("GOOGLETRANSLATE(D:D,""auto"",""en"")"),"School")</f>
        <v>School</v>
      </c>
      <c r="D4899" s="4" t="s">
        <v>8009</v>
      </c>
      <c r="E4899" s="4">
        <v>6260846.0</v>
      </c>
      <c r="F4899" s="4">
        <v>48.0</v>
      </c>
      <c r="G4899" s="4" t="s">
        <v>8010</v>
      </c>
    </row>
    <row r="4900">
      <c r="A4900" s="1">
        <v>4898.0</v>
      </c>
      <c r="B4900" s="4" t="s">
        <v>7948</v>
      </c>
      <c r="C4900" s="4" t="str">
        <f>IFERROR(__xludf.DUMMYFUNCTION("GOOGLETRANSLATE(D:D,""auto"",""en"")"),"Hainan villagers grave python nest found")</f>
        <v>Hainan villagers grave python nest found</v>
      </c>
      <c r="D4900" s="4" t="s">
        <v>8011</v>
      </c>
      <c r="E4900" s="4">
        <v>6253652.0</v>
      </c>
      <c r="F4900" s="4">
        <v>49.0</v>
      </c>
      <c r="G4900" s="4" t="s">
        <v>8012</v>
      </c>
    </row>
    <row r="4901">
      <c r="A4901" s="1">
        <v>4899.0</v>
      </c>
      <c r="B4901" s="4" t="s">
        <v>7948</v>
      </c>
      <c r="C4901" s="4" t="str">
        <f>IFERROR(__xludf.DUMMYFUNCTION("GOOGLETRANSLATE(D:D,""auto"",""en"")"),"Hubei Wei Jian Zhang quietly died Commission to respond")</f>
        <v>Hubei Wei Jian Zhang quietly died Commission to respond</v>
      </c>
      <c r="D4901" s="4" t="s">
        <v>8013</v>
      </c>
      <c r="E4901" s="4">
        <v>6228553.0</v>
      </c>
      <c r="F4901" s="4">
        <v>50.0</v>
      </c>
      <c r="G4901" s="4" t="s">
        <v>8014</v>
      </c>
    </row>
    <row r="4902">
      <c r="A4902" s="1">
        <v>4900.0</v>
      </c>
      <c r="B4902" s="4" t="s">
        <v>8015</v>
      </c>
      <c r="C4902" s="4" t="str">
        <f>IFERROR(__xludf.DUMMYFUNCTION("GOOGLETRANSLATE(D:D,""auto"",""en"")"),"Zhang Xincheng trembling sound of")</f>
        <v>Zhang Xincheng trembling sound of</v>
      </c>
      <c r="D4902" s="4" t="s">
        <v>8016</v>
      </c>
      <c r="E4902" s="4">
        <v>9494342.0</v>
      </c>
      <c r="F4902" s="4">
        <v>1.0</v>
      </c>
      <c r="G4902" s="4" t="s">
        <v>8017</v>
      </c>
    </row>
    <row r="4903">
      <c r="A4903" s="1">
        <v>4901.0</v>
      </c>
      <c r="B4903" s="4" t="s">
        <v>8015</v>
      </c>
      <c r="C4903" s="4" t="str">
        <f>IFERROR(__xludf.DUMMYFUNCTION("GOOGLETRANSLATE(D:D,""auto"",""en"")"),"Lu rain disheveled dressing")</f>
        <v>Lu rain disheveled dressing</v>
      </c>
      <c r="D4903" s="4" t="s">
        <v>7957</v>
      </c>
      <c r="E4903" s="4">
        <v>9443579.0</v>
      </c>
      <c r="F4903" s="4">
        <v>2.0</v>
      </c>
      <c r="G4903" s="4" t="s">
        <v>7958</v>
      </c>
    </row>
    <row r="4904">
      <c r="A4904" s="1">
        <v>4902.0</v>
      </c>
      <c r="B4904" s="4" t="s">
        <v>8015</v>
      </c>
      <c r="C4904" s="4" t="str">
        <f>IFERROR(__xludf.DUMMYFUNCTION("GOOGLETRANSLATE(D:D,""auto"",""en"")"),"Yu Huan water counter-attack")</f>
        <v>Yu Huan water counter-attack</v>
      </c>
      <c r="D4904" s="4" t="s">
        <v>8018</v>
      </c>
      <c r="E4904" s="4">
        <v>9392231.0</v>
      </c>
      <c r="F4904" s="4">
        <v>3.0</v>
      </c>
      <c r="G4904" s="4" t="s">
        <v>8019</v>
      </c>
    </row>
    <row r="4905">
      <c r="A4905" s="1">
        <v>4903.0</v>
      </c>
      <c r="B4905" s="4" t="s">
        <v>8015</v>
      </c>
      <c r="C4905" s="4" t="str">
        <f>IFERROR(__xludf.DUMMYFUNCTION("GOOGLETRANSLATE(D:D,""auto"",""en"")"),"Dunks brother threatened championship is diss")</f>
        <v>Dunks brother threatened championship is diss</v>
      </c>
      <c r="D4905" s="4" t="s">
        <v>7953</v>
      </c>
      <c r="E4905" s="4">
        <v>9287120.0</v>
      </c>
      <c r="F4905" s="4">
        <v>4.0</v>
      </c>
      <c r="G4905" s="4" t="s">
        <v>7954</v>
      </c>
    </row>
    <row r="4906">
      <c r="A4906" s="1">
        <v>4904.0</v>
      </c>
      <c r="B4906" s="4" t="s">
        <v>8015</v>
      </c>
      <c r="C4906" s="4" t="str">
        <f>IFERROR(__xludf.DUMMYFUNCTION("GOOGLETRANSLATE(D:D,""auto"",""en"")"),"Bank teller neglect was angry customers turn away several hundred million")</f>
        <v>Bank teller neglect was angry customers turn away several hundred million</v>
      </c>
      <c r="D4906" s="4" t="s">
        <v>8020</v>
      </c>
      <c r="E4906" s="4">
        <v>9218244.0</v>
      </c>
      <c r="F4906" s="4">
        <v>5.0</v>
      </c>
      <c r="G4906" s="4" t="s">
        <v>8021</v>
      </c>
    </row>
    <row r="4907">
      <c r="A4907" s="1">
        <v>4905.0</v>
      </c>
      <c r="B4907" s="4" t="s">
        <v>8015</v>
      </c>
      <c r="C4907" s="4" t="str">
        <f>IFERROR(__xludf.DUMMYFUNCTION("GOOGLETRANSLATE(D:D,""auto"",""en"")"),"National new cases of 62 cases")</f>
        <v>National new cases of 62 cases</v>
      </c>
      <c r="D4907" s="4" t="s">
        <v>8022</v>
      </c>
      <c r="E4907" s="4">
        <v>9103021.0</v>
      </c>
      <c r="F4907" s="4">
        <v>6.0</v>
      </c>
      <c r="G4907" s="4" t="s">
        <v>8023</v>
      </c>
    </row>
    <row r="4908">
      <c r="A4908" s="1">
        <v>4906.0</v>
      </c>
      <c r="B4908" s="4" t="s">
        <v>8015</v>
      </c>
      <c r="C4908" s="4" t="str">
        <f>IFERROR(__xludf.DUMMYFUNCTION("GOOGLETRANSLATE(D:D,""auto"",""en"")"),"Plum soup qi Shredded night-blooming cereus")</f>
        <v>Plum soup qi Shredded night-blooming cereus</v>
      </c>
      <c r="D4908" s="4" t="s">
        <v>8024</v>
      </c>
      <c r="E4908" s="4">
        <v>9057638.0</v>
      </c>
      <c r="F4908" s="4">
        <v>7.0</v>
      </c>
      <c r="G4908" s="4" t="s">
        <v>8025</v>
      </c>
    </row>
    <row r="4909">
      <c r="A4909" s="1">
        <v>4907.0</v>
      </c>
      <c r="B4909" s="4" t="s">
        <v>8015</v>
      </c>
      <c r="C4909" s="4" t="str">
        <f>IFERROR(__xludf.DUMMYFUNCTION("GOOGLETRANSLATE(D:D,""auto"",""en"")"),"China and Jordan lost Infringement Final")</f>
        <v>China and Jordan lost Infringement Final</v>
      </c>
      <c r="D4909" s="4" t="s">
        <v>8026</v>
      </c>
      <c r="E4909" s="4">
        <v>9005104.0</v>
      </c>
      <c r="F4909" s="4">
        <v>8.0</v>
      </c>
      <c r="G4909" s="4" t="s">
        <v>8027</v>
      </c>
    </row>
    <row r="4910">
      <c r="A4910" s="1">
        <v>4908.0</v>
      </c>
      <c r="B4910" s="4" t="s">
        <v>8015</v>
      </c>
      <c r="C4910" s="4" t="str">
        <f>IFERROR(__xludf.DUMMYFUNCTION("GOOGLETRANSLATE(D:D,""auto"",""en"")"),"Wuhan reopened")</f>
        <v>Wuhan reopened</v>
      </c>
      <c r="D4910" s="4" t="s">
        <v>8028</v>
      </c>
      <c r="E4910" s="4">
        <v>8678219.0</v>
      </c>
      <c r="F4910" s="4">
        <v>9.0</v>
      </c>
      <c r="G4910" s="4" t="s">
        <v>8029</v>
      </c>
    </row>
    <row r="4911">
      <c r="A4911" s="1">
        <v>4909.0</v>
      </c>
      <c r="B4911" s="4" t="s">
        <v>8015</v>
      </c>
      <c r="C4911" s="4" t="str">
        <f>IFERROR(__xludf.DUMMYFUNCTION("GOOGLETRANSLATE(D:D,""auto"",""en"")"),"Heilongjiang new foreign imported cases 25 cases")</f>
        <v>Heilongjiang new foreign imported cases 25 cases</v>
      </c>
      <c r="D4911" s="4" t="s">
        <v>8030</v>
      </c>
      <c r="E4911" s="4">
        <v>8429049.0</v>
      </c>
      <c r="F4911" s="4">
        <v>10.0</v>
      </c>
      <c r="G4911" s="4" t="s">
        <v>8031</v>
      </c>
    </row>
    <row r="4912">
      <c r="A4912" s="1">
        <v>4910.0</v>
      </c>
      <c r="B4912" s="4" t="s">
        <v>8015</v>
      </c>
      <c r="C4912" s="4" t="str">
        <f>IFERROR(__xludf.DUMMYFUNCTION("GOOGLETRANSLATE(D:D,""auto"",""en"")"),"Gen. students declared official")</f>
        <v>Gen. students declared official</v>
      </c>
      <c r="D4912" s="4" t="s">
        <v>8032</v>
      </c>
      <c r="E4912" s="4">
        <v>8164250.0</v>
      </c>
      <c r="F4912" s="4">
        <v>11.0</v>
      </c>
      <c r="G4912" s="4" t="s">
        <v>8033</v>
      </c>
    </row>
    <row r="4913">
      <c r="A4913" s="1">
        <v>4911.0</v>
      </c>
      <c r="B4913" s="4" t="s">
        <v>8015</v>
      </c>
      <c r="C4913" s="4" t="str">
        <f>IFERROR(__xludf.DUMMYFUNCTION("GOOGLETRANSLATE(D:D,""auto"",""en"")"),"Global challenges wash their hands dance")</f>
        <v>Global challenges wash their hands dance</v>
      </c>
      <c r="D4913" s="4" t="s">
        <v>7961</v>
      </c>
      <c r="E4913" s="4">
        <v>8025756.0</v>
      </c>
      <c r="F4913" s="4">
        <v>12.0</v>
      </c>
      <c r="G4913" s="4" t="s">
        <v>7962</v>
      </c>
    </row>
    <row r="4914">
      <c r="A4914" s="1">
        <v>4912.0</v>
      </c>
      <c r="B4914" s="4" t="s">
        <v>8015</v>
      </c>
      <c r="C4914" s="4" t="str">
        <f>IFERROR(__xludf.DUMMYFUNCTION("GOOGLETRANSLATE(D:D,""auto"",""en"")"),"Angelababy do pottery")</f>
        <v>Angelababy do pottery</v>
      </c>
      <c r="D4914" s="4" t="s">
        <v>7920</v>
      </c>
      <c r="E4914" s="4">
        <v>7641570.0</v>
      </c>
      <c r="F4914" s="4">
        <v>13.0</v>
      </c>
      <c r="G4914" s="4" t="s">
        <v>7921</v>
      </c>
    </row>
    <row r="4915">
      <c r="A4915" s="1">
        <v>4913.0</v>
      </c>
      <c r="B4915" s="4" t="s">
        <v>8015</v>
      </c>
      <c r="C4915" s="4" t="str">
        <f>IFERROR(__xludf.DUMMYFUNCTION("GOOGLETRANSLATE(D:D,""auto"",""en"")"),"Space Aurora million people vow")</f>
        <v>Space Aurora million people vow</v>
      </c>
      <c r="D4915" s="4" t="s">
        <v>7949</v>
      </c>
      <c r="E4915" s="4">
        <v>7391447.0</v>
      </c>
      <c r="F4915" s="4">
        <v>14.0</v>
      </c>
      <c r="G4915" s="4" t="s">
        <v>7950</v>
      </c>
    </row>
    <row r="4916">
      <c r="A4916" s="1">
        <v>4914.0</v>
      </c>
      <c r="B4916" s="4" t="s">
        <v>8015</v>
      </c>
      <c r="C4916" s="4" t="str">
        <f>IFERROR(__xludf.DUMMYFUNCTION("GOOGLETRANSLATE(D:D,""auto"",""en"")"),"Throwing flowers into a painting challenge")</f>
        <v>Throwing flowers into a painting challenge</v>
      </c>
      <c r="D4916" s="4" t="s">
        <v>7951</v>
      </c>
      <c r="E4916" s="4">
        <v>7374014.0</v>
      </c>
      <c r="F4916" s="4">
        <v>15.0</v>
      </c>
      <c r="G4916" s="4" t="s">
        <v>7952</v>
      </c>
    </row>
    <row r="4917">
      <c r="A4917" s="1">
        <v>4915.0</v>
      </c>
      <c r="B4917" s="4" t="s">
        <v>8015</v>
      </c>
      <c r="C4917" s="4" t="str">
        <f>IFERROR(__xludf.DUMMYFUNCTION("GOOGLETRANSLATE(D:D,""auto"",""en"")"),"Shanxi new cases of 25 cases of foreign input")</f>
        <v>Shanxi new cases of 25 cases of foreign input</v>
      </c>
      <c r="D4917" s="4" t="s">
        <v>8034</v>
      </c>
      <c r="E4917" s="4">
        <v>7351778.0</v>
      </c>
      <c r="F4917" s="4">
        <v>16.0</v>
      </c>
      <c r="G4917" s="4" t="s">
        <v>8035</v>
      </c>
    </row>
    <row r="4918">
      <c r="A4918" s="1">
        <v>4916.0</v>
      </c>
      <c r="B4918" s="4" t="s">
        <v>8015</v>
      </c>
      <c r="C4918" s="4" t="str">
        <f>IFERROR(__xludf.DUMMYFUNCTION("GOOGLETRANSLATE(D:D,""auto"",""en"")"),"58 anchor blacklisted")</f>
        <v>58 anchor blacklisted</v>
      </c>
      <c r="D4918" s="4" t="s">
        <v>8036</v>
      </c>
      <c r="E4918" s="4">
        <v>7140937.0</v>
      </c>
      <c r="F4918" s="4">
        <v>17.0</v>
      </c>
      <c r="G4918" s="4" t="s">
        <v>8037</v>
      </c>
    </row>
    <row r="4919">
      <c r="A4919" s="1">
        <v>4917.0</v>
      </c>
      <c r="B4919" s="4" t="s">
        <v>8015</v>
      </c>
      <c r="C4919" s="4" t="str">
        <f>IFERROR(__xludf.DUMMYFUNCTION("GOOGLETRANSLATE(D:D,""auto"",""en"")"),"ZHU Guang Li Jiaqi right to imitate")</f>
        <v>ZHU Guang Li Jiaqi right to imitate</v>
      </c>
      <c r="D4919" s="4" t="s">
        <v>8038</v>
      </c>
      <c r="E4919" s="4">
        <v>7111666.0</v>
      </c>
      <c r="F4919" s="4">
        <v>18.0</v>
      </c>
      <c r="G4919" s="4" t="s">
        <v>8039</v>
      </c>
    </row>
    <row r="4920">
      <c r="A4920" s="1">
        <v>4918.0</v>
      </c>
      <c r="B4920" s="4" t="s">
        <v>8015</v>
      </c>
      <c r="C4920" s="4" t="str">
        <f>IFERROR(__xludf.DUMMYFUNCTION("GOOGLETRANSLATE(D:D,""auto"",""en"")"),"SJS issued thoughts about marriage")</f>
        <v>SJS issued thoughts about marriage</v>
      </c>
      <c r="D4920" s="4" t="s">
        <v>8040</v>
      </c>
      <c r="E4920" s="4">
        <v>7072649.0</v>
      </c>
      <c r="F4920" s="4">
        <v>19.0</v>
      </c>
      <c r="G4920" s="4" t="s">
        <v>8041</v>
      </c>
    </row>
    <row r="4921">
      <c r="A4921" s="1">
        <v>4919.0</v>
      </c>
      <c r="B4921" s="4" t="s">
        <v>8015</v>
      </c>
      <c r="C4921" s="4" t="str">
        <f>IFERROR(__xludf.DUMMYFUNCTION("GOOGLETRANSLATE(D:D,""auto"",""en"")"),"Wuhan reopened encounter Super Moon")</f>
        <v>Wuhan reopened encounter Super Moon</v>
      </c>
      <c r="D4921" s="4" t="s">
        <v>8042</v>
      </c>
      <c r="E4921" s="4">
        <v>7055117.0</v>
      </c>
      <c r="F4921" s="4">
        <v>20.0</v>
      </c>
      <c r="G4921" s="4" t="s">
        <v>8043</v>
      </c>
    </row>
    <row r="4922">
      <c r="A4922" s="1">
        <v>4920.0</v>
      </c>
      <c r="B4922" s="4" t="s">
        <v>8015</v>
      </c>
      <c r="C4922" s="4" t="str">
        <f>IFERROR(__xludf.DUMMYFUNCTION("GOOGLETRANSLATE(D:D,""auto"",""en"")"),"American flight attendants about 100 new HIV-positive crown")</f>
        <v>American flight attendants about 100 new HIV-positive crown</v>
      </c>
      <c r="D4922" s="4" t="s">
        <v>8044</v>
      </c>
      <c r="E4922" s="4">
        <v>7045474.0</v>
      </c>
      <c r="F4922" s="4">
        <v>21.0</v>
      </c>
      <c r="G4922" s="4" t="s">
        <v>8045</v>
      </c>
    </row>
    <row r="4923">
      <c r="A4923" s="1">
        <v>4921.0</v>
      </c>
      <c r="B4923" s="4" t="s">
        <v>8015</v>
      </c>
      <c r="C4923" s="4" t="str">
        <f>IFERROR(__xludf.DUMMYFUNCTION("GOOGLETRANSLATE(D:D,""auto"",""en"")"),"China will be the first complete network to form the Canton Fair")</f>
        <v>China will be the first complete network to form the Canton Fair</v>
      </c>
      <c r="D4923" s="4" t="s">
        <v>8046</v>
      </c>
      <c r="E4923" s="4">
        <v>7014873.0</v>
      </c>
      <c r="F4923" s="4">
        <v>22.0</v>
      </c>
      <c r="G4923" s="4" t="s">
        <v>8047</v>
      </c>
    </row>
    <row r="4924">
      <c r="A4924" s="1">
        <v>4922.0</v>
      </c>
      <c r="B4924" s="4" t="s">
        <v>8015</v>
      </c>
      <c r="C4924" s="4" t="str">
        <f>IFERROR(__xludf.DUMMYFUNCTION("GOOGLETRANSLATE(D:D,""auto"",""en"")"),"Wang Yibo Tmagazine Cover trailer")</f>
        <v>Wang Yibo Tmagazine Cover trailer</v>
      </c>
      <c r="D4924" s="4" t="s">
        <v>8048</v>
      </c>
      <c r="E4924" s="4">
        <v>7001255.0</v>
      </c>
      <c r="F4924" s="4">
        <v>23.0</v>
      </c>
      <c r="G4924" s="4" t="s">
        <v>8049</v>
      </c>
    </row>
    <row r="4925">
      <c r="A4925" s="1">
        <v>4923.0</v>
      </c>
      <c r="B4925" s="4" t="s">
        <v>8015</v>
      </c>
      <c r="C4925" s="4" t="str">
        <f>IFERROR(__xludf.DUMMYFUNCTION("GOOGLETRANSLATE(D:D,""auto"",""en"")"),"The first car left the Wuhan")</f>
        <v>The first car left the Wuhan</v>
      </c>
      <c r="D4925" s="4" t="s">
        <v>8050</v>
      </c>
      <c r="E4925" s="4">
        <v>6956548.0</v>
      </c>
      <c r="F4925" s="4">
        <v>24.0</v>
      </c>
      <c r="G4925" s="4" t="s">
        <v>8051</v>
      </c>
    </row>
    <row r="4926">
      <c r="A4926" s="1">
        <v>4924.0</v>
      </c>
      <c r="B4926" s="4" t="s">
        <v>8015</v>
      </c>
      <c r="C4926" s="4" t="str">
        <f>IFERROR(__xludf.DUMMYFUNCTION("GOOGLETRANSLATE(D:D,""auto"",""en"")"),"Suifenhe City, all cells closed management")</f>
        <v>Suifenhe City, all cells closed management</v>
      </c>
      <c r="D4926" s="4" t="s">
        <v>8052</v>
      </c>
      <c r="E4926" s="4">
        <v>6941472.0</v>
      </c>
      <c r="F4926" s="4">
        <v>25.0</v>
      </c>
      <c r="G4926" s="4" t="s">
        <v>8053</v>
      </c>
    </row>
    <row r="4927">
      <c r="A4927" s="1">
        <v>4925.0</v>
      </c>
      <c r="B4927" s="4" t="s">
        <v>8015</v>
      </c>
      <c r="C4927" s="4" t="str">
        <f>IFERROR(__xludf.DUMMYFUNCTION("GOOGLETRANSLATE(D:D,""auto"",""en"")"),"Xu Jiaqi's curtains")</f>
        <v>Xu Jiaqi's curtains</v>
      </c>
      <c r="D4927" s="4" t="s">
        <v>7973</v>
      </c>
      <c r="E4927" s="4">
        <v>6919424.0</v>
      </c>
      <c r="F4927" s="4">
        <v>26.0</v>
      </c>
      <c r="G4927" s="4" t="s">
        <v>7974</v>
      </c>
    </row>
    <row r="4928">
      <c r="A4928" s="1">
        <v>4926.0</v>
      </c>
      <c r="B4928" s="4" t="s">
        <v>8015</v>
      </c>
      <c r="C4928" s="4" t="str">
        <f>IFERROR(__xludf.DUMMYFUNCTION("GOOGLETRANSLATE(D:D,""auto"",""en"")"),"Wuhan Tianhe Airport departure first flight")</f>
        <v>Wuhan Tianhe Airport departure first flight</v>
      </c>
      <c r="D4928" s="4" t="s">
        <v>8054</v>
      </c>
      <c r="E4928" s="4">
        <v>6863099.0</v>
      </c>
      <c r="F4928" s="4">
        <v>27.0</v>
      </c>
      <c r="G4928" s="4" t="s">
        <v>8055</v>
      </c>
    </row>
    <row r="4929">
      <c r="A4929" s="1">
        <v>4927.0</v>
      </c>
      <c r="B4929" s="4" t="s">
        <v>8015</v>
      </c>
      <c r="C4929" s="4" t="str">
        <f>IFERROR(__xludf.DUMMYFUNCTION("GOOGLETRANSLATE(D:D,""auto"",""en"")"),"US new crown viral infections exceed 380 000")</f>
        <v>US new crown viral infections exceed 380 000</v>
      </c>
      <c r="D4929" s="4" t="s">
        <v>8056</v>
      </c>
      <c r="E4929" s="4">
        <v>6861887.0</v>
      </c>
      <c r="F4929" s="4">
        <v>28.0</v>
      </c>
      <c r="G4929" s="4" t="s">
        <v>8057</v>
      </c>
    </row>
    <row r="4930">
      <c r="A4930" s="1">
        <v>4928.0</v>
      </c>
      <c r="B4930" s="4" t="s">
        <v>8015</v>
      </c>
      <c r="C4930" s="4" t="str">
        <f>IFERROR(__xludf.DUMMYFUNCTION("GOOGLETRANSLATE(D:D,""auto"",""en"")"),"Wuhan reopened light show")</f>
        <v>Wuhan reopened light show</v>
      </c>
      <c r="D4930" s="4" t="s">
        <v>8058</v>
      </c>
      <c r="E4930" s="4">
        <v>6860952.0</v>
      </c>
      <c r="F4930" s="4">
        <v>29.0</v>
      </c>
      <c r="G4930" s="4" t="s">
        <v>8059</v>
      </c>
    </row>
    <row r="4931">
      <c r="A4931" s="1">
        <v>4929.0</v>
      </c>
      <c r="B4931" s="4" t="s">
        <v>8015</v>
      </c>
      <c r="C4931" s="4" t="str">
        <f>IFERROR(__xludf.DUMMYFUNCTION("GOOGLETRANSLATE(D:D,""auto"",""en"")"),"Yang will not smelly feet beyond the fairy")</f>
        <v>Yang will not smelly feet beyond the fairy</v>
      </c>
      <c r="D4931" s="4" t="s">
        <v>8060</v>
      </c>
      <c r="E4931" s="4">
        <v>6860603.0</v>
      </c>
      <c r="F4931" s="4">
        <v>30.0</v>
      </c>
      <c r="G4931" s="4" t="s">
        <v>8061</v>
      </c>
    </row>
    <row r="4932">
      <c r="A4932" s="1">
        <v>4930.0</v>
      </c>
      <c r="B4932" s="4" t="s">
        <v>8015</v>
      </c>
      <c r="C4932" s="4" t="str">
        <f>IFERROR(__xludf.DUMMYFUNCTION("GOOGLETRANSLATE(D:D,""auto"",""en"")"),"Shandong and Guangdong added a total of three cases of indigenous cases")</f>
        <v>Shandong and Guangdong added a total of three cases of indigenous cases</v>
      </c>
      <c r="D4932" s="4" t="s">
        <v>8062</v>
      </c>
      <c r="E4932" s="4">
        <v>6860223.0</v>
      </c>
      <c r="F4932" s="4">
        <v>31.0</v>
      </c>
      <c r="G4932" s="4" t="s">
        <v>8063</v>
      </c>
    </row>
    <row r="4933">
      <c r="A4933" s="1">
        <v>4931.0</v>
      </c>
      <c r="B4933" s="4" t="s">
        <v>8015</v>
      </c>
      <c r="C4933" s="4" t="str">
        <f>IFERROR(__xludf.DUMMYFUNCTION("GOOGLETRANSLATE(D:D,""auto"",""en"")"),"Abe said Tokyo confirmed will exceed 80,000 people a month after")</f>
        <v>Abe said Tokyo confirmed will exceed 80,000 people a month after</v>
      </c>
      <c r="D4933" s="4" t="s">
        <v>8064</v>
      </c>
      <c r="E4933" s="4">
        <v>6860115.0</v>
      </c>
      <c r="F4933" s="4">
        <v>32.0</v>
      </c>
      <c r="G4933" s="4" t="s">
        <v>8065</v>
      </c>
    </row>
    <row r="4934">
      <c r="A4934" s="1">
        <v>4932.0</v>
      </c>
      <c r="B4934" s="4" t="s">
        <v>8015</v>
      </c>
      <c r="C4934" s="4" t="str">
        <f>IFERROR(__xludf.DUMMYFUNCTION("GOOGLETRANSLATE(D:D,""auto"",""en"")"),"Hubei existing confirmed cases to 500 or less")</f>
        <v>Hubei existing confirmed cases to 500 or less</v>
      </c>
      <c r="D4934" s="4" t="s">
        <v>8066</v>
      </c>
      <c r="E4934" s="4">
        <v>6860103.0</v>
      </c>
      <c r="F4934" s="4">
        <v>33.0</v>
      </c>
      <c r="G4934" s="4" t="s">
        <v>8067</v>
      </c>
    </row>
    <row r="4935">
      <c r="A4935" s="1">
        <v>4933.0</v>
      </c>
      <c r="B4935" s="4" t="s">
        <v>8015</v>
      </c>
      <c r="C4935" s="4" t="str">
        <f>IFERROR(__xludf.DUMMYFUNCTION("GOOGLETRANSLATE(D:D,""auto"",""en"")"),"Huang lot of fitness")</f>
        <v>Huang lot of fitness</v>
      </c>
      <c r="D4935" s="4" t="s">
        <v>8068</v>
      </c>
      <c r="E4935" s="4">
        <v>6860100.0</v>
      </c>
      <c r="F4935" s="4">
        <v>34.0</v>
      </c>
      <c r="G4935" s="4" t="s">
        <v>8069</v>
      </c>
    </row>
    <row r="4936">
      <c r="A4936" s="1">
        <v>4934.0</v>
      </c>
      <c r="B4936" s="4" t="s">
        <v>8015</v>
      </c>
      <c r="C4936" s="4" t="str">
        <f>IFERROR(__xludf.DUMMYFUNCTION("GOOGLETRANSLATE(D:D,""auto"",""en"")"),"Britain's new crown ICU ward screen")</f>
        <v>Britain's new crown ICU ward screen</v>
      </c>
      <c r="D4936" s="4" t="s">
        <v>8070</v>
      </c>
      <c r="E4936" s="4">
        <v>6860092.0</v>
      </c>
      <c r="F4936" s="4">
        <v>35.0</v>
      </c>
      <c r="G4936" s="4" t="s">
        <v>8071</v>
      </c>
    </row>
    <row r="4937">
      <c r="A4937" s="1">
        <v>4935.0</v>
      </c>
      <c r="B4937" s="4" t="s">
        <v>8015</v>
      </c>
      <c r="C4937" s="4" t="str">
        <f>IFERROR(__xludf.DUMMYFUNCTION("GOOGLETRANSLATE(D:D,""auto"",""en"")"),"After school the true reaction of parents")</f>
        <v>After school the true reaction of parents</v>
      </c>
      <c r="D4937" s="4" t="s">
        <v>8072</v>
      </c>
      <c r="E4937" s="4">
        <v>6860083.0</v>
      </c>
      <c r="F4937" s="4">
        <v>36.0</v>
      </c>
      <c r="G4937" s="4" t="s">
        <v>8073</v>
      </c>
    </row>
    <row r="4938">
      <c r="A4938" s="1">
        <v>4936.0</v>
      </c>
      <c r="B4938" s="4" t="s">
        <v>8015</v>
      </c>
      <c r="C4938" s="4" t="str">
        <f>IFERROR(__xludf.DUMMYFUNCTION("GOOGLETRANSLATE(D:D,""auto"",""en"")"),"Lamborghini hand-sewn 1000 masks a day")</f>
        <v>Lamborghini hand-sewn 1000 masks a day</v>
      </c>
      <c r="D4938" s="4" t="s">
        <v>8074</v>
      </c>
      <c r="E4938" s="4">
        <v>6860082.0</v>
      </c>
      <c r="F4938" s="4">
        <v>37.0</v>
      </c>
      <c r="G4938" s="4" t="s">
        <v>8075</v>
      </c>
    </row>
    <row r="4939">
      <c r="A4939" s="1">
        <v>4937.0</v>
      </c>
      <c r="B4939" s="4" t="s">
        <v>8015</v>
      </c>
      <c r="C4939" s="4" t="str">
        <f>IFERROR(__xludf.DUMMYFUNCTION("GOOGLETRANSLATE(D:D,""auto"",""en"")"),"Trump will stop funding for WHO")</f>
        <v>Trump will stop funding for WHO</v>
      </c>
      <c r="D4939" s="4" t="s">
        <v>8076</v>
      </c>
      <c r="E4939" s="4">
        <v>6860082.0</v>
      </c>
      <c r="F4939" s="4">
        <v>38.0</v>
      </c>
      <c r="G4939" s="4" t="s">
        <v>8077</v>
      </c>
    </row>
    <row r="4940">
      <c r="A4940" s="1">
        <v>4938.0</v>
      </c>
      <c r="B4940" s="4" t="s">
        <v>8015</v>
      </c>
      <c r="C4940" s="4" t="str">
        <f>IFERROR(__xludf.DUMMYFUNCTION("GOOGLETRANSLATE(D:D,""auto"",""en"")"),"Acting Secretary of the Navy to resign")</f>
        <v>Acting Secretary of the Navy to resign</v>
      </c>
      <c r="D4940" s="4" t="s">
        <v>8078</v>
      </c>
      <c r="E4940" s="4">
        <v>6860082.0</v>
      </c>
      <c r="F4940" s="4">
        <v>39.0</v>
      </c>
      <c r="G4940" s="4" t="s">
        <v>8079</v>
      </c>
    </row>
    <row r="4941">
      <c r="A4941" s="1">
        <v>4939.0</v>
      </c>
      <c r="B4941" s="4" t="s">
        <v>8015</v>
      </c>
      <c r="C4941" s="4" t="str">
        <f>IFERROR(__xludf.DUMMYFUNCTION("GOOGLETRANSLATE(D:D,""auto"",""en"")"),"Wuhan lights curtain lights")</f>
        <v>Wuhan lights curtain lights</v>
      </c>
      <c r="D4941" s="4" t="s">
        <v>8080</v>
      </c>
      <c r="E4941" s="4">
        <v>6807564.0</v>
      </c>
      <c r="F4941" s="4">
        <v>40.0</v>
      </c>
      <c r="G4941" s="4" t="s">
        <v>8081</v>
      </c>
    </row>
    <row r="4942">
      <c r="A4942" s="1">
        <v>4940.0</v>
      </c>
      <c r="B4942" s="4" t="s">
        <v>8015</v>
      </c>
      <c r="C4942" s="4" t="str">
        <f>IFERROR(__xludf.DUMMYFUNCTION("GOOGLETRANSLATE(D:D,""auto"",""en"")"),"Chen Yao elderly makeup")</f>
        <v>Chen Yao elderly makeup</v>
      </c>
      <c r="D4942" s="4" t="s">
        <v>8082</v>
      </c>
      <c r="E4942" s="4">
        <v>6791537.0</v>
      </c>
      <c r="F4942" s="4">
        <v>41.0</v>
      </c>
      <c r="G4942" s="4" t="s">
        <v>8083</v>
      </c>
    </row>
    <row r="4943">
      <c r="A4943" s="1">
        <v>4941.0</v>
      </c>
      <c r="B4943" s="4" t="s">
        <v>8015</v>
      </c>
      <c r="C4943" s="4" t="str">
        <f>IFERROR(__xludf.DUMMYFUNCTION("GOOGLETRANSLATE(D:D,""auto"",""en"")"),"Dress air bomb")</f>
        <v>Dress air bomb</v>
      </c>
      <c r="D4943" s="4" t="s">
        <v>8084</v>
      </c>
      <c r="E4943" s="4">
        <v>6706383.0</v>
      </c>
      <c r="F4943" s="4">
        <v>42.0</v>
      </c>
      <c r="G4943" s="4" t="s">
        <v>8085</v>
      </c>
    </row>
    <row r="4944">
      <c r="A4944" s="1">
        <v>4942.0</v>
      </c>
      <c r="B4944" s="4" t="s">
        <v>8015</v>
      </c>
      <c r="C4944" s="4" t="str">
        <f>IFERROR(__xludf.DUMMYFUNCTION("GOOGLETRANSLATE(D:D,""auto"",""en"")"),"The maximum annual Super Moon tonight staged")</f>
        <v>The maximum annual Super Moon tonight staged</v>
      </c>
      <c r="D4944" s="4" t="s">
        <v>7955</v>
      </c>
      <c r="E4944" s="4">
        <v>6645438.0</v>
      </c>
      <c r="F4944" s="4">
        <v>43.0</v>
      </c>
      <c r="G4944" s="4" t="s">
        <v>7956</v>
      </c>
    </row>
    <row r="4945">
      <c r="A4945" s="1">
        <v>4943.0</v>
      </c>
      <c r="B4945" s="4" t="s">
        <v>8015</v>
      </c>
      <c r="C4945" s="4" t="str">
        <f>IFERROR(__xludf.DUMMYFUNCTION("GOOGLETRANSLATE(D:D,""auto"",""en"")"),"Zhang quietly return the aircraft on scene")</f>
        <v>Zhang quietly return the aircraft on scene</v>
      </c>
      <c r="D4945" s="4" t="s">
        <v>7969</v>
      </c>
      <c r="E4945" s="4">
        <v>6515655.0</v>
      </c>
      <c r="F4945" s="4">
        <v>44.0</v>
      </c>
      <c r="G4945" s="4" t="s">
        <v>7970</v>
      </c>
    </row>
    <row r="4946">
      <c r="A4946" s="1">
        <v>4944.0</v>
      </c>
      <c r="B4946" s="4" t="s">
        <v>8015</v>
      </c>
      <c r="C4946" s="4" t="str">
        <f>IFERROR(__xludf.DUMMYFUNCTION("GOOGLETRANSLATE(D:D,""auto"",""en"")"),"Wuhan, the first person out of the city")</f>
        <v>Wuhan, the first person out of the city</v>
      </c>
      <c r="D4946" s="4" t="s">
        <v>8086</v>
      </c>
      <c r="E4946" s="4">
        <v>6505155.0</v>
      </c>
      <c r="F4946" s="4">
        <v>45.0</v>
      </c>
      <c r="G4946" s="4" t="s">
        <v>8087</v>
      </c>
    </row>
    <row r="4947">
      <c r="A4947" s="1">
        <v>4945.0</v>
      </c>
      <c r="B4947" s="4" t="s">
        <v>8015</v>
      </c>
      <c r="C4947" s="4" t="str">
        <f>IFERROR(__xludf.DUMMYFUNCTION("GOOGLETRANSLATE(D:D,""auto"",""en"")"),"WHO says 90 percent of the global impact of suspension of classes by students")</f>
        <v>WHO says 90 percent of the global impact of suspension of classes by students</v>
      </c>
      <c r="D4947" s="4" t="s">
        <v>7977</v>
      </c>
      <c r="E4947" s="4">
        <v>5973915.0</v>
      </c>
      <c r="F4947" s="4">
        <v>46.0</v>
      </c>
      <c r="G4947" s="4" t="s">
        <v>7978</v>
      </c>
    </row>
    <row r="4948">
      <c r="A4948" s="1">
        <v>4946.0</v>
      </c>
      <c r="B4948" s="4" t="s">
        <v>8015</v>
      </c>
      <c r="C4948" s="4" t="str">
        <f>IFERROR(__xludf.DUMMYFUNCTION("GOOGLETRANSLATE(D:D,""auto"",""en"")"),"Fan Chengcheng Huangming Hao Yan Xu Kun CAI values ​​body becomes")</f>
        <v>Fan Chengcheng Huangming Hao Yan Xu Kun CAI values ​​body becomes</v>
      </c>
      <c r="D4948" s="4" t="s">
        <v>8088</v>
      </c>
      <c r="E4948" s="4">
        <v>5926091.0</v>
      </c>
      <c r="F4948" s="4">
        <v>47.0</v>
      </c>
      <c r="G4948" s="4" t="s">
        <v>8089</v>
      </c>
    </row>
    <row r="4949">
      <c r="A4949" s="1">
        <v>4947.0</v>
      </c>
      <c r="B4949" s="4" t="s">
        <v>8015</v>
      </c>
      <c r="C4949" s="4" t="str">
        <f>IFERROR(__xludf.DUMMYFUNCTION("GOOGLETRANSLATE(D:D,""auto"",""en"")"),"Gen. students into the camp")</f>
        <v>Gen. students into the camp</v>
      </c>
      <c r="D4949" s="4" t="s">
        <v>8090</v>
      </c>
      <c r="E4949" s="4">
        <v>5830137.0</v>
      </c>
      <c r="F4949" s="4">
        <v>48.0</v>
      </c>
      <c r="G4949" s="4" t="s">
        <v>8091</v>
      </c>
    </row>
    <row r="4950">
      <c r="A4950" s="1">
        <v>4948.0</v>
      </c>
      <c r="B4950" s="4" t="s">
        <v>8015</v>
      </c>
      <c r="C4950" s="4" t="str">
        <f>IFERROR(__xludf.DUMMYFUNCTION("GOOGLETRANSLATE(D:D,""auto"",""en"")"),"Genesis 3 Castle hostel")</f>
        <v>Genesis 3 Castle hostel</v>
      </c>
      <c r="D4950" s="4" t="s">
        <v>8092</v>
      </c>
      <c r="E4950" s="4">
        <v>5812921.0</v>
      </c>
      <c r="F4950" s="4">
        <v>49.0</v>
      </c>
      <c r="G4950" s="4" t="s">
        <v>8093</v>
      </c>
    </row>
    <row r="4951">
      <c r="A4951" s="1">
        <v>4949.0</v>
      </c>
      <c r="B4951" s="4" t="s">
        <v>8015</v>
      </c>
      <c r="C4951" s="4" t="str">
        <f>IFERROR(__xludf.DUMMYFUNCTION("GOOGLETRANSLATE(D:D,""auto"",""en"")"),"Super Moon close-up")</f>
        <v>Super Moon close-up</v>
      </c>
      <c r="D4951" s="4" t="s">
        <v>8094</v>
      </c>
      <c r="E4951" s="4">
        <v>5786642.0</v>
      </c>
      <c r="F4951" s="4">
        <v>50.0</v>
      </c>
      <c r="G4951" s="4" t="s">
        <v>8095</v>
      </c>
    </row>
  </sheetData>
  <autoFilter ref="$C$1:$C$4951"/>
  <customSheetViews>
    <customSheetView guid="{4EAFBBCD-45B0-40B1-9C9D-DCF815ABFB17}" filter="1" showAutoFilter="1">
      <autoFilter ref="$D$1:$D$4951"/>
    </customSheetView>
  </customSheetViews>
  <printOptions/>
  <pageMargins bottom="0.75" footer="0.0" header="0.0" left="0.7" right="0.7" top="0.75"/>
  <pageSetup orientation="landscape"/>
  <drawing r:id="rId1"/>
</worksheet>
</file>