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<sst xmlns="http://schemas.openxmlformats.org/spreadsheetml/2006/main" count="14857" uniqueCount="7670">
  <si>
    <t>date</t>
  </si>
  <si>
    <t>title_translate</t>
  </si>
  <si>
    <t>title</t>
  </si>
  <si>
    <t>searchCount</t>
  </si>
  <si>
    <t>rank</t>
  </si>
  <si>
    <t>words_list</t>
  </si>
  <si>
    <t xml:space="preserve">Coron-Related ( 1 yes, 0 not ) </t>
  </si>
  <si>
    <t>2020/01/01</t>
  </si>
  <si>
    <t>林峯张馨月宣布结婚</t>
  </si>
  <si>
    <t>['林', '峯', '张馨', '月', '宣布', '结婚']</t>
  </si>
  <si>
    <t>张雨绮与壹心解约</t>
  </si>
  <si>
    <t>['张雨', '绮', '与', '壹心', '解约']</t>
  </si>
  <si>
    <t>2019解放军提气一幕</t>
  </si>
  <si>
    <t>['2019', '解放', '解放军', '提气', '一幕']</t>
  </si>
  <si>
    <t>肖战唱跳神奇</t>
  </si>
  <si>
    <t>['肖战', '唱', '跳', '神奇']</t>
  </si>
  <si>
    <t>吴亦凡方回应脖印</t>
  </si>
  <si>
    <t>['吴亦凡方', '回应', '脖印']</t>
  </si>
  <si>
    <t>罗振宇调侃王思聪</t>
  </si>
  <si>
    <t>['罗振宇', '调侃', '王思聪']</t>
  </si>
  <si>
    <t>微信支付被诉侵权</t>
  </si>
  <si>
    <t>['微信', '支付', '被诉', '侵权']</t>
  </si>
  <si>
    <t>杨幂撞脸李小璐</t>
  </si>
  <si>
    <t>['杨幂', '撞', '脸', '李小璐']</t>
  </si>
  <si>
    <t>谢霆锋现身跨年晚会</t>
  </si>
  <si>
    <t>['谢霆锋', '现身', '跨年', '晚会']</t>
  </si>
  <si>
    <t>跨年晚会收视排名</t>
  </si>
  <si>
    <t>['跨年', '晚会', '收视', '排名']</t>
  </si>
  <si>
    <t>湖南卫视跨年节目单</t>
  </si>
  <si>
    <t>['湖南', '卫视', '湖南卫视', '跨年', '节目', '节目单']</t>
  </si>
  <si>
    <t>陈赫陪妻儿跨年</t>
  </si>
  <si>
    <t>['陈赫', '陪', '妻儿', '跨年']</t>
  </si>
  <si>
    <t>首个20后宝宝</t>
  </si>
  <si>
    <t>['首个', '20', '后', '宝宝']</t>
  </si>
  <si>
    <t>欧阳娜娜口误</t>
  </si>
  <si>
    <t>['欧阳', '娜娜', '口误']</t>
  </si>
  <si>
    <t>花泽香菜汪苏泷合唱</t>
  </si>
  <si>
    <t>['花泽', '香菜', '汪苏', '泷', '合唱']</t>
  </si>
  <si>
    <t>王源被烟花溅到眼睛</t>
  </si>
  <si>
    <t>['王源', '被', '烟花', '溅', '到', '眼睛']</t>
  </si>
  <si>
    <t>国脚曝里皮喜怒无常</t>
  </si>
  <si>
    <t>['国脚', '曝里', '皮', '喜怒', '无常', '喜怒无常']</t>
  </si>
  <si>
    <t>魏秋月幸福晒孕照</t>
  </si>
  <si>
    <t>['秋月', '魏秋月', '幸福', '晒孕照']</t>
  </si>
  <si>
    <t>杨幂魏大勋同时播出</t>
  </si>
  <si>
    <t>['杨幂', '魏大勋', '同时', '播出']</t>
  </si>
  <si>
    <t>跨年晚会被曝假唱</t>
  </si>
  <si>
    <t>['跨年', '晚会', '被', '曝', '假唱']</t>
  </si>
  <si>
    <t>大连一方万达将撤资</t>
  </si>
  <si>
    <t>['大连', '一方', '万达', '将', '撤资']</t>
  </si>
  <si>
    <t>吉林天空现三个太阳</t>
  </si>
  <si>
    <t>['吉林', '天空', '现', '三个', '太阳']</t>
  </si>
  <si>
    <t>王一博水中唱跳</t>
  </si>
  <si>
    <t>['王一博', '水中', '唱', '跳']</t>
  </si>
  <si>
    <t>2020年考证时间表</t>
  </si>
  <si>
    <t>['2020', '年', '考证', '时间', '时间表']</t>
  </si>
  <si>
    <t>万达官方辟谣</t>
  </si>
  <si>
    <t>['万达', '官方', '辟谣']</t>
  </si>
  <si>
    <t>倪萍前夫现身影展</t>
  </si>
  <si>
    <t>['倪萍', '前夫', '现身', '影展']</t>
  </si>
  <si>
    <t>李现连唱三首歌</t>
  </si>
  <si>
    <t>['李现', '连唱', '三', '首歌']</t>
  </si>
  <si>
    <t>张靓颖疑默认恋情</t>
  </si>
  <si>
    <t>['张靓颖', '疑', '默认', '恋情']</t>
  </si>
  <si>
    <t>杨幂的RAP</t>
  </si>
  <si>
    <t>['杨幂', '的', 'RAP']</t>
  </si>
  <si>
    <t>央行降准0.5百分点</t>
  </si>
  <si>
    <t>['央行', '降准', '0.5', '百分', '分点', '百分点']</t>
  </si>
  <si>
    <t>贺军翔方否认出轨</t>
  </si>
  <si>
    <t>['贺军翔', '方', '否认', '出轨']</t>
  </si>
  <si>
    <t>曝李铁将执教国足</t>
  </si>
  <si>
    <t>['曝', '李铁', '将', '执教', '国', '足']</t>
  </si>
  <si>
    <t>李小璐为甜馨剪发</t>
  </si>
  <si>
    <t>['李小璐', '为', '甜馨', '剪发']</t>
  </si>
  <si>
    <t>2020新年第一场升旗</t>
  </si>
  <si>
    <t>['2020', '新年', '第一', '一场', '第一场', '升旗']</t>
  </si>
  <si>
    <t>何雯娜宣布产女</t>
  </si>
  <si>
    <t>['何雯娜', '宣布', '产女']</t>
  </si>
  <si>
    <t>郑爽律师致信鲸乖乖</t>
  </si>
  <si>
    <t>['郑爽', '律师', '致信', '鲸', '乖乖']</t>
  </si>
  <si>
    <t>杨幂演唱野狼disco</t>
  </si>
  <si>
    <t>['杨幂', '演唱', '野狼', 'disco']</t>
  </si>
  <si>
    <t>2020第一场升旗直播</t>
  </si>
  <si>
    <t>['2020', '第一', '一场', '第一场', '升旗', '直播']</t>
  </si>
  <si>
    <t>元旦连播女排比赛</t>
  </si>
  <si>
    <t>['元旦', '连播', '女排', '比赛']</t>
  </si>
  <si>
    <t>佳木斯泼雪狂欢</t>
  </si>
  <si>
    <t>['佳木斯', '泼雪', '狂欢']</t>
  </si>
  <si>
    <t>吴秀波杨坤聚会嗨歌</t>
  </si>
  <si>
    <t>['吴秀波', '杨坤', '聚会', '嗨', '歌']</t>
  </si>
  <si>
    <t>肖战张艺兴合唱</t>
  </si>
  <si>
    <t>['肖战', '张艺兴', '合唱']</t>
  </si>
  <si>
    <t>王思聪现身音乐节</t>
  </si>
  <si>
    <t>['王思聪', '现身', '音乐', '音乐节']</t>
  </si>
  <si>
    <t>小米被判赔1200万</t>
  </si>
  <si>
    <t>['小米', '被判', '被判赔', '1200', '万']</t>
  </si>
  <si>
    <t>河南千亿养猪首富</t>
  </si>
  <si>
    <t>['河南', '千亿', '养猪', '首富']</t>
  </si>
  <si>
    <t>普京执政20周年</t>
  </si>
  <si>
    <t>['普京', '执政', '20', '周年']</t>
  </si>
  <si>
    <t>黄海波与2019告别</t>
  </si>
  <si>
    <t>['黄海', '海波', '黄海波', '与', '2019', '告别']</t>
  </si>
  <si>
    <t>韩国发布新年特赦令</t>
  </si>
  <si>
    <t>['韩国', '发布', '新年', '特赦', '赦令', '特赦令']</t>
  </si>
  <si>
    <t>杨紫在高空秋千唱歌</t>
  </si>
  <si>
    <t>['杨紫在', '高空', '秋千', '唱歌']</t>
  </si>
  <si>
    <t>首批九零后已30岁</t>
  </si>
  <si>
    <t>['首批', '九零', '后', '已', '30', '岁']</t>
  </si>
  <si>
    <t>2020/01/02</t>
  </si>
  <si>
    <t>金希澈MOMO恋情</t>
  </si>
  <si>
    <t>['金希澈', 'MOMO', '恋情']</t>
  </si>
  <si>
    <t>河南成我国雨雪中心</t>
  </si>
  <si>
    <t>['河南', '成', '我国', '雨雪', '中心']</t>
  </si>
  <si>
    <t>曝郑爽起诉张恒</t>
  </si>
  <si>
    <t>['曝', '郑爽', '起诉', '张恒']</t>
  </si>
  <si>
    <t>滨崎步宣布生子喜讯</t>
  </si>
  <si>
    <t>['滨崎步', '宣布', '生子', '喜讯']</t>
  </si>
  <si>
    <t>腊八节</t>
  </si>
  <si>
    <t>['腊八', '八节', '腊八节']</t>
  </si>
  <si>
    <t>重庆居民楼发生火灾</t>
  </si>
  <si>
    <t>['重庆', '居民', '居民楼', '发生', '火灾']</t>
  </si>
  <si>
    <t>陈忠和反对女排播出</t>
  </si>
  <si>
    <t>['陈忠和', '反对', '女排', '播出']</t>
  </si>
  <si>
    <t>佳木斯机场发生火灾</t>
  </si>
  <si>
    <t>['佳木斯', '机场', '发生', '火灾']</t>
  </si>
  <si>
    <t>章子怡晒照曝近况</t>
  </si>
  <si>
    <t>['章子', '章子怡', '晒照', '曝', '近况']</t>
  </si>
  <si>
    <t>肖战长麦粒肿</t>
  </si>
  <si>
    <t>['肖战长', '麦粒', '麦粒肿']</t>
  </si>
  <si>
    <t>庆余年大结局</t>
  </si>
  <si>
    <t>['庆', '余年', '结局', '大结局']</t>
  </si>
  <si>
    <t>张馨予回应高铁脱鞋</t>
  </si>
  <si>
    <t>['张馨予', '回应', '高铁', '脱鞋']</t>
  </si>
  <si>
    <t>台湾黑鹰直升机坠机</t>
  </si>
  <si>
    <t>['台湾', '黑鹰', '直升', '升机', '直升机', '坠机']</t>
  </si>
  <si>
    <t>联通定尾号66为靓号</t>
  </si>
  <si>
    <t>['联通', '定', '尾号', '66', '为靓', '号']</t>
  </si>
  <si>
    <t>2020年是双闰年</t>
  </si>
  <si>
    <t>['2020', '年', '是', '双', '闰年']</t>
  </si>
  <si>
    <t>曝王一博踩坏地板</t>
  </si>
  <si>
    <t>['曝王', '一博', '踩坏', '地板']</t>
  </si>
  <si>
    <t>李铁出任国足主教练</t>
  </si>
  <si>
    <t>['李铁', '出任', '国', '足', '主教', '教练', '主教练']</t>
  </si>
  <si>
    <t>腾讯回应暴力裁员</t>
  </si>
  <si>
    <t>['腾讯', '回应', '暴力', '裁员']</t>
  </si>
  <si>
    <t>女子侮辱华人被捕</t>
  </si>
  <si>
    <t>['女子', '侮辱', '华人', '被捕']</t>
  </si>
  <si>
    <t>沈阳一客车突发大火</t>
  </si>
  <si>
    <t>['沈阳', '一', '客车', '突发', '大火']</t>
  </si>
  <si>
    <t>快本为何炅改时间</t>
  </si>
  <si>
    <t>['快本', '为何', '炅', '改', '时间']</t>
  </si>
  <si>
    <t>马航回应起飞后返航</t>
  </si>
  <si>
    <t>['马航', '回应', '起飞', '后', '返航']</t>
  </si>
  <si>
    <t>唐一菲回应拒演华妃</t>
  </si>
  <si>
    <t>['唐一菲', '回应', '拒演华妃']</t>
  </si>
  <si>
    <t>日产前董事长潜逃</t>
  </si>
  <si>
    <t>['日产', '前', '董事', '董事长', '潜逃']</t>
  </si>
  <si>
    <t>吴奇隆一家游迪士尼</t>
  </si>
  <si>
    <t>['吴奇隆', '一家', '游', '迪士尼']</t>
  </si>
  <si>
    <t>浦寿昌逝世</t>
  </si>
  <si>
    <t>['浦寿昌', '逝世']</t>
  </si>
  <si>
    <t>张柏芝带三儿子逛街</t>
  </si>
  <si>
    <t>['张柏芝', '带', '三', '儿子', '逛街']</t>
  </si>
  <si>
    <t>联想回应常程跳槽</t>
  </si>
  <si>
    <t>['联想', '回应', '常程', '跳槽']</t>
  </si>
  <si>
    <t>万达大连一方重沟通</t>
  </si>
  <si>
    <t>['万达', '大连', '一方', '重', '沟通']</t>
  </si>
  <si>
    <t>婚礼上亲爸羞辱岳父</t>
  </si>
  <si>
    <t>['婚礼', '上', '亲爸', '羞辱', '岳父']</t>
  </si>
  <si>
    <t>391万买一个手机号</t>
  </si>
  <si>
    <t>['391', '万买', '一个', '手机', '手机号']</t>
  </si>
  <si>
    <t>淘宝年度账单出炉</t>
  </si>
  <si>
    <t>['淘宝', '年度', '账单', '出炉']</t>
  </si>
  <si>
    <t>曝白百何新恋情</t>
  </si>
  <si>
    <t>['曝白百何', '新', '恋情']</t>
  </si>
  <si>
    <t>常程任小米副总裁</t>
  </si>
  <si>
    <t>['常程任', '小米', '副总', '总裁', '副总裁']</t>
  </si>
  <si>
    <t>金希澈认爱后首发文</t>
  </si>
  <si>
    <t>['金希澈', '认爱后', '首发', '文']</t>
  </si>
  <si>
    <t>2019中国最美星空</t>
  </si>
  <si>
    <t>['2019', '中国', '最美', '星空']</t>
  </si>
  <si>
    <t>重庆火灾楼盘主身份</t>
  </si>
  <si>
    <t>['重庆', '火灾', '楼盘', '主', '身份']</t>
  </si>
  <si>
    <t>王中磊致员工信</t>
  </si>
  <si>
    <t>['王中磊致', '员工', '信']</t>
  </si>
  <si>
    <t>向客机扔硬币赔12万</t>
  </si>
  <si>
    <t>['向', '客机', '扔', '硬币', '赔', '12', '万']</t>
  </si>
  <si>
    <t>养11年儿子非亲生</t>
  </si>
  <si>
    <t>['养', '11', '年', '儿子', '非', '亲生']</t>
  </si>
  <si>
    <t>42万人上海外滩跨年</t>
  </si>
  <si>
    <t>['42', '万人', '上海', '外滩', '跨年']</t>
  </si>
  <si>
    <t>2020/01/03</t>
  </si>
  <si>
    <t>新年首日中10亿大奖</t>
  </si>
  <si>
    <t>['新年', '首日', '中', '10', '亿', '大奖']</t>
  </si>
  <si>
    <t>佛山回应收费站拥堵</t>
  </si>
  <si>
    <t>['佛山', '回应', '收费', '收费站', '拥堵']</t>
  </si>
  <si>
    <t>日本5.6级地震</t>
  </si>
  <si>
    <t>['日本', '5.6', '级', '地震']</t>
  </si>
  <si>
    <t>人社部回应年假补偿</t>
  </si>
  <si>
    <t>['人', '社部', '回应', '年', '假', '补偿']</t>
  </si>
  <si>
    <t>8000只考拉丧生山火</t>
  </si>
  <si>
    <t>['8000', '只', '考拉', '丧生', '山火']</t>
  </si>
  <si>
    <t>一女生江滩公园失联</t>
  </si>
  <si>
    <t>['一', '女生', '江滩', '公园', '失联']</t>
  </si>
  <si>
    <t>王思聪三亚庆生</t>
  </si>
  <si>
    <t>['王思聪', '三亚', '庆生']</t>
  </si>
  <si>
    <t>孙杨回应药检事件</t>
  </si>
  <si>
    <t>['孙杨', '回应', '药检', '事件']</t>
  </si>
  <si>
    <t>章子怡官宣二胎产子</t>
  </si>
  <si>
    <t>['章子', '章子怡', '官宣', '二胎', '产子']</t>
  </si>
  <si>
    <t>特朗普下令实施空袭</t>
  </si>
  <si>
    <t>['特朗普', '下令', '实施', '空袭']</t>
  </si>
  <si>
    <t>曝李天一改名李冠丰</t>
  </si>
  <si>
    <t>['曝李', '天一', '改名', '李冠丰']</t>
  </si>
  <si>
    <t>许婧晒外籍男友照</t>
  </si>
  <si>
    <t>['许婧', '晒', '外籍', '男友', '照']</t>
  </si>
  <si>
    <t>伊朗全国哀悼3天</t>
  </si>
  <si>
    <t>['伊朗', '全国', '哀悼', '3', '天']</t>
  </si>
  <si>
    <t>快递员将分5个等级</t>
  </si>
  <si>
    <t>['快递', '员', '将', '分', '5', '个', '等级']</t>
  </si>
  <si>
    <t>蒋劲夫起诉前女友</t>
  </si>
  <si>
    <t>['蒋劲夫', '起诉', '女友', '前女友']</t>
  </si>
  <si>
    <t>美国务院发紧急警告</t>
  </si>
  <si>
    <t>['美国', '国务', '国务院', '美国务院', '发', '紧急', '警告']</t>
  </si>
  <si>
    <t>李沁警服造型上线</t>
  </si>
  <si>
    <t>['李沁', '警服', '造型', '上线']</t>
  </si>
  <si>
    <t>曝章子怡二胎生子</t>
  </si>
  <si>
    <t>['曝', '章子', '章子怡', '二胎', '生子']</t>
  </si>
  <si>
    <t>一晚输十万崩溃大哭</t>
  </si>
  <si>
    <t>['一晚', '输', '十万', '崩溃', '大哭']</t>
  </si>
  <si>
    <t>小米回应常程跳槽</t>
  </si>
  <si>
    <t>['小米', '回应', '常程', '跳槽']</t>
  </si>
  <si>
    <t>赵蕊蕊力挺陈忠和</t>
  </si>
  <si>
    <t>['赵蕊蕊力', '挺', '陈忠和']</t>
  </si>
  <si>
    <t>肖战撤诉疑达成和解</t>
  </si>
  <si>
    <t>['肖战', '撤诉', '疑', '达成', '和解']</t>
  </si>
  <si>
    <t>武汉通报肺炎事件</t>
  </si>
  <si>
    <t>['武汉', '通报', '肺炎', '事件']</t>
  </si>
  <si>
    <t>李现孤影打游戏</t>
  </si>
  <si>
    <t>['李现', '孤影', '游戏', '打游戏']</t>
  </si>
  <si>
    <t>B站市值大增50亿</t>
  </si>
  <si>
    <t>['B', '站', '市值', '大增', '50', '亿']</t>
  </si>
  <si>
    <t>陆军版野狼disco</t>
  </si>
  <si>
    <t>['陆军', '版', '野狼', 'disco']</t>
  </si>
  <si>
    <t>邓超甜蜜表白孙俪</t>
  </si>
  <si>
    <t>['邓超', '甜蜜', '表白', '孙俪']</t>
  </si>
  <si>
    <t>李宇春谈跨年压轴</t>
  </si>
  <si>
    <t>['李宇春', '谈', '跨', '年', '压轴']</t>
  </si>
  <si>
    <t>2020首波大规模雨雪</t>
  </si>
  <si>
    <t>['2020', '首波', '大规', '规模', '大规模', '雨雪']</t>
  </si>
  <si>
    <t>韩国5G遭用户吐槽</t>
  </si>
  <si>
    <t>['韩国', '5G', '遭', '用户', '吐槽']</t>
  </si>
  <si>
    <t>傅首尔谈生二胎</t>
  </si>
  <si>
    <t>['傅', '首尔', '谈', '二胎', '生二胎']</t>
  </si>
  <si>
    <t>伊朗少将伊拉克遇袭</t>
  </si>
  <si>
    <t>['伊朗', '少将', '伊拉', '拉克', '伊拉克', '遇袭']</t>
  </si>
  <si>
    <t>2020海军陆战队MV</t>
  </si>
  <si>
    <t>['2020', '海军', '陆战', '战队', '陆战队', '海军陆战队', 'MV']</t>
  </si>
  <si>
    <t>小伙结婚只摆4桌酒</t>
  </si>
  <si>
    <t>['小伙', '结婚', '只', '摆', '4', '桌酒']</t>
  </si>
  <si>
    <t>巴格达机场遭袭</t>
  </si>
  <si>
    <t>['巴格', '格达', '巴格达', '机场', '遭袭']</t>
  </si>
  <si>
    <t>天津女排登新闻联播</t>
  </si>
  <si>
    <t>['天津', '女排', '天津女排', '登', '新闻', '联播', '新闻联播']</t>
  </si>
  <si>
    <t>中国市值500强出炉</t>
  </si>
  <si>
    <t>['中国', '市值', '500', '强', '出炉']</t>
  </si>
  <si>
    <t>台黑鹰黑匣子已找到</t>
  </si>
  <si>
    <t>['台', '黑鹰', '黑匣', '匣子', '黑匣子', '已', '找到']</t>
  </si>
  <si>
    <t>2020/01/04</t>
  </si>
  <si>
    <t>2020首场大范围雨雪</t>
  </si>
  <si>
    <t>['2020', '首场', '大', '范围', '雨雪']</t>
  </si>
  <si>
    <t>蒋劲夫前女友发声</t>
  </si>
  <si>
    <t>['蒋劲夫', '女友', '前女友', '发声']</t>
  </si>
  <si>
    <t>77岁教授裸捐8208万</t>
  </si>
  <si>
    <t>['77', '岁', '教授', '裸捐', '8208', '万']</t>
  </si>
  <si>
    <t>普京谈伊朗军官遇袭</t>
  </si>
  <si>
    <t>['普京', '谈', '伊朗', '军官', '遇袭']</t>
  </si>
  <si>
    <t>李兰迪被气哭</t>
  </si>
  <si>
    <t>['李兰迪', '被', '气', '哭']</t>
  </si>
  <si>
    <t>曝伊朗少将遇袭细节</t>
  </si>
  <si>
    <t>['曝', '伊朗', '少将', '遇袭', '细节']</t>
  </si>
  <si>
    <t>马天宇举起张翰</t>
  </si>
  <si>
    <t>['马', '天宇', '举起', '张翰']</t>
  </si>
  <si>
    <t>白岩松再批国足</t>
  </si>
  <si>
    <t>['白岩松', '再', '国足', '批国足']</t>
  </si>
  <si>
    <t>美各城市加强警戒</t>
  </si>
  <si>
    <t>['美', '各', '城市', '加强', '警戒']</t>
  </si>
  <si>
    <t>CBA再开重磅罚单</t>
  </si>
  <si>
    <t>['CBA', '再开', '重磅', '罚单']</t>
  </si>
  <si>
    <t>苏莱曼尼遗体将转运</t>
  </si>
  <si>
    <t>['莱曼', '苏莱曼', '尼', '遗体', '将', '转运']</t>
  </si>
  <si>
    <t>国航回应泄露信息</t>
  </si>
  <si>
    <t>['国航', '回应', '泄露', '信息']</t>
  </si>
  <si>
    <t>伊朗称将报复美国</t>
  </si>
  <si>
    <t>['伊朗', '称', '将', '报复', '美国']</t>
  </si>
  <si>
    <t>官方谈高速收费异常</t>
  </si>
  <si>
    <t>['官方', '谈', '高速', '收费', '异常']</t>
  </si>
  <si>
    <t>朱雨玲战胜陈梦</t>
  </si>
  <si>
    <t>['朱雨玲', '战胜', '陈梦']</t>
  </si>
  <si>
    <t>肖战晒猫探班照片</t>
  </si>
  <si>
    <t>['肖战', '晒', '猫', '探班', '照片']</t>
  </si>
  <si>
    <t>人民日报三问ETC</t>
  </si>
  <si>
    <t>['人民', '日报', '人民日报', '三问', 'ETC']</t>
  </si>
  <si>
    <t>华盛顿进入戒备状态</t>
  </si>
  <si>
    <t>['华盛', '华盛顿', '进入', '戒备', '状态', '戒备状态']</t>
  </si>
  <si>
    <t>朱雨玲强势夺冠</t>
  </si>
  <si>
    <t>['朱雨玲', '强势', '夺冠']</t>
  </si>
  <si>
    <t>苏莱曼尼葬礼举行</t>
  </si>
  <si>
    <t>['莱曼', '苏莱曼', '尼', '葬礼', '举行']</t>
  </si>
  <si>
    <t>章子怡产房疑被曝</t>
  </si>
  <si>
    <t>['章子', '章子怡', '产房', '疑', '被', '曝']</t>
  </si>
  <si>
    <t>滴滴暂停新司机审核</t>
  </si>
  <si>
    <t>['滴滴', '暂停', '新', '司机', '审核']</t>
  </si>
  <si>
    <t>伊朗人焚烧美国国旗</t>
  </si>
  <si>
    <t>['伊朗', '伊朗人', '焚烧', '美国', '国旗']</t>
  </si>
  <si>
    <t>雷佳音夫妇同框</t>
  </si>
  <si>
    <t>['雷', '佳音', '夫妇', '同框']</t>
  </si>
  <si>
    <t>范冰冰李玉再合作</t>
  </si>
  <si>
    <t>['冰冰', '范冰冰', '李玉', '再', '合作']</t>
  </si>
  <si>
    <t>黑鹰黑匣子初判完成</t>
  </si>
  <si>
    <t>['黑鹰', '黑匣', '匣子', '黑匣子', '初判', '完成']</t>
  </si>
  <si>
    <t>12岁少年救整楼居民</t>
  </si>
  <si>
    <t>['12', '岁', '少年', '救', '整楼', '居民']</t>
  </si>
  <si>
    <t>Amber回忆雪莉</t>
  </si>
  <si>
    <t>['Amber', '回忆', '雪莉']</t>
  </si>
  <si>
    <t>河北一女子被关20年</t>
  </si>
  <si>
    <t>['河北', '一', '女子', '被关', '20', '年']</t>
  </si>
  <si>
    <t>赵丽颖怼粉丝彩虹屁</t>
  </si>
  <si>
    <t>['赵丽颖', '怼', '粉丝', '彩虹', '屁']</t>
  </si>
  <si>
    <t>吴磊匆忙刮胡子</t>
  </si>
  <si>
    <t>['吴磊', '匆忙', '胡子', '刮胡子']</t>
  </si>
  <si>
    <t>童瑶秒删吃瓜文章</t>
  </si>
  <si>
    <t>['童瑶', '秒', '删吃瓜', '文章']</t>
  </si>
  <si>
    <t>邓超一家四口现身</t>
  </si>
  <si>
    <t>['邓超', '一家', '四口', '现身']</t>
  </si>
  <si>
    <t>医生指出庆余年错误</t>
  </si>
  <si>
    <t>['医生', '指出', '庆', '余年', '错误']</t>
  </si>
  <si>
    <t>范冰冰羽毛披风亮相</t>
  </si>
  <si>
    <t>['冰冰', '范冰冰', '羽毛', '披风', '亮相']</t>
  </si>
  <si>
    <t>内蒙古现水煮黄河</t>
  </si>
  <si>
    <t>['内蒙', '蒙古', '内蒙古', '现水', '煮', '黄河']</t>
  </si>
  <si>
    <t>林志颖再唱经典曲目</t>
  </si>
  <si>
    <t>['林志颖', '再', '唱', '经典', '曲目']</t>
  </si>
  <si>
    <t>江苏男篮冲突后续</t>
  </si>
  <si>
    <t>['江苏', '男篮', '冲突', '后续']</t>
  </si>
  <si>
    <t>吴千语谈林峯结婚</t>
  </si>
  <si>
    <t>['吴千语', '谈林', '峯', '结婚']</t>
  </si>
  <si>
    <t>2020/01/05</t>
  </si>
  <si>
    <t>QG夺冠飞牛落泪</t>
  </si>
  <si>
    <t>['QG', '夺冠', '飞牛', '落泪']</t>
  </si>
  <si>
    <t>珠海香洲3.5级地震</t>
  </si>
  <si>
    <t>['珠海', '香洲', '3.5', '级', '地震']</t>
  </si>
  <si>
    <t>伊拉克首都遭袭击</t>
  </si>
  <si>
    <t>['伊拉', '拉克', '伊拉克', '首都', '遭', '袭击']</t>
  </si>
  <si>
    <t>皮克摸头致意武磊</t>
  </si>
  <si>
    <t>['皮克', '摸头', '致意', '武磊']</t>
  </si>
  <si>
    <t>伊朗接到美国信件</t>
  </si>
  <si>
    <t>['伊朗', '接到', '美国', '信件']</t>
  </si>
  <si>
    <t>郑爽素颜弹钢琴</t>
  </si>
  <si>
    <t>['郑爽', '素颜', '钢琴', '弹钢琴']</t>
  </si>
  <si>
    <t>马蓉获粉丝送花</t>
  </si>
  <si>
    <t>['马蓉', '获', '粉丝', '送花']</t>
  </si>
  <si>
    <t>李铁谈武磊绝平巴萨</t>
  </si>
  <si>
    <t>['李铁', '谈武磊', '绝平', '巴萨']</t>
  </si>
  <si>
    <t>美国爆发反战游行</t>
  </si>
  <si>
    <t>['美国', '爆发', '反战', '游行']</t>
  </si>
  <si>
    <t xml:space="preserve">武磊攻破巴萨球门 </t>
  </si>
  <si>
    <t>['武磊', '攻破', '巴萨', '球门', ' ']</t>
  </si>
  <si>
    <t>特朗普再警告伊朗</t>
  </si>
  <si>
    <t>['特朗普', '再', '警告', '伊朗']</t>
  </si>
  <si>
    <t>英首相不满美军空袭</t>
  </si>
  <si>
    <t>['首相', '英首相', '不满', '美军', '空袭']</t>
  </si>
  <si>
    <t>暴雪蓝色预警发布</t>
  </si>
  <si>
    <t>['暴雪', '蓝色', '预警', '发布']</t>
  </si>
  <si>
    <t>肯尼亚美军基地遭袭</t>
  </si>
  <si>
    <t>['肯尼', '尼亚', '肯尼亚', '美军', '基地', '美军基地', '遭袭']</t>
  </si>
  <si>
    <t>女财务被骗1000万</t>
  </si>
  <si>
    <t>['女', '财务', '被', '骗', '1000', '万']</t>
  </si>
  <si>
    <t>伊朗少将遗体被运回</t>
  </si>
  <si>
    <t>['伊朗', '少将', '遗体', '被', '运回']</t>
  </si>
  <si>
    <t>明道方回应哥哥轻生</t>
  </si>
  <si>
    <t>['明道', '明道方', '回应', '哥哥', '轻生']</t>
  </si>
  <si>
    <t>美航母抵达阿曼湾</t>
  </si>
  <si>
    <t>['美', '航母', '抵达', '阿曼', '阿曼湾']</t>
  </si>
  <si>
    <t>西语解说嘶吼武磊</t>
  </si>
  <si>
    <t>['西语', '解说', '嘶吼', '武磊']</t>
  </si>
  <si>
    <t>邓莎疑生二胎</t>
  </si>
  <si>
    <t>['邓莎疑', '二胎', '生二胎']</t>
  </si>
  <si>
    <t>西班牙人保级艰难</t>
  </si>
  <si>
    <t>['西班牙', '西班牙人', '保级', '艰难']</t>
  </si>
  <si>
    <t>特朗普严重警告伊朗</t>
  </si>
  <si>
    <t>['特朗普', '严重', '警告', '伊朗']</t>
  </si>
  <si>
    <t>汪涵曾弄丢儿子</t>
  </si>
  <si>
    <t>['汪涵', '曾', '弄', '丢', '儿子']</t>
  </si>
  <si>
    <t>范冰冰被过分修图</t>
  </si>
  <si>
    <t>['冰冰', '范冰冰', '被', '过分', '修图']</t>
  </si>
  <si>
    <t>武汉肺炎排除SARS</t>
  </si>
  <si>
    <t>['武汉', '肺炎', '排除', 'SARS']</t>
  </si>
  <si>
    <t>伊朗或中止伊核协议</t>
  </si>
  <si>
    <t>['伊朗', '或', '中止', '伊核', '协议']</t>
  </si>
  <si>
    <t>伊朗称无意与美开战</t>
  </si>
  <si>
    <t>['伊朗', '称', '无意', '与', '美', '开战']</t>
  </si>
  <si>
    <t>高速公路收费涨价</t>
  </si>
  <si>
    <t>['高速', '公路', '高速公路', '收费', '涨价']</t>
  </si>
  <si>
    <t>西班牙人战平巴萨</t>
  </si>
  <si>
    <t>['西班牙', '西班牙人', '战平', '巴萨']</t>
  </si>
  <si>
    <t>美国青年害怕被征兵</t>
  </si>
  <si>
    <t>['美国', '青年', '害怕', '被', '征兵']</t>
  </si>
  <si>
    <t>柬埔寨在建楼房坍塌</t>
  </si>
  <si>
    <t>['柬埔寨', '在建', '楼房', '坍塌']</t>
  </si>
  <si>
    <t>宠爱票房破4亿</t>
  </si>
  <si>
    <t>['宠爱', '票房', '破', '4', '亿']</t>
  </si>
  <si>
    <t>2020/01/06</t>
  </si>
  <si>
    <t>东方红五号首飞成功</t>
  </si>
  <si>
    <t>['东方', '东方红', '五号', '首飞', '成功']</t>
  </si>
  <si>
    <t>卢靖姗旁观韩庚吻戏</t>
  </si>
  <si>
    <t>['卢靖姗', '旁观', '韩庚', '吻', '戏']</t>
  </si>
  <si>
    <t>伊朗宣布中止核协议</t>
  </si>
  <si>
    <t>['伊朗', '宣布', '中止', '核', '协议']</t>
  </si>
  <si>
    <t>巴格达发生数次爆炸</t>
  </si>
  <si>
    <t>['巴格', '格达', '巴格达', '发生', '数次', '爆炸']</t>
  </si>
  <si>
    <t>蔡依林演唱会遭闹场</t>
  </si>
  <si>
    <t>['蔡依林', '演唱', '演唱会', '遭', '闹场']</t>
  </si>
  <si>
    <t>世卫组织谈肺炎事件</t>
  </si>
  <si>
    <t>['世卫', '组织', '谈', '肺炎', '事件']</t>
  </si>
  <si>
    <t>新野地震为地震施工</t>
  </si>
  <si>
    <t>['新野', '地震', '为', '地震', '施工']</t>
  </si>
  <si>
    <t>伊对美驻军达成决议</t>
  </si>
  <si>
    <t>['伊对', '美', '驻军', '达成', '决议']</t>
  </si>
  <si>
    <t>靓号欠费28元被销号</t>
  </si>
  <si>
    <t>['靓号', '欠费', '28', '元', '被', '销号']</t>
  </si>
  <si>
    <t>伊拉克致信联合国</t>
  </si>
  <si>
    <t>['伊拉', '拉克', '伊拉克', '致信', '联合', '联合国']</t>
  </si>
  <si>
    <t>唐山楼市现严厉调控</t>
  </si>
  <si>
    <t>['唐山', '楼市', '现', '严厉', '调控']</t>
  </si>
  <si>
    <t xml:space="preserve"> 肖战登时尚芭莎封面</t>
  </si>
  <si>
    <t>[' ', '肖战', '登时', '尚芭莎', '封面']</t>
  </si>
  <si>
    <t>中国游客在日被砍伤</t>
  </si>
  <si>
    <t>['中国', '游客', '在', '日', '被', '砍伤']</t>
  </si>
  <si>
    <t>美国宾州发生车祸</t>
  </si>
  <si>
    <t>['美国', '宾州', '发生', '车祸']</t>
  </si>
  <si>
    <t>武汉一工地发生坍塌</t>
  </si>
  <si>
    <t>['武汉', '一', '工地', '发生', '坍塌']</t>
  </si>
  <si>
    <t>李菲儿被曝新恋情</t>
  </si>
  <si>
    <t>['李菲儿', '被', '曝新', '恋情']</t>
  </si>
  <si>
    <t>孟非大赞武磊</t>
  </si>
  <si>
    <t>['孟非', '大赞', '武磊']</t>
  </si>
  <si>
    <t>德百年建筑起火</t>
  </si>
  <si>
    <t>['德', '百年', '建筑', '起火']</t>
  </si>
  <si>
    <t>支付宝年度账单</t>
  </si>
  <si>
    <t>['支付', '支付宝', '年度', '账单']</t>
  </si>
  <si>
    <t>赵丽颖蓝色纱裙</t>
  </si>
  <si>
    <t>['赵丽颖', '蓝色', '纱裙']</t>
  </si>
  <si>
    <t>山西晋中3.7级地震</t>
  </si>
  <si>
    <t>['山西', '西晋', '山西晋', '中', '3.7', '级', '地震']</t>
  </si>
  <si>
    <t>刘志轩推裁判被驱逐</t>
  </si>
  <si>
    <t>['刘志轩', '推', '裁判', '被', '驱逐']</t>
  </si>
  <si>
    <t>周冬雨晒拔完智齿照</t>
  </si>
  <si>
    <t>['周', '冬雨', '晒拔', '完', '智齿', '照']</t>
  </si>
  <si>
    <t>解说瓶子求婚成功</t>
  </si>
  <si>
    <t>['解说', '瓶子', '求婚', '成功']</t>
  </si>
  <si>
    <t>马蓉方否认新恋情</t>
  </si>
  <si>
    <t>['马蓉方', '否认', '新', '恋情']</t>
  </si>
  <si>
    <t>曝李铁征召国脚遭拒</t>
  </si>
  <si>
    <t>['曝', '李铁', '征召', '国脚', '遭拒']</t>
  </si>
  <si>
    <t>苏莱曼尼女儿发声</t>
  </si>
  <si>
    <t>['莱曼', '苏莱曼', '尼', '女儿', '发声']</t>
  </si>
  <si>
    <t>李铁带领国足首训</t>
  </si>
  <si>
    <t>['李铁', '带领', '国足', '首训']</t>
  </si>
  <si>
    <t>马云曾许心愿被翻出</t>
  </si>
  <si>
    <t>['马云', '曾许', '心愿', '被', '翻出']</t>
  </si>
  <si>
    <t>于正秒删文引发争议</t>
  </si>
  <si>
    <t>['于', '正', '秒', '删文', '引发', '争议']</t>
  </si>
  <si>
    <t>向佐郭碧婷甜蜜同框</t>
  </si>
  <si>
    <t>['向', '佐', '郭碧婷', '甜蜜', '同框']</t>
  </si>
  <si>
    <t>外交部回应美伊矛盾</t>
  </si>
  <si>
    <t>['外交', '外交部', '回应', '美伊', '矛盾']</t>
  </si>
  <si>
    <t>福建一待产孕妇失联</t>
  </si>
  <si>
    <t>['福建', '一', '待产', '孕妇', '失联']</t>
  </si>
  <si>
    <t>福州上空惊现鱼鳞云</t>
  </si>
  <si>
    <t>['福州', '上空', '惊现', '鱼鳞', '云']</t>
  </si>
  <si>
    <t>美颜滤镜下的陈小春</t>
  </si>
  <si>
    <t>['美颜', '滤镜', '下', '的', '小春', '陈小春']</t>
  </si>
  <si>
    <t>德国外长激怒德黑兰</t>
  </si>
  <si>
    <t>['德国', '外长', '激怒', '德黑兰']</t>
  </si>
  <si>
    <t>电梯27层直坠负1层</t>
  </si>
  <si>
    <t>['电梯', '27', '层直', '坠负', '1', '层']</t>
  </si>
  <si>
    <t>苏州十全街附近塌陷</t>
  </si>
  <si>
    <t>['苏州', '十全', '十全街', '附近', '塌陷']</t>
  </si>
  <si>
    <t>77届金球奖获奖名单</t>
  </si>
  <si>
    <t>['77', '届', '金球', '金球奖', '获奖', '名单']</t>
  </si>
  <si>
    <t>土耳其向利比亚派兵</t>
  </si>
  <si>
    <t>['土耳其', '向', '利比', '比亚', '利比亚', '派兵']</t>
  </si>
  <si>
    <t>2020/01/07</t>
  </si>
  <si>
    <t>美军基地再遭袭击</t>
  </si>
  <si>
    <t>['美军', '基地', '美军基地', '再', '遭', '袭击']</t>
  </si>
  <si>
    <t>伊朗升起红色战旗</t>
  </si>
  <si>
    <t>['伊朗', '升起', '红色', '战旗']</t>
  </si>
  <si>
    <t>大明风华朱棣下线</t>
  </si>
  <si>
    <t>['大明', '风华', '朱棣', '下线']</t>
  </si>
  <si>
    <t>陈乔恩为明道发声</t>
  </si>
  <si>
    <t>['陈乔恩', '为', '明道', '发声']</t>
  </si>
  <si>
    <t>澳大利亚现血色天空</t>
  </si>
  <si>
    <t>['大利', '利亚', '澳大利', '澳大利亚', '现', '血色', '天空']</t>
  </si>
  <si>
    <t>梅婷脚踩飞机显示屏</t>
  </si>
  <si>
    <t>['梅婷', '脚', '踩', '飞机', '显示', '显示屏']</t>
  </si>
  <si>
    <t>伊朗外长三问特朗普</t>
  </si>
  <si>
    <t>['伊朗', '外长', '三问', '特朗普']</t>
  </si>
  <si>
    <t>伊朗总统回击特朗普</t>
  </si>
  <si>
    <t>['伊朗', '总统', '回击', '特朗普']</t>
  </si>
  <si>
    <t>曝陈思诚佟丽娅离婚</t>
  </si>
  <si>
    <t>['曝', '陈思诚', '佟丽娅', '离婚']</t>
  </si>
  <si>
    <t>伊朗外长被美国拒签</t>
  </si>
  <si>
    <t>['伊朗', '外长', '被', '美国', '拒签']</t>
  </si>
  <si>
    <t>马云回应裁员传言</t>
  </si>
  <si>
    <t>['马云', '回应', '裁员', '传言']</t>
  </si>
  <si>
    <t>河南出现雷打雪现象</t>
  </si>
  <si>
    <t>['河南', '出现', '雷打雪', '现象']</t>
  </si>
  <si>
    <t>伊朗批准复仇议案</t>
  </si>
  <si>
    <t>['伊朗', '批准', '复仇', '议案']</t>
  </si>
  <si>
    <t>男童被压获赔3.2亿</t>
  </si>
  <si>
    <t>['男童', '被', '压获', '赔', '3.2', '亿']</t>
  </si>
  <si>
    <t>苏莱曼尼葬礼现踩踏</t>
  </si>
  <si>
    <t>['莱曼', '苏莱曼', '尼', '葬礼', '现', '踩踏']</t>
  </si>
  <si>
    <t>郑爽方发声明</t>
  </si>
  <si>
    <t>['郑爽方', '发声', '声明', '发声明']</t>
  </si>
  <si>
    <t>印尼发生6.3级地震</t>
  </si>
  <si>
    <t>['印尼', '发生', '6.3', '级', '地震']</t>
  </si>
  <si>
    <t>19岁女生失联7天</t>
  </si>
  <si>
    <t>['19', '岁', '女生', '失联', '7', '天']</t>
  </si>
  <si>
    <t>C罗上演2020第一帽</t>
  </si>
  <si>
    <t>['C', '罗', '上演', '2020', '第一', '帽']</t>
  </si>
  <si>
    <t>肖战王凯活动中睡着</t>
  </si>
  <si>
    <t>['肖战', '王凯', '活动', '中', '睡着']</t>
  </si>
  <si>
    <t>明道哥哥最后身影</t>
  </si>
  <si>
    <t>['明', '道', '哥哥', '最后', '身影']</t>
  </si>
  <si>
    <t>马云再爆金句</t>
  </si>
  <si>
    <t>['马云', '再', '爆金句']</t>
  </si>
  <si>
    <t>Gary回归超人回来了</t>
  </si>
  <si>
    <t>['Gary', '回归', '超人', '回来', '了']</t>
  </si>
  <si>
    <t>爱情公寓不再有续集</t>
  </si>
  <si>
    <t>['爱情', '公寓', '不再', '有', '续集']</t>
  </si>
  <si>
    <t>高圆圆产后颜值飙升</t>
  </si>
  <si>
    <t>['圆圆', '高圆圆', '产后', '颜值', '飙升']</t>
  </si>
  <si>
    <t>曝郜林冯潇霆离队</t>
  </si>
  <si>
    <t>['曝', '郜林', '冯潇霆', '离队']</t>
  </si>
  <si>
    <t>教师案嫌犯照片被曝</t>
  </si>
  <si>
    <t>['教师', '案', '嫌犯', '照片', '被', '曝']</t>
  </si>
  <si>
    <t>100秒看美伊新局势</t>
  </si>
  <si>
    <t>['100', '秒', '看', '美伊新', '局势']</t>
  </si>
  <si>
    <t>国考笔试成绩出炉</t>
  </si>
  <si>
    <t>['国考', '笔试', '成绩', '出炉']</t>
  </si>
  <si>
    <t>贵州出现怪云</t>
  </si>
  <si>
    <t>['贵州', '出现', '怪云']</t>
  </si>
  <si>
    <t>范冰冰再获公益大奖</t>
  </si>
  <si>
    <t>['冰冰', '范冰冰', '再', '获', '公益', '大奖']</t>
  </si>
  <si>
    <t>郭艾伦被曝生病</t>
  </si>
  <si>
    <t>['郭', '艾伦', '被', '曝', '生病']</t>
  </si>
  <si>
    <t>苏莱曼尼遇刺细节</t>
  </si>
  <si>
    <t>['莱曼', '苏莱曼', '尼', '遇刺', '细节']</t>
  </si>
  <si>
    <t>权志龙恋情疑被曝出</t>
  </si>
  <si>
    <t>['权志龙', '恋情', '疑', '被', '曝出']</t>
  </si>
  <si>
    <t>以色列总理口误</t>
  </si>
  <si>
    <t>['以色列', '总理', '口误']</t>
  </si>
  <si>
    <t>用绳吊孙子下楼救猫</t>
  </si>
  <si>
    <t>['用绳', '吊', '孙子', '下楼', '救猫']</t>
  </si>
  <si>
    <t>2万吨储备肉将投放</t>
  </si>
  <si>
    <t>['2', '万吨', '储备', '肉', '将', '投放']</t>
  </si>
  <si>
    <t>张云雷怒怼毒唯粉</t>
  </si>
  <si>
    <t>['张云雷怒', '怼', '毒', '唯粉']</t>
  </si>
  <si>
    <t>曝白百何第三者插足</t>
  </si>
  <si>
    <t>['曝白百何', '第三', '三者', '第三者', '插足']</t>
  </si>
  <si>
    <t>2020/01/08</t>
  </si>
  <si>
    <t>张含韵瘦身成功</t>
  </si>
  <si>
    <t>['张含韵', '瘦身', '成功']</t>
  </si>
  <si>
    <t>四川兴文4.1级地震</t>
  </si>
  <si>
    <t>['四川', '兴文', '4.1', '级', '地震']</t>
  </si>
  <si>
    <t>养老金迎上调窗口期</t>
  </si>
  <si>
    <t>['养老', '老金', '养老金', '迎', '上调', '窗口', '窗口期']</t>
  </si>
  <si>
    <t>伊朗袭击美军基地</t>
  </si>
  <si>
    <t>['伊朗', '袭击', '美军', '基地', '美军基地']</t>
  </si>
  <si>
    <t>伊朗发动第二轮袭击</t>
  </si>
  <si>
    <t>['伊朗', '发动', '第二', '二轮', '第二轮', '袭击']</t>
  </si>
  <si>
    <t>疑曝热巴黄景瑜恋情</t>
  </si>
  <si>
    <t>['疑', '曝', '热巴', '黄景', '瑜', '恋情']</t>
  </si>
  <si>
    <t>特朗普回应伊朗袭击</t>
  </si>
  <si>
    <t>['特朗普', '回应', '伊朗', '袭击']</t>
  </si>
  <si>
    <t>美基地被袭内部画面</t>
  </si>
  <si>
    <t>['美', '基地', '被', '袭', '内部', '画面']</t>
  </si>
  <si>
    <t>今日头条盛典直播</t>
  </si>
  <si>
    <t>['今日', '头条', '盛典', '直播']</t>
  </si>
  <si>
    <t>陈思诚疑破离婚谣言</t>
  </si>
  <si>
    <t>['陈思诚', '疑破', '离婚', '谣言']</t>
  </si>
  <si>
    <t>美驻伊拉克基地遭袭</t>
  </si>
  <si>
    <t>['美驻', '伊拉', '拉克', '伊拉克', '基地', '遭袭']</t>
  </si>
  <si>
    <t>2019今日头条盛典</t>
  </si>
  <si>
    <t>['2019', '今日', '头条', '盛典']</t>
  </si>
  <si>
    <t>特朗普将遵守国际法</t>
  </si>
  <si>
    <t>['特朗普', '将', '遵守', '国际', '国际法']</t>
  </si>
  <si>
    <t>央视春晚彩排照疑曝</t>
  </si>
  <si>
    <t>['央视', '春晚', '央视春晚', '彩排', '照疑', '曝']</t>
  </si>
  <si>
    <t>普京访问叙利亚</t>
  </si>
  <si>
    <t>['普京', '访问', '利亚', '叙利亚']</t>
  </si>
  <si>
    <t>李子柒年入1.6亿</t>
  </si>
  <si>
    <t>['李子', '柒年入', '1.6', '亿']</t>
  </si>
  <si>
    <t>乌克兰客机坠毁</t>
  </si>
  <si>
    <t>['克兰', '乌克兰', '客机', '坠毁']</t>
  </si>
  <si>
    <t>伊朗连续发生地震</t>
  </si>
  <si>
    <t>['伊朗', '连续', '发生', '地震']</t>
  </si>
  <si>
    <t>伊朗媒体曝轰炸结果</t>
  </si>
  <si>
    <t>['伊朗', '媒体', '曝', '轰炸', '结果']</t>
  </si>
  <si>
    <t>中国文联春晚节目单</t>
  </si>
  <si>
    <t>['中国', '国文', '文联', '中国文联', '春晚', '节目', '节目单']</t>
  </si>
  <si>
    <t>辽宁鞍山3.0级地震</t>
  </si>
  <si>
    <t>['辽宁', '鞍山', '3.0', '级', '地震']</t>
  </si>
  <si>
    <t>坠毁客机黑匣子找到</t>
  </si>
  <si>
    <t>['坠毁', '客机', '黑匣', '匣子', '黑匣子', '找到']</t>
  </si>
  <si>
    <t>韩庚卢靖姗新婚写真</t>
  </si>
  <si>
    <t>['韩庚', '卢靖姗', '新婚', '写真']</t>
  </si>
  <si>
    <t>伊朗领袖电视讲话</t>
  </si>
  <si>
    <t>['伊朗', '领袖', '电视', '讲话', '电视讲话']</t>
  </si>
  <si>
    <t>曝朱丹叫错马思纯</t>
  </si>
  <si>
    <t>['曝朱丹', '叫', '错', '马思纯']</t>
  </si>
  <si>
    <t>头条盛典红毯秀</t>
  </si>
  <si>
    <t>['头条', '盛典', '红毯秀']</t>
  </si>
  <si>
    <t>工信部通报瑞幸咖啡</t>
  </si>
  <si>
    <t>['工信部', '通报', '瑞幸', '咖啡']</t>
  </si>
  <si>
    <t>罗志祥“表白”张艺兴</t>
  </si>
  <si>
    <t>['罗志祥', '“', '表白', '”', '张艺兴']</t>
  </si>
  <si>
    <t>乌克兰修改坠机声明</t>
  </si>
  <si>
    <t>['克兰', '乌克兰', '修改', '坠机', '声明']</t>
  </si>
  <si>
    <t>张掖市3.8级地震</t>
  </si>
  <si>
    <t>['张掖', '张掖市', '3.8', '级', '地震']</t>
  </si>
  <si>
    <t>曝杨幂魏大勋分手</t>
  </si>
  <si>
    <t>['曝杨', '幂', '魏大勋', '分手']</t>
  </si>
  <si>
    <t>美军飞机被伊朗摧毁</t>
  </si>
  <si>
    <t>['美军', '飞机', '被', '伊朗', '摧毁']</t>
  </si>
  <si>
    <t>乌方公布遇难者国籍</t>
  </si>
  <si>
    <t>['乌方', '公布', '遇难', '难者', '遇难者', '国籍']</t>
  </si>
  <si>
    <t>8名肺炎患者出院</t>
  </si>
  <si>
    <t>['8', '名', '肺炎', '患者', '出院']</t>
  </si>
  <si>
    <t>伊朗计划第三轮行动</t>
  </si>
  <si>
    <t>['伊朗', '计划', '第三', '三轮', '第三轮', '行动']</t>
  </si>
  <si>
    <t>美评估被袭基地损失</t>
  </si>
  <si>
    <t>['美', '评估', '被', '袭', '基地', '损失']</t>
  </si>
  <si>
    <t>伊朗外长称行动结束</t>
  </si>
  <si>
    <t>['伊朗', '外长', '称', '行动', '结束']</t>
  </si>
  <si>
    <t>范冰冰深夜开工</t>
  </si>
  <si>
    <t>['冰冰', '范冰冰', '深夜', '开工']</t>
  </si>
  <si>
    <t>中东局势或失控</t>
  </si>
  <si>
    <t>['中东', '局势', '或', '失控']</t>
  </si>
  <si>
    <t>2020/01/09</t>
  </si>
  <si>
    <t>美驻伊大使馆再遭袭</t>
  </si>
  <si>
    <t>['美驻', '伊', '大使', '使馆', '大使馆', '再', '遭袭']</t>
  </si>
  <si>
    <t>李佳琦年入近2亿</t>
  </si>
  <si>
    <t>['李佳琦年', '入近', '2', '亿']</t>
  </si>
  <si>
    <t>北京房山3.2级地震</t>
  </si>
  <si>
    <t>['北京', '房山', '3.2', '级', '地震']</t>
  </si>
  <si>
    <t>特朗普指责奥巴马</t>
  </si>
  <si>
    <t>['特朗普', '指责', '奥巴', '巴马', '奥巴马']</t>
  </si>
  <si>
    <t>官方回应天价高速费</t>
  </si>
  <si>
    <t>['官方', '回应', '天价', '高速', '费']</t>
  </si>
  <si>
    <t>面馆老板娘扮唐仕女</t>
  </si>
  <si>
    <t>['面馆', '老板', '老板娘', '扮唐', '仕女']</t>
  </si>
  <si>
    <t>美伊冲突惊情六日</t>
  </si>
  <si>
    <t>['美伊', '冲突', '惊情', '六日']</t>
  </si>
  <si>
    <t>明道哥哥欠250万</t>
  </si>
  <si>
    <t>['明', '道', '哥哥', '欠', '250', '万']</t>
  </si>
  <si>
    <t>蔡少芬儿子成团宠</t>
  </si>
  <si>
    <t>['蔡少芬', '儿子', '成团', '宠']</t>
  </si>
  <si>
    <t>特朗普回应伊朗报复</t>
  </si>
  <si>
    <t>['特朗普', '回应', '伊朗', '报复']</t>
  </si>
  <si>
    <t>马蓉疑讽刺王宝强</t>
  </si>
  <si>
    <t>['马蓉疑', '讽刺', '王宝强']</t>
  </si>
  <si>
    <t>安徽长丰县交通事故</t>
  </si>
  <si>
    <t>['安徽', '长丰', '丰县', '长丰县', '交通', '通事', '事故', '交通事故']</t>
  </si>
  <si>
    <t>意大利出最严交通法</t>
  </si>
  <si>
    <t>['大利', '意大利', '出', '最严', '交通', '法']</t>
  </si>
  <si>
    <t>印度爆发工人罢工</t>
  </si>
  <si>
    <t>['印度', '爆发', '工人', '罢工']</t>
  </si>
  <si>
    <t>拜登批特朗普无能</t>
  </si>
  <si>
    <t>['拜登', '批', '特朗普', '无能']</t>
  </si>
  <si>
    <t>比伯承认患莱姆病</t>
  </si>
  <si>
    <t>['比伯', '承认', '患', '莱姆', '莱姆病']</t>
  </si>
  <si>
    <t>曝孙杨退冠军系列赛</t>
  </si>
  <si>
    <t>['曝孙', '杨退', '冠军', '系列', '系列赛']</t>
  </si>
  <si>
    <t>谢楠叫错杨紫名字</t>
  </si>
  <si>
    <t>['谢楠', '叫', '错', '杨', '紫', '名字']</t>
  </si>
  <si>
    <t>蒋劲夫前女友晒照</t>
  </si>
  <si>
    <t>['蒋劲夫', '女友', '前女友', '晒照']</t>
  </si>
  <si>
    <t>金秀贤将演爱的迫降</t>
  </si>
  <si>
    <t>['金秀贤', '将', '演爱', '的', '迫降']</t>
  </si>
  <si>
    <t>再投放2万吨储备肉</t>
  </si>
  <si>
    <t>['再', '投放', '2', '万吨', '储备', '肉']</t>
  </si>
  <si>
    <t>杨紫被当整容例子</t>
  </si>
  <si>
    <t>['杨', '紫', '被', '当', '整容', '例子']</t>
  </si>
  <si>
    <t>武汉病毒性肺炎进展</t>
  </si>
  <si>
    <t>['武汉', '病毒', '毒性', '病毒性', '肺炎', '进展']</t>
  </si>
  <si>
    <t>哈里夫妇辞皇室职务</t>
  </si>
  <si>
    <t>['哈里', '夫妇', '辞', '皇室', '职务']</t>
  </si>
  <si>
    <t>瑞幸咖啡回应被点名</t>
  </si>
  <si>
    <t>['瑞幸', '咖啡', '回应', '被', '点名']</t>
  </si>
  <si>
    <t>美对伊将实施新制裁</t>
  </si>
  <si>
    <t>['美对', '伊将', '实施', '新', '制裁']</t>
  </si>
  <si>
    <t>央视春晚阵容疑曝</t>
  </si>
  <si>
    <t>['央视', '春晚', '央视春晚', '阵容', '疑', '曝']</t>
  </si>
  <si>
    <t>艾伦探班陈乔恩</t>
  </si>
  <si>
    <t>['艾伦', '探班', '陈乔恩']</t>
  </si>
  <si>
    <t>加拿大发生枪击案</t>
  </si>
  <si>
    <t>['加拿', '加拿大', '发生', '枪击', '枪击案']</t>
  </si>
  <si>
    <t>伊朗公布坠机报告</t>
  </si>
  <si>
    <t>['伊朗', '公布', '坠机', '报告']</t>
  </si>
  <si>
    <t>2020/01/10</t>
  </si>
  <si>
    <t>美将无条件与伊谈判</t>
  </si>
  <si>
    <t>['美将', '条件', '无条件', '与', '伊', '谈判']</t>
  </si>
  <si>
    <t>爱情公寓5定档</t>
  </si>
  <si>
    <t>['爱情', '公寓', '5', '定档']</t>
  </si>
  <si>
    <t>特朗普坐镇战情室</t>
  </si>
  <si>
    <t>['特朗普', '坐镇', '战情', '室']</t>
  </si>
  <si>
    <t>伊朗坠机事故存疑点</t>
  </si>
  <si>
    <t>['伊朗', '坠机', '事故', '存疑', '点']</t>
  </si>
  <si>
    <t>巴萨2-3不敌马竞</t>
  </si>
  <si>
    <t>['巴萨', '2', '-', '3', '不敌', '马', '竞']</t>
  </si>
  <si>
    <t>U23国足憾负韩国</t>
  </si>
  <si>
    <t>['U23', '国足', '国足憾', '负', '韩国']</t>
  </si>
  <si>
    <t>鹿晗加盟天霸俱乐部</t>
  </si>
  <si>
    <t>['鹿晗', '加盟', '天霸', '俱乐部']</t>
  </si>
  <si>
    <t>因机票作废躲过坠机</t>
  </si>
  <si>
    <t>['因', '机票', '作废', '躲过', '坠机']</t>
  </si>
  <si>
    <t>赵忠祥方辟谣去世</t>
  </si>
  <si>
    <t>['赵忠祥', '方', '辟谣', '去世']</t>
  </si>
  <si>
    <t>朱丹方回应口误</t>
  </si>
  <si>
    <t>['朱', '丹方', '回应', '口误']</t>
  </si>
  <si>
    <t>伊朗否认击落飞机</t>
  </si>
  <si>
    <t>['伊朗', '否认', '击落', '飞机']</t>
  </si>
  <si>
    <t>朱丹工作室声明</t>
  </si>
  <si>
    <t>['朱丹', '工作', '工作室', '声明']</t>
  </si>
  <si>
    <t>朱丹经纪人发长文</t>
  </si>
  <si>
    <t>['朱丹', '经纪', '经纪人', '发', '长文']</t>
  </si>
  <si>
    <t>连战为韩国瑜助选</t>
  </si>
  <si>
    <t>['连战', '为', '韩国', '瑜', '助选']</t>
  </si>
  <si>
    <t>池子开撕笑果文化</t>
  </si>
  <si>
    <t>['池子', '开', '撕笑果', '文化']</t>
  </si>
  <si>
    <t>周迅舒淇陈坤年会</t>
  </si>
  <si>
    <t>['周迅', '舒淇', '陈坤', '年', '会']</t>
  </si>
  <si>
    <t>李思思高调秀恩爱</t>
  </si>
  <si>
    <t>['李', '思思', '高调', '秀', '恩爱']</t>
  </si>
  <si>
    <t>王俊凯裤子是假两件</t>
  </si>
  <si>
    <t>['王俊凯', '裤子', '是', '假', '两件']</t>
  </si>
  <si>
    <t>中国男排0:3伊朗</t>
  </si>
  <si>
    <t>['中国', '男排', '0', ':', '3', '伊朗']</t>
  </si>
  <si>
    <t>宋喆前妻杨慧近照</t>
  </si>
  <si>
    <t>['宋喆', '前妻', '杨慧', '近照']</t>
  </si>
  <si>
    <t>汪峰陪章子怡坐月子</t>
  </si>
  <si>
    <t>['汪峰', '陪', '章子', '章子怡', '月子', '坐月子']</t>
  </si>
  <si>
    <t>杨幂抽烟镜头</t>
  </si>
  <si>
    <t>['杨幂', '抽烟', '镜头']</t>
  </si>
  <si>
    <t>李子柒方回应年收入</t>
  </si>
  <si>
    <t>['李子', '柒方', '回应', '收入', '年收入']</t>
  </si>
  <si>
    <t>云南回应ETC多扣费</t>
  </si>
  <si>
    <t>['云南', '回应', 'ETC', '多', '扣费']</t>
  </si>
  <si>
    <t>英脱欧协议法案通过</t>
  </si>
  <si>
    <t>['英脱', '欧', '协议', '法案', '通过']</t>
  </si>
  <si>
    <t>埋尸案二审维持原判</t>
  </si>
  <si>
    <t>['埋尸', '二审', '案二审', '维持', '原判', '维持原判']</t>
  </si>
  <si>
    <t>朱丹自我调侃</t>
  </si>
  <si>
    <t>['朱丹', '自我', '调侃', '自我调侃']</t>
  </si>
  <si>
    <t>武大停止自考招生</t>
  </si>
  <si>
    <t>['武大', '停止', '自考', '招生']</t>
  </si>
  <si>
    <t>晋州殡仪馆失火</t>
  </si>
  <si>
    <t>['晋州', '殡仪', '殡仪馆', '失火']</t>
  </si>
  <si>
    <t>笑果文化声明</t>
  </si>
  <si>
    <t>['笑果', '文化', '声明']</t>
  </si>
  <si>
    <t>詹姆斯获第二轮票王</t>
  </si>
  <si>
    <t>['詹姆斯', '获', '第二', '二轮', '第二轮', '票王']</t>
  </si>
  <si>
    <t>韩庚金在中登封面</t>
  </si>
  <si>
    <t>['韩庚金', '在', '中', '登', '封面']</t>
  </si>
  <si>
    <t>伊朗一大巴发生事故</t>
  </si>
  <si>
    <t>['伊朗', '一', '大巴', '发生', '事故']</t>
  </si>
  <si>
    <t>2020/01/11</t>
  </si>
  <si>
    <t>霸座男起诉央视侵权</t>
  </si>
  <si>
    <t>['霸座', '男', '起诉', '央视', '侵权']</t>
  </si>
  <si>
    <t>美俄军舰差点相撞</t>
  </si>
  <si>
    <t>['美俄', '军舰', '差点', '相撞']</t>
  </si>
  <si>
    <t>美对伊朗实施新制裁</t>
  </si>
  <si>
    <t>['美对', '伊朗', '实施', '新', '制裁']</t>
  </si>
  <si>
    <t>伊朗称意外击落客机</t>
  </si>
  <si>
    <t>['伊朗', '称', '意外', '击落', '客机']</t>
  </si>
  <si>
    <t>鲁哈尼回应击落客机</t>
  </si>
  <si>
    <t>['鲁', '哈尼', '回应', '击落', '客机']</t>
  </si>
  <si>
    <t>杨宗纬秒删发文</t>
  </si>
  <si>
    <t>['杨宗纬', '秒', '删', '发文']</t>
  </si>
  <si>
    <t>台湾大选投票开始</t>
  </si>
  <si>
    <t>['台湾', '大选', '投票', '开始']</t>
  </si>
  <si>
    <t>赵丽颖黑天鹅纱裙</t>
  </si>
  <si>
    <t>['赵丽颖', '黑天', '天鹅', '黑天鹅', '纱裙']</t>
  </si>
  <si>
    <t>男子特朗普庄园被捕</t>
  </si>
  <si>
    <t>['男子', '特朗普', '庄园', '被捕']</t>
  </si>
  <si>
    <t>92岁爷爷娶78岁奶奶</t>
  </si>
  <si>
    <t>['92', '岁', '爷爷', '娶', '78', '岁', '奶奶']</t>
  </si>
  <si>
    <t>郑文杰断绝家人关系</t>
  </si>
  <si>
    <t>['郑文杰', '断绝', '家人', '关系']</t>
  </si>
  <si>
    <t>南邮涉事导师被解聘</t>
  </si>
  <si>
    <t>['南邮', '涉事', '导师', '被', '解聘']</t>
  </si>
  <si>
    <t>张翰成为终极合伙人</t>
  </si>
  <si>
    <t>['张翰', '成为', '终极', '合伙', '合伙人']</t>
  </si>
  <si>
    <t>卫健委通报武汉肺炎</t>
  </si>
  <si>
    <t>['卫健委', '通报', '武汉', '肺炎']</t>
  </si>
  <si>
    <t>2019新生儿爆款名字</t>
  </si>
  <si>
    <t>['2019', '新生', '生儿', '新生儿', '爆款', '名字']</t>
  </si>
  <si>
    <t>网剧唐探剧情反转</t>
  </si>
  <si>
    <t>['网剧', '唐探', '剧情', '反转']</t>
  </si>
  <si>
    <t>杨紫杨幂杨颖同框</t>
  </si>
  <si>
    <t>['杨紫杨', '幂', '杨颖', '同框']</t>
  </si>
  <si>
    <t>奚梦瑶提菜篮包</t>
  </si>
  <si>
    <t>['奚梦瑶', '提', '菜篮', '包']</t>
  </si>
  <si>
    <t>央视再探坠机地点</t>
  </si>
  <si>
    <t>['央视', '再', '探', '坠机', '地点']</t>
  </si>
  <si>
    <t>伊朗外长发文致歉</t>
  </si>
  <si>
    <t>['伊朗', '外长', '发文', '致歉']</t>
  </si>
  <si>
    <t>郜林发文告别恒大</t>
  </si>
  <si>
    <t>['郜林', '发文', '告别', '恒大']</t>
  </si>
  <si>
    <t>中国天眼开放运行</t>
  </si>
  <si>
    <t>['中国', '天眼', '开放', '运行']</t>
  </si>
  <si>
    <t>言承旭被曝新恋情</t>
  </si>
  <si>
    <t>['言承旭', '被', '曝新', '恋情']</t>
  </si>
  <si>
    <t>广州地铁塌陷后续</t>
  </si>
  <si>
    <t>['广州', '地铁', '塌陷', '后续']</t>
  </si>
  <si>
    <t>长春营造水母长廊</t>
  </si>
  <si>
    <t>['长春', '营造', '水母', '长廊']</t>
  </si>
  <si>
    <t>蔡英文 当选</t>
  </si>
  <si>
    <t>['蔡', '英文', ' ', '当选']</t>
  </si>
  <si>
    <t>李嘉诚父子现身</t>
  </si>
  <si>
    <t>['李嘉诚', '父子', '现身']</t>
  </si>
  <si>
    <t>福岛现大量野生动物</t>
  </si>
  <si>
    <t>['福岛', '现', '大量', '野生', '生动', '动物', '野生动物']</t>
  </si>
  <si>
    <t>春运十大新变化</t>
  </si>
  <si>
    <t>['春运', '十大', '新', '变化']</t>
  </si>
  <si>
    <t>朱镇模聊天记录疑曝</t>
  </si>
  <si>
    <t>['朱镇模', '聊天', '记录', '聊天记录', '疑', '曝']</t>
  </si>
  <si>
    <t>李小璐探望视障儿童</t>
  </si>
  <si>
    <t>['李小璐', '探望', '视障', '儿童']</t>
  </si>
  <si>
    <t>首批高铁女副司机</t>
  </si>
  <si>
    <t>['首批', '高铁', '女', '副', '司机']</t>
  </si>
  <si>
    <t>戈恩出逃被做成游戏</t>
  </si>
  <si>
    <t>['戈恩', '出逃', '被', '做成', '游戏']</t>
  </si>
  <si>
    <t>外媒曝全球繁荣指数</t>
  </si>
  <si>
    <t>['外媒', '曝', '全球', '繁荣', '指数']</t>
  </si>
  <si>
    <t>李承铉泰迪卷造型</t>
  </si>
  <si>
    <t>['李承铉', '泰迪卷', '造型']</t>
  </si>
  <si>
    <t>2020/01/12</t>
  </si>
  <si>
    <t>菲尼克斯被逮捕</t>
  </si>
  <si>
    <t>['尼克', '克斯', '尼克斯', '菲尼克斯', '被', '逮捕']</t>
  </si>
  <si>
    <t>别让ETC给回家添堵</t>
  </si>
  <si>
    <t>['别', '让', 'ETC', '给', '回家', '添堵']</t>
  </si>
  <si>
    <t>国台办谈蔡英文连任</t>
  </si>
  <si>
    <t>['台办', '国台办', '谈', '蔡', '英文', '连任']</t>
  </si>
  <si>
    <t>冯硕主持人大赛晋级</t>
  </si>
  <si>
    <t>['冯硕', '主持', '主持人', '大赛', '晋级']</t>
  </si>
  <si>
    <t>全国房价排行榜出炉</t>
  </si>
  <si>
    <t>['全国', '房价', '排行', '排行榜', '出炉']</t>
  </si>
  <si>
    <t>南昌舰正式入列</t>
  </si>
  <si>
    <t>['南昌', '舰', '正式', '入列']</t>
  </si>
  <si>
    <t>京东bug惨遭薅羊毛</t>
  </si>
  <si>
    <t>['京东', 'bug', '惨遭', '薅', '羊毛']</t>
  </si>
  <si>
    <t>李冰冰赵丽颖牵手</t>
  </si>
  <si>
    <t>['李冰', '冰冰', '李冰冰', '赵丽颖', '牵手']</t>
  </si>
  <si>
    <t>张艺兴拉王一博的手</t>
  </si>
  <si>
    <t>['张艺', '兴拉王', '一博', '的', '手']</t>
  </si>
  <si>
    <t>故宫推出年夜饭</t>
  </si>
  <si>
    <t>['故宫', '推出', '年夜', '夜饭', '年夜饭']</t>
  </si>
  <si>
    <t>伊拉克指挥官遭暗害</t>
  </si>
  <si>
    <t>['伊拉', '拉克', '伊拉克', '指挥', '指挥官', '遭', '暗害']</t>
  </si>
  <si>
    <t>加强药品境外检查</t>
  </si>
  <si>
    <t>['加强', '药品', '境外', '检查']</t>
  </si>
  <si>
    <t>沈腾李现花式报菜名</t>
  </si>
  <si>
    <t>['沈腾', '李现', '花式', '菜名', '报菜名']</t>
  </si>
  <si>
    <t>陈雨菲女单夺冠</t>
  </si>
  <si>
    <t>['陈雨菲', '女单', '夺冠']</t>
  </si>
  <si>
    <t>郝云妻子再发长文</t>
  </si>
  <si>
    <t>['郝云', '妻子', '再发', '长文']</t>
  </si>
  <si>
    <t>郭德纲郭麒麟神同步</t>
  </si>
  <si>
    <t>['郭德纲', '郭', '麒麟', '神', '同步']</t>
  </si>
  <si>
    <t>周杰伦为粉丝买单</t>
  </si>
  <si>
    <t>['周杰伦', '为', '粉丝', '买单']</t>
  </si>
  <si>
    <t>父亲为女儿借阳光</t>
  </si>
  <si>
    <t>['父亲', '为', '女儿', '借', '阳光']</t>
  </si>
  <si>
    <t>子乔美嘉领证</t>
  </si>
  <si>
    <t>['子', '乔美嘉', '领证']</t>
  </si>
  <si>
    <t>林书豪单挑赛平赵睿</t>
  </si>
  <si>
    <t>['书豪', '林书豪', '单挑', '赛平', '赵睿']</t>
  </si>
  <si>
    <t>私生监控偷拍冯薪朵</t>
  </si>
  <si>
    <t>['私生', '监控', '偷拍', '冯薪朵']</t>
  </si>
  <si>
    <t>中国男排晋级决赛</t>
  </si>
  <si>
    <t>['中国', '男排', '晋级', '决赛']</t>
  </si>
  <si>
    <t>恒大国安重磅交易</t>
  </si>
  <si>
    <t>['恒大', '国安', '重磅', '交易']</t>
  </si>
  <si>
    <t>易烊千玺胸前发光</t>
  </si>
  <si>
    <t>['易', '烊', '千玺', '胸前', '发光']</t>
  </si>
  <si>
    <t>杜少平曾想检举立功</t>
  </si>
  <si>
    <t>['杜少平', '曾', '想', '检举', '立功']</t>
  </si>
  <si>
    <t>亲人看到回家的你</t>
  </si>
  <si>
    <t>['亲人', '看到', '回家', '的', '你']</t>
  </si>
  <si>
    <t>张常宁探班吴冠希</t>
  </si>
  <si>
    <t>['张', '常宁', '探班', '吴冠希']</t>
  </si>
  <si>
    <t>专家谈2020春节早到</t>
  </si>
  <si>
    <t>['专家', '谈', '2020', '春节', '早到']</t>
  </si>
  <si>
    <t>武磊首发出战</t>
  </si>
  <si>
    <t>['武磊', '首发', '出战']</t>
  </si>
  <si>
    <t>万千星辉颁奖典礼</t>
  </si>
  <si>
    <t>['万千', '星辉', '颁奖', '典礼', '颁奖典礼']</t>
  </si>
  <si>
    <t>往井里扔鞭炮被炸飞</t>
  </si>
  <si>
    <t>['往井里', '扔', '鞭炮', '炸飞', '被炸飞']</t>
  </si>
  <si>
    <t>中国女排进死亡之组</t>
  </si>
  <si>
    <t>['中国', '女排', '中国女排', '进', '死亡', '之组']</t>
  </si>
  <si>
    <t>伊朗特种部队遭伏击</t>
  </si>
  <si>
    <t>['伊朗', '特种', '部队', '特种部队', '遭', '伏击']</t>
  </si>
  <si>
    <t>伊朗爆发抗议活动</t>
  </si>
  <si>
    <t>['伊朗', '爆发', '抗议', '活动']</t>
  </si>
  <si>
    <t>陌陌员工转卖苹果11</t>
  </si>
  <si>
    <t>['陌陌', '员工', '转卖', '苹果', '11']</t>
  </si>
  <si>
    <t>景区把喷泉改喊泉</t>
  </si>
  <si>
    <t>['景区', '把', '喷泉', '改喊泉']</t>
  </si>
  <si>
    <t>林依轮追星肖战</t>
  </si>
  <si>
    <t>['林依轮', '追星', '肖战']</t>
  </si>
  <si>
    <t>精英律师迎大结局</t>
  </si>
  <si>
    <t>['精英', '律师', '迎', '结局', '大结局']</t>
  </si>
  <si>
    <t>李小璐甜馨滑雪照</t>
  </si>
  <si>
    <t>['李小璐', '甜馨', '滑雪', '照']</t>
  </si>
  <si>
    <t>收费员向车主下跪</t>
  </si>
  <si>
    <t>['收费', '收费员', '向', '车主', '下跪']</t>
  </si>
  <si>
    <t>新一轮医保改革</t>
  </si>
  <si>
    <t>['一轮', '新一轮', '医保', '改革']</t>
  </si>
  <si>
    <t>2020/01/13</t>
  </si>
  <si>
    <t>那英没拿住肖战的鱼</t>
  </si>
  <si>
    <t>['那英', '拿住', '没拿住', '肖战', '的', '鱼']</t>
  </si>
  <si>
    <t>黄晓明疑暗示婚变</t>
  </si>
  <si>
    <t>['黄晓明', '疑', '暗示', '婚变']</t>
  </si>
  <si>
    <t>威廉哈里兄弟决裂</t>
  </si>
  <si>
    <t>['威廉', '哈里', '兄弟', '决裂']</t>
  </si>
  <si>
    <t>倒车掉进7米深沟</t>
  </si>
  <si>
    <t>['倒车', '掉', '进', '7', '米', '深沟']</t>
  </si>
  <si>
    <t>网曝赵忠祥因病住院</t>
  </si>
  <si>
    <t>['网', '曝', '赵忠祥', '因', '病', '住院']</t>
  </si>
  <si>
    <t>赌王病情疑恶化</t>
  </si>
  <si>
    <t>['赌王', '病情', '疑', '恶化']</t>
  </si>
  <si>
    <t>金钟大承认恋情</t>
  </si>
  <si>
    <t>['金钟', '大', '承认', '恋情']</t>
  </si>
  <si>
    <t>SM确认金钟大结婚</t>
  </si>
  <si>
    <t>['SM', '确认', '金钟', '大', '结婚']</t>
  </si>
  <si>
    <t>曝魏骏杰妻子出轨</t>
  </si>
  <si>
    <t>['曝', '魏骏杰', '妻子', '出轨']</t>
  </si>
  <si>
    <t>韩国瑜回高雄上班</t>
  </si>
  <si>
    <t>['韩国', '瑜', '回高雄', '上班']</t>
  </si>
  <si>
    <t>青海西宁发生地陷</t>
  </si>
  <si>
    <t>['青海', '西宁', '发生', '生地', '发生地', '陷']</t>
  </si>
  <si>
    <t>锦衣之下加更</t>
  </si>
  <si>
    <t>['锦衣', '之下', '加', '更']</t>
  </si>
  <si>
    <t>穆沙拉夫判决被取消</t>
  </si>
  <si>
    <t>['沙拉', '拉夫', '穆沙拉夫', '判决', '被', '取消']</t>
  </si>
  <si>
    <t>陈思诚现尴尬发言</t>
  </si>
  <si>
    <t>['陈思诚现', '尴尬', '发言']</t>
  </si>
  <si>
    <t>美嘉曝一菲小贤领证</t>
  </si>
  <si>
    <t>['美嘉', '曝一菲小贤', '领证']</t>
  </si>
  <si>
    <t>内蒙古持枪劫持事件</t>
  </si>
  <si>
    <t>['内蒙', '蒙古', '内蒙古', '持枪', '劫持', '事件']</t>
  </si>
  <si>
    <t>美捕获全球极危生物</t>
  </si>
  <si>
    <t>['美', '捕获', '全球', '极危', '生物']</t>
  </si>
  <si>
    <t>国企一晚喝16万茅台</t>
  </si>
  <si>
    <t>['国企', '一晚', '喝', '16', '万', '茅台']</t>
  </si>
  <si>
    <t>吴佩慈挺孕肚出门</t>
  </si>
  <si>
    <t>['吴佩慈', '挺', '孕肚', '出门']</t>
  </si>
  <si>
    <t>肖战复古disco</t>
  </si>
  <si>
    <t>['肖战', '复古', 'disco']</t>
  </si>
  <si>
    <t>伊严厉复仇议案生效</t>
  </si>
  <si>
    <t>['伊', '严厉', '复仇', '议案', '生效']</t>
  </si>
  <si>
    <t>LPL春季赛揭幕战</t>
  </si>
  <si>
    <t>['LPL', '春季', '赛', '揭幕', '揭幕战']</t>
  </si>
  <si>
    <t>周深李克勤唱粤语歌</t>
  </si>
  <si>
    <t>['周深', '李克勤', '唱', '粤语', '粤语歌']</t>
  </si>
  <si>
    <t>王牌对王牌5开录</t>
  </si>
  <si>
    <t>['王牌', '对', '王牌', '5', '开录']</t>
  </si>
  <si>
    <t>杜锋强吻陈林坚</t>
  </si>
  <si>
    <t>['杜锋', '强', '吻', '陈林坚']</t>
  </si>
  <si>
    <t>朋友圈吐槽交警被拘</t>
  </si>
  <si>
    <t>['朋友', '朋友圈', '吐槽', '交警', '被', '拘']</t>
  </si>
  <si>
    <t>国奥无缘东京奥运</t>
  </si>
  <si>
    <t>['国奥', '无缘', '东京', '奥运']</t>
  </si>
  <si>
    <t>马国明获TVB视帝</t>
  </si>
  <si>
    <t>['马国', '马国明', '获', 'TVB', '视帝']</t>
  </si>
  <si>
    <t>郝云妻子再发文控诉</t>
  </si>
  <si>
    <t>['郝云', '妻子', '再', '发文', '控诉']</t>
  </si>
  <si>
    <t>富士康印度工厂停摆</t>
  </si>
  <si>
    <t>['富士', '富士康', '印度', '工厂', '停摆']</t>
  </si>
  <si>
    <t>菲律宾塔尔火山喷发</t>
  </si>
  <si>
    <t>['菲律宾', '塔尔', '火山', '喷发']</t>
  </si>
  <si>
    <t>剪平头花1500元</t>
  </si>
  <si>
    <t>['剪', '平头', '花', '1500', '元']</t>
  </si>
  <si>
    <t>刘嘉玲爆炸头造型</t>
  </si>
  <si>
    <t>['刘嘉玲', '爆炸', '头', '造型']</t>
  </si>
  <si>
    <t>特朗普拿韩国举例</t>
  </si>
  <si>
    <t>['特朗普', '拿', '韩国', '举例']</t>
  </si>
  <si>
    <t>GAI孙悦胡明轩合唱</t>
  </si>
  <si>
    <t>['GAI', '孙悦', '胡明轩', '合唱']</t>
  </si>
  <si>
    <t>壶口瀑布现冰瀑冰雕</t>
  </si>
  <si>
    <t>['壶口', '瀑布', '壶口瀑布', '现', '冰瀑', '冰雕']</t>
  </si>
  <si>
    <t>张志超案再审宣判</t>
  </si>
  <si>
    <t>['张志', '超案', '再审', '宣判']</t>
  </si>
  <si>
    <t>2020/01/14</t>
  </si>
  <si>
    <t>忙回消息儿子出意外</t>
  </si>
  <si>
    <t>['忙', '回', '消息', '儿子', '出', '意外']</t>
  </si>
  <si>
    <t>曝梅根哭诉压力大</t>
  </si>
  <si>
    <t>['曝梅根', '哭诉', '压力', '大']</t>
  </si>
  <si>
    <t>43斤贫困女生病逝</t>
  </si>
  <si>
    <t>['43', '斤', '贫困', '女生', '病逝']</t>
  </si>
  <si>
    <t>张若昀发文告别范闲</t>
  </si>
  <si>
    <t>['张若昀', '发文', '告别', '范闲']</t>
  </si>
  <si>
    <t>SM否认金钟大办婚礼</t>
  </si>
  <si>
    <t>['SM', '否认', '金钟', '大办', '婚礼']</t>
  </si>
  <si>
    <t>万集科技2019年业绩</t>
  </si>
  <si>
    <t>['万', '集', '科技', '2019', '年', '业绩']</t>
  </si>
  <si>
    <t>京东回应被薅羊毛</t>
  </si>
  <si>
    <t>['京东', '回应', '被', '薅', '羊毛']</t>
  </si>
  <si>
    <t>加藤纱里宣布离婚</t>
  </si>
  <si>
    <t>['加藤', '纱里', '宣布', '离婚']</t>
  </si>
  <si>
    <t>焦俊艳再谈高以翔</t>
  </si>
  <si>
    <t>['焦俊艳', '再', '谈高', '以翔']</t>
  </si>
  <si>
    <t>一条短信致倾家荡产</t>
  </si>
  <si>
    <t>['一条', '短信', '致', '倾家', '倾家荡产']</t>
  </si>
  <si>
    <t>倪萍医院看赵忠祥</t>
  </si>
  <si>
    <t>['倪萍', '医院', '看', '赵忠祥']</t>
  </si>
  <si>
    <t>曝内奸出卖苏莱曼尼</t>
  </si>
  <si>
    <t>['曝', '内奸', '出卖', '莱曼', '苏莱曼', '尼']</t>
  </si>
  <si>
    <t>滴滴和嘀嗒被约谈</t>
  </si>
  <si>
    <t>['滴滴', '和', '嘀嗒', '被', '约', '谈']</t>
  </si>
  <si>
    <t>霍华德21分15篮板</t>
  </si>
  <si>
    <t>['霍华德', '21', '分', '15', '篮板']</t>
  </si>
  <si>
    <t>珠海一石化厂爆炸</t>
  </si>
  <si>
    <t>['珠海', '一', '石化', '厂', '爆炸']</t>
  </si>
  <si>
    <t>航拍西宁路面坍塌</t>
  </si>
  <si>
    <t>['航拍', '西宁', '路面', '坍塌']</t>
  </si>
  <si>
    <t>2020春晚分会场官宣</t>
  </si>
  <si>
    <t>['2020', '春晚', '分会', '会场', '分会场', '官宣']</t>
  </si>
  <si>
    <t>伊主持人因坠机辞职</t>
  </si>
  <si>
    <t>['伊', '主持', '主持人', '因', '坠机', '辞职']</t>
  </si>
  <si>
    <t>首个活体机器人诞生</t>
  </si>
  <si>
    <t>['首个', '活体', '机器', '机器人', '诞生']</t>
  </si>
  <si>
    <t>曝宋丹丹将再登春晚</t>
  </si>
  <si>
    <t>['曝', '丹丹', '宋丹丹', '将', '再', '登', '春晚']</t>
  </si>
  <si>
    <t>43斤女孩没收捐款</t>
  </si>
  <si>
    <t>['43', '斤', '女孩', '没收', '捐款']</t>
  </si>
  <si>
    <t>欧盟或禁止塑料包装</t>
  </si>
  <si>
    <t>['欧盟', '或', '禁止', '塑料', '包装', '塑料包装']</t>
  </si>
  <si>
    <t>英女王支持哈里梅根</t>
  </si>
  <si>
    <t>['女王', '英女王', '支持', '哈里', '梅根']</t>
  </si>
  <si>
    <t>43斤女孩未收捐款</t>
  </si>
  <si>
    <t>['43', '斤', '女孩', '未收', '捐款']</t>
  </si>
  <si>
    <t>威廉哈里发否认声明</t>
  </si>
  <si>
    <t>['威廉', '哈里', '哈里发', '否认', '声明']</t>
  </si>
  <si>
    <t>8k版春晚将面世</t>
  </si>
  <si>
    <t>['8k', '版', '春晚', '将', '面世']</t>
  </si>
  <si>
    <t>女博士春节申请加班</t>
  </si>
  <si>
    <t>['博士', '女博士', '春节', '申请', '加班']</t>
  </si>
  <si>
    <t>杭州在建罐体爆裂</t>
  </si>
  <si>
    <t>['杭州', '在建', '罐体', '爆裂']</t>
  </si>
  <si>
    <t>天津女排夺冠</t>
  </si>
  <si>
    <t>['天津', '女排', '天津女排', '夺冠']</t>
  </si>
  <si>
    <t>巴萨解雇巴尔韦德</t>
  </si>
  <si>
    <t>['巴萨', '解雇', '巴尔', '韦德']</t>
  </si>
  <si>
    <t>长途汽车宰客调查</t>
  </si>
  <si>
    <t>['长途', '汽车', '长途汽车', '宰客', '调查']</t>
  </si>
  <si>
    <t>魏骏杰娇妻搬出豪宅</t>
  </si>
  <si>
    <t>['魏骏杰', '娇妻', '搬出', '豪宅']</t>
  </si>
  <si>
    <t>新党反对解散</t>
  </si>
  <si>
    <t>['新党', '反对', '解散']</t>
  </si>
  <si>
    <t>广东GDP破10万亿</t>
  </si>
  <si>
    <t>['广东', 'GDP', '破', '10', '万亿']</t>
  </si>
  <si>
    <t>9958回应吴花燕事件</t>
  </si>
  <si>
    <t>['9958', '回应', '吴花燕', '事件']</t>
  </si>
  <si>
    <t>蔡徐坤称秤坏了</t>
  </si>
  <si>
    <t>['蔡', '徐坤称', '秤', '坏', '了']</t>
  </si>
  <si>
    <t>张杰谢娜现身外滩</t>
  </si>
  <si>
    <t>['张杰', '谢娜', '现身', '外滩']</t>
  </si>
  <si>
    <t>为医生配报警手环</t>
  </si>
  <si>
    <t>['为', '医生', '配', '报警', '手环']</t>
  </si>
  <si>
    <t>宋茜给粉丝点鲍鱼饭</t>
  </si>
  <si>
    <t>['宋茜', '给', '粉丝', '点', '鲍鱼', '饭']</t>
  </si>
  <si>
    <t>2020/01/15</t>
  </si>
  <si>
    <t>日本茨城县发生地震</t>
  </si>
  <si>
    <t>['日本', '茨城', '茨城县', '发生', '地震']</t>
  </si>
  <si>
    <t>西宁路面塌陷</t>
  </si>
  <si>
    <t>['西宁', '路面', '塌陷']</t>
  </si>
  <si>
    <t>宋冬野发文力挺郝云</t>
  </si>
  <si>
    <t>['宋冬野', '发文', '力挺', '郝云']</t>
  </si>
  <si>
    <t>18个城市房租下跌</t>
  </si>
  <si>
    <t>['18', '个', '城市', '房租', '下跌']</t>
  </si>
  <si>
    <t>文章独自带女儿练舞</t>
  </si>
  <si>
    <t>['文章', '独自', '带', '女儿', '练舞']</t>
  </si>
  <si>
    <t>黑寡妇新预告</t>
  </si>
  <si>
    <t>['寡妇', '黑寡妇', '新', '预告']</t>
  </si>
  <si>
    <t>杨幂深夜赴美容院</t>
  </si>
  <si>
    <t>['杨幂', '深夜', '赴', '美容', '美容院']</t>
  </si>
  <si>
    <t>特朗普炮轰苹果</t>
  </si>
  <si>
    <t>['特朗普', '炮轰', '苹果']</t>
  </si>
  <si>
    <t>孙杨2020年首秀</t>
  </si>
  <si>
    <t>['孙杨', '2020', '年', '首秀']</t>
  </si>
  <si>
    <t>曝春晚主持人变动</t>
  </si>
  <si>
    <t>['曝', '春晚', '主持', '主持人', '变动']</t>
  </si>
  <si>
    <t>泰现新型病毒携带者</t>
  </si>
  <si>
    <t>['泰现', '新型', '病毒', '携带', '携带者']</t>
  </si>
  <si>
    <t>宋茜认出韩国站姐</t>
  </si>
  <si>
    <t>['宋茜', '认出', '韩国', '站姐']</t>
  </si>
  <si>
    <t>澳洲捕杀5000头骆驼</t>
  </si>
  <si>
    <t>['澳洲', '捕杀', '5000', '头', '骆驼']</t>
  </si>
  <si>
    <t>肝脏体外存活新技术</t>
  </si>
  <si>
    <t>['肝脏', '体外', '存活', '新', '技术']</t>
  </si>
  <si>
    <t>男子将男孩扔出数米</t>
  </si>
  <si>
    <t>['男子', '将', '男孩', '扔', '出', '数米']</t>
  </si>
  <si>
    <t>红旗一号H9发射升空</t>
  </si>
  <si>
    <t>['红旗', '一号', 'H9', '发射', '升空']</t>
  </si>
  <si>
    <t>考古现70亿年前物质</t>
  </si>
  <si>
    <t>['考古', '现', '70', '亿年', '前', '物质']</t>
  </si>
  <si>
    <t>C919订单破千</t>
  </si>
  <si>
    <t>['C919', '订单', '破千']</t>
  </si>
  <si>
    <t>昆明寻甸县地震</t>
  </si>
  <si>
    <t>['昆明', '寻甸', '县', '地震']</t>
  </si>
  <si>
    <t>俄政府全体辞职</t>
  </si>
  <si>
    <t>['政府', '俄政府', '全体', '辞职']</t>
  </si>
  <si>
    <t>情深深雨濛濛再重聚</t>
  </si>
  <si>
    <t>['情', '深深', '雨', '濛濛', '再', '重聚']</t>
  </si>
  <si>
    <t>女学霸瞒着父母参军</t>
  </si>
  <si>
    <t>['女学霸', '瞒', '着', '父母', '参军']</t>
  </si>
  <si>
    <t>罗斯被罚2.5万美元</t>
  </si>
  <si>
    <t>['罗斯', '被', '罚', '2.5', '美元', '万美元']</t>
  </si>
  <si>
    <t>重庆江北小吃店起火</t>
  </si>
  <si>
    <t>['重庆', '江北', '小吃', '小吃店', '起火']</t>
  </si>
  <si>
    <t>江苏GDP或破10万亿</t>
  </si>
  <si>
    <t>['江苏', 'GDP', '或', '破', '10', '万亿']</t>
  </si>
  <si>
    <t>曝徐峥囧妈要价6亿</t>
  </si>
  <si>
    <t>['曝', '徐峥', '囧', '妈', '要价', '6', '亿']</t>
  </si>
  <si>
    <t>爱情公寓5道歉</t>
  </si>
  <si>
    <t>['爱情', '公寓', '5', '道歉']</t>
  </si>
  <si>
    <t>故宫取消年夜饭</t>
  </si>
  <si>
    <t>['故宫', '取消', '年夜', '夜饭', '年夜饭']</t>
  </si>
  <si>
    <t>热刺2-1迎新年首胜</t>
  </si>
  <si>
    <t>['热刺', '2', '-', '1', '迎新', '新年', '迎新年', '首胜']</t>
  </si>
  <si>
    <t>蔡徐坤扔纸飞机</t>
  </si>
  <si>
    <t>['蔡', '徐坤', '扔', '飞机', '纸飞机']</t>
  </si>
  <si>
    <t>克什米尔雪崩</t>
  </si>
  <si>
    <t>['克什', '米尔', '克什米尔', '雪崩']</t>
  </si>
  <si>
    <t>农夫山泉涉毁林后续</t>
  </si>
  <si>
    <t>['农夫', '山泉', '农夫山泉', '涉', '毁林', '后续']</t>
  </si>
  <si>
    <t>吉娜郎朗穿情侣装</t>
  </si>
  <si>
    <t>['吉娜', '郎朗', '穿', '情侣', '情侣装']</t>
  </si>
  <si>
    <t>CBA官方致歉矣进宏</t>
  </si>
  <si>
    <t>['CBA', '官方', '致歉', '矣', '进宏']</t>
  </si>
  <si>
    <t>帝汶岛海域地震</t>
  </si>
  <si>
    <t>['帝汶岛', '海域', '地震']</t>
  </si>
  <si>
    <t>孙杨夺400自冠军</t>
  </si>
  <si>
    <t>['孙杨夺', '400', '自', '冠军']</t>
  </si>
  <si>
    <t>海南黑老大被判死刑</t>
  </si>
  <si>
    <t>['海南', '老大', '黑老大', '被判', '死刑']</t>
  </si>
  <si>
    <t>中国国奥不敌伊朗</t>
  </si>
  <si>
    <t>['中国', '国奥', '不', '敌', '伊朗']</t>
  </si>
  <si>
    <t>娄艺潇观CBA生图</t>
  </si>
  <si>
    <t>['娄艺', '潇观', 'CBA', '生图']</t>
  </si>
  <si>
    <t>乌客机遇袭全过程</t>
  </si>
  <si>
    <t>['乌', '客机', '遇袭', '过程', '全过程']</t>
  </si>
  <si>
    <t>一张试卷50多个段子</t>
  </si>
  <si>
    <t>['一张', '试卷', '50', '多个', '段子']</t>
  </si>
  <si>
    <t>2020/01/16</t>
  </si>
  <si>
    <t>国产系统UOS发布</t>
  </si>
  <si>
    <t>['国产', '系统', 'UOS', '发布']</t>
  </si>
  <si>
    <t>赵忠祥去世</t>
  </si>
  <si>
    <t>['赵忠祥', '去世']</t>
  </si>
  <si>
    <t>普京发表国情咨文</t>
  </si>
  <si>
    <t>['普京', '发表', '国情', '咨文', '国情咨文']</t>
  </si>
  <si>
    <t>回顾赵忠祥生前影像</t>
  </si>
  <si>
    <t>['回顾', '赵忠祥', '生前', '影像']</t>
  </si>
  <si>
    <t>赵忠祥告别仪式时间</t>
  </si>
  <si>
    <t>['赵忠祥', '告别', '仪式', '告别仪式', '时间']</t>
  </si>
  <si>
    <t>中美一阶段协议全文</t>
  </si>
  <si>
    <t>['中美', '中美一', '阶段', '协议', '全文']</t>
  </si>
  <si>
    <t>孙文斌被判死刑</t>
  </si>
  <si>
    <t>['孙文斌', '被判', '死刑']</t>
  </si>
  <si>
    <t>曝赵本山儿子近照</t>
  </si>
  <si>
    <t>['曝', '本山', '赵本山', '儿子', '近照']</t>
  </si>
  <si>
    <t>爆料郑爽账号非张恒</t>
  </si>
  <si>
    <t>['爆料', '郑爽', '账号', '非', '张恒']</t>
  </si>
  <si>
    <t>新疆库车5.6级地震</t>
  </si>
  <si>
    <t>['新疆', '库车', '5.6', '级', '地震']</t>
  </si>
  <si>
    <t>张志超烧毁判决书</t>
  </si>
  <si>
    <t>['张志超', '烧毁', '判决', '判决书']</t>
  </si>
  <si>
    <t>汪小菲给司机道歉</t>
  </si>
  <si>
    <t>['汪小菲', '给', '司机', '道歉']</t>
  </si>
  <si>
    <t>马伊琍发文引争议</t>
  </si>
  <si>
    <t>['马伊', '琍', '发文', '引', '争议']</t>
  </si>
  <si>
    <t>西宁地陷燃爆原因</t>
  </si>
  <si>
    <t>['西宁', '地', '陷', '燃爆', '原因']</t>
  </si>
  <si>
    <t>赵忠祥家属选定遗照</t>
  </si>
  <si>
    <t>['赵忠祥', '家属', '选定', '遗照']</t>
  </si>
  <si>
    <t>两颗宜居星球被发现</t>
  </si>
  <si>
    <t>['两颗', '宜居', '星球', '被', '发现']</t>
  </si>
  <si>
    <t>农夫山泉发布声明</t>
  </si>
  <si>
    <t>['农夫', '山泉', '农夫山泉', '发布', '声明']</t>
  </si>
  <si>
    <t>普京提名新总理人选</t>
  </si>
  <si>
    <t>['普京', '提名', '新', '总理', '人选']</t>
  </si>
  <si>
    <t>王俊凯方否认恋情</t>
  </si>
  <si>
    <t>['王俊凯方', '否认', '恋情']</t>
  </si>
  <si>
    <t>赵忠祥最后公开亮相</t>
  </si>
  <si>
    <t>['赵忠祥', '最后', '公开', '亮相']</t>
  </si>
  <si>
    <t>众星追忆赵忠祥</t>
  </si>
  <si>
    <t>['众星', '追忆', '赵忠祥']</t>
  </si>
  <si>
    <t>朱镇模道歉</t>
  </si>
  <si>
    <t>['朱镇模', '道歉']</t>
  </si>
  <si>
    <t>张恒发文暗讽郑爽</t>
  </si>
  <si>
    <t>['张恒', '发文', '暗讽', '郑爽']</t>
  </si>
  <si>
    <t>特朗普弹劾条款提交</t>
  </si>
  <si>
    <t>['特朗普', '弹劾', '条款', '提交']</t>
  </si>
  <si>
    <t>中美一阶段协议签署</t>
  </si>
  <si>
    <t>['中美', '中美一', '阶段', '协议', '签署']</t>
  </si>
  <si>
    <t>澳清理遇难动物尸体</t>
  </si>
  <si>
    <t>['澳', '清理', '遇难', '动物', '尸体']</t>
  </si>
  <si>
    <t>向太郭碧婷共同庆生</t>
  </si>
  <si>
    <t>['向', '太', '郭碧婷', '共同', '庆生']</t>
  </si>
  <si>
    <t>陈嘉上宣布爱女出生</t>
  </si>
  <si>
    <t>['陈嘉上', '宣布', '爱女', '出生']</t>
  </si>
  <si>
    <t>福建永安发生山火</t>
  </si>
  <si>
    <t>['福建', '永安', '发生', '山火']</t>
  </si>
  <si>
    <t>杨紫张一山同台献唱</t>
  </si>
  <si>
    <t>['杨紫张', '一山', '同台', '献唱']</t>
  </si>
  <si>
    <t>澳火排亿吨二氧化碳</t>
  </si>
  <si>
    <t>['澳火排', '亿吨', '二氧', '氧化', '化碳', '二氧化', '氧化碳', '二氧化碳']</t>
  </si>
  <si>
    <t>易烊千玺不穿秋裤</t>
  </si>
  <si>
    <t>['易', '烊', '千玺', '不', '穿', '秋裤']</t>
  </si>
  <si>
    <t>金龟子追忆赵忠祥</t>
  </si>
  <si>
    <t>['金龟', '金龟子', '追忆', '赵忠祥']</t>
  </si>
  <si>
    <t>陷洞公交内部画面</t>
  </si>
  <si>
    <t>['陷洞', '公交', '内部', '画面']</t>
  </si>
  <si>
    <t>岳云鹏谈被网友p图</t>
  </si>
  <si>
    <t>['岳云鹏', '谈', '被', '网友', 'p', '图']</t>
  </si>
  <si>
    <t>扔男童男子行政拘留</t>
  </si>
  <si>
    <t>['扔', '男童', '男子', '行政', '拘留', '行政拘留']</t>
  </si>
  <si>
    <t>梅德韦杰夫辞职现场</t>
  </si>
  <si>
    <t>['梅德韦', '杰夫', '辞职', '现场']</t>
  </si>
  <si>
    <t>中国驻泰使馆发通报</t>
  </si>
  <si>
    <t>['中国', '驻泰', '使馆', '发', '通报']</t>
  </si>
  <si>
    <t>2020/01/17</t>
  </si>
  <si>
    <t>武汉肺炎增1例死亡</t>
  </si>
  <si>
    <t>['武汉', '肺炎', '增', '1', '例', '死亡']</t>
  </si>
  <si>
    <t>地陷失联或掉防空洞</t>
  </si>
  <si>
    <t>['地陷', '失联', '或', '掉', '防空', '空洞', '防空洞']</t>
  </si>
  <si>
    <t>张志超突然发病住院</t>
  </si>
  <si>
    <t>['张志超', '突然', '发病', '住院']</t>
  </si>
  <si>
    <t>王思聪发文高调炫富</t>
  </si>
  <si>
    <t>['王思聪', '发文', '高调', '炫富']</t>
  </si>
  <si>
    <t>广昆高速多车相撞</t>
  </si>
  <si>
    <t>['广昆', '高速', '多车', '相撞']</t>
  </si>
  <si>
    <t>华少收到恐吓快递</t>
  </si>
  <si>
    <t>['华少', '收到', '恐吓', '快递']</t>
  </si>
  <si>
    <t>民政部约谈儿慈会</t>
  </si>
  <si>
    <t>['民政', '民政部', '约', '谈儿', '慈会']</t>
  </si>
  <si>
    <t>英格拉姆狂揽49分</t>
  </si>
  <si>
    <t>['英', '格拉', '拉姆', '格拉姆', '狂揽', '49', '分']</t>
  </si>
  <si>
    <t>人口出生率再创新低</t>
  </si>
  <si>
    <t>['人口', '出生', '出生率', '再', '创新', '低']</t>
  </si>
  <si>
    <t>工信部约谈小米公司</t>
  </si>
  <si>
    <t>['工信部', '约', '谈', '小米', '公司']</t>
  </si>
  <si>
    <t>伊导弹致11名美军伤</t>
  </si>
  <si>
    <t>['伊', '导弹', '致', '11', '名', '美军', '伤']</t>
  </si>
  <si>
    <t>央视网络春晚</t>
  </si>
  <si>
    <t>['央视', '网络', '春晚']</t>
  </si>
  <si>
    <t>张子枫艺考成绩出炉</t>
  </si>
  <si>
    <t>['张子枫', '艺考', '成绩', '出炉']</t>
  </si>
  <si>
    <t>西宁地陷或掉防空洞</t>
  </si>
  <si>
    <t>['西宁', '地陷', '或', '掉', '防空', '空洞', '防空洞']</t>
  </si>
  <si>
    <t>康辉朱广权互怼</t>
  </si>
  <si>
    <t>['康辉', '朱广权', '互', '怼']</t>
  </si>
  <si>
    <t>进故宫奔驰车主回应</t>
  </si>
  <si>
    <t>['进', '故宫', '奔驰', '奔驰车', '主', '回应']</t>
  </si>
  <si>
    <t>周涛悼念赵忠祥</t>
  </si>
  <si>
    <t>['周涛', '悼念', '赵忠祥']</t>
  </si>
  <si>
    <t>女子开奔驰进故宫</t>
  </si>
  <si>
    <t>['女子', '开', '奔驰', '进', '故宫']</t>
  </si>
  <si>
    <t>淘宝账户被封980年</t>
  </si>
  <si>
    <t>['淘宝', '账户', '被', '封', '980', '年']</t>
  </si>
  <si>
    <t>中国游客冰岛出意外</t>
  </si>
  <si>
    <t>['中国', '游客', '冰岛', '出', '意外']</t>
  </si>
  <si>
    <t>冬青奥会中国夺首金</t>
  </si>
  <si>
    <t>['冬青', '奥会', '中国', '夺', '首金']</t>
  </si>
  <si>
    <t>中国大陆人口破14亿</t>
  </si>
  <si>
    <t>['中国', '大陆', '人口', '破', '14', '亿']</t>
  </si>
  <si>
    <t>波音飞机在贵州查封</t>
  </si>
  <si>
    <t>['波音', '飞机', '在', '贵州', '查封']</t>
  </si>
  <si>
    <t>吉林卫视春晚</t>
  </si>
  <si>
    <t>['吉林', '卫视', '春晚']</t>
  </si>
  <si>
    <t>泰再现冠状病毒患者</t>
  </si>
  <si>
    <t>['泰', '再现', '冠状', '病毒', '冠状病毒', '患者']</t>
  </si>
  <si>
    <t>中国人均GDP成绩单</t>
  </si>
  <si>
    <t>['中国', '人均', 'GDP', '成绩', '成绩单']</t>
  </si>
  <si>
    <t>澳大利亚人雨中狂喜</t>
  </si>
  <si>
    <t>['大利', '利亚', '澳大利', '利亚人', '澳大利亚人', '雨中', '狂喜']</t>
  </si>
  <si>
    <t>eStar战胜FPX</t>
  </si>
  <si>
    <t>['eStar', '战胜', 'FPX']</t>
  </si>
  <si>
    <t>故宫回应开车进故宫</t>
  </si>
  <si>
    <t>['故宫', '回应', '开车', '进', '故宫']</t>
  </si>
  <si>
    <t>男子点燃流浪汉被子</t>
  </si>
  <si>
    <t>['男子', '点燃', '流浪', '流浪汉', '被子']</t>
  </si>
  <si>
    <t>凯特回应怀孕传言</t>
  </si>
  <si>
    <t>['凯特', '回应', '怀孕', '传言']</t>
  </si>
  <si>
    <t>ETC不显示全程费用</t>
  </si>
  <si>
    <t>['ETC', '不', '显示', '全程', '费用']</t>
  </si>
  <si>
    <t>人民网评吴花燕事件</t>
  </si>
  <si>
    <t>['人民', '人民网', '评', '吴花燕', '事件']</t>
  </si>
  <si>
    <t>苏格兰拟禁少儿头球</t>
  </si>
  <si>
    <t>['苏格兰', '拟禁', '少儿', '头球']</t>
  </si>
  <si>
    <t>郭麒麟被郭德纲催婚</t>
  </si>
  <si>
    <t>['郭', '麒麟', '被', '郭德纲', '催婚']</t>
  </si>
  <si>
    <t>张云雷术后报平安</t>
  </si>
  <si>
    <t>['张云雷', '术后', '平安', '报平安']</t>
  </si>
  <si>
    <t>2020/01/18</t>
  </si>
  <si>
    <t>电影中国女排改名</t>
  </si>
  <si>
    <t>['电影', '中国', '女排', '中国女排', '改名']</t>
  </si>
  <si>
    <t>武汉新型肺炎增4例</t>
  </si>
  <si>
    <t>['武汉', '新型', '肺炎', '增', '4', '例']</t>
  </si>
  <si>
    <t>故宫奔驰女清空发文</t>
  </si>
  <si>
    <t>['故宫', '奔驰', '女', '清空', '发文']</t>
  </si>
  <si>
    <t>西宁地陷搜救停止</t>
  </si>
  <si>
    <t>['西宁', '地', '陷', '搜救', '停止']</t>
  </si>
  <si>
    <t>国航回应开车进故宫</t>
  </si>
  <si>
    <t>['国航', '回应', '开车', '进', '故宫']</t>
  </si>
  <si>
    <t>曝高以翔赔偿已谈妥</t>
  </si>
  <si>
    <t>['曝高', '以翔', '赔偿', '已', '谈妥']</t>
  </si>
  <si>
    <t>火箭少女新歌要嗨森</t>
  </si>
  <si>
    <t>['火箭', '少女', '新歌', '要', '嗨', '森']</t>
  </si>
  <si>
    <t>叶童近况被曝</t>
  </si>
  <si>
    <t>['叶童', '近况', '被', '曝']</t>
  </si>
  <si>
    <t>财经执行主编辟谣</t>
  </si>
  <si>
    <t>['财经', '执行', '主编', '辟谣']</t>
  </si>
  <si>
    <t>故宫奔驰女背景曝出</t>
  </si>
  <si>
    <t>['故宫', '奔驰', '女', '背景', '曝出']</t>
  </si>
  <si>
    <t>特朗普警告哈梅内伊</t>
  </si>
  <si>
    <t>['特朗普', '警告', '梅内', '内伊', '哈梅内伊']</t>
  </si>
  <si>
    <t>王思聪点赞未获回应</t>
  </si>
  <si>
    <t>['王思聪点', '赞', '未获', '回应']</t>
  </si>
  <si>
    <t>2020湖南卫视春晚</t>
  </si>
  <si>
    <t>['2020', '湖南', '卫视', '湖南卫视', '春晚']</t>
  </si>
  <si>
    <t>潘长江悼念李保国</t>
  </si>
  <si>
    <t>['长江', '潘长江', '悼念', '李', '保国']</t>
  </si>
  <si>
    <t>家人澄清赵忠祥腿伤</t>
  </si>
  <si>
    <t>['家人', '澄清', '赵忠祥', '腿伤']</t>
  </si>
  <si>
    <t>孙杨200自夺冠</t>
  </si>
  <si>
    <t>['孙杨', '200', '自', '夺冠']</t>
  </si>
  <si>
    <t>人民日报评故宫事件</t>
  </si>
  <si>
    <t>['人民', '日报', '人民日报', '评', '故宫', '事件']</t>
  </si>
  <si>
    <t>柯洁再致歉奚梦瑶</t>
  </si>
  <si>
    <t>['柯洁', '再', '致歉', '奚梦瑶']</t>
  </si>
  <si>
    <t>新疆伽师县发生地震</t>
  </si>
  <si>
    <t>['新疆', '伽师', '伽师县', '发生', '地震']</t>
  </si>
  <si>
    <t>爱5疑暗讽王传君</t>
  </si>
  <si>
    <t>['爱', '5', '疑', '暗讽', '王传君']</t>
  </si>
  <si>
    <t>新华社专访李子柒</t>
  </si>
  <si>
    <t>['新华', '新华社', '专访', '李子', '柒']</t>
  </si>
  <si>
    <t>第二批降价药在路上</t>
  </si>
  <si>
    <t>['第二', '二批', '第二批', '降价', '药', '在', '路上']</t>
  </si>
  <si>
    <t>李咏女儿秀腰间纹身</t>
  </si>
  <si>
    <t>['李咏', '女儿', '秀', '腰间', '纹身']</t>
  </si>
  <si>
    <t>泫雅秀完美身材</t>
  </si>
  <si>
    <t>['泫', '雅秀', '完美', '身材']</t>
  </si>
  <si>
    <t>赵忠祥生前补妆画面</t>
  </si>
  <si>
    <t>['赵忠祥', '生前', '补妆', '画面']</t>
  </si>
  <si>
    <t>baby为小海绵庆生</t>
  </si>
  <si>
    <t>['baby', '为', '小', '海绵', '庆生']</t>
  </si>
  <si>
    <t>二代征信系统将上线</t>
  </si>
  <si>
    <t>['二代', '征信', '系统', '将', '上线']</t>
  </si>
  <si>
    <t>武汉肺炎五大谣言</t>
  </si>
  <si>
    <t>['武汉', '肺炎', '五大', '谣言']</t>
  </si>
  <si>
    <t>娃哈哈发6亿年终奖</t>
  </si>
  <si>
    <t>['哈哈', '娃哈哈', '发', '6', '亿', '年终', '年终奖']</t>
  </si>
  <si>
    <t>郑爽疑卖二手货翻车</t>
  </si>
  <si>
    <t>['郑爽', '疑卖', '二手', '二手货', '翻车']</t>
  </si>
  <si>
    <t>印尼两座小岛消失</t>
  </si>
  <si>
    <t>['印尼', '两座', '小岛', '消失']</t>
  </si>
  <si>
    <t>乌总统驳回总理辞呈</t>
  </si>
  <si>
    <t>['乌', '总统', '驳回', '总理', '辞呈']</t>
  </si>
  <si>
    <t>美国犹他州枪击事件</t>
  </si>
  <si>
    <t>['美国', '犹他', '犹他州', '枪击', '事件']</t>
  </si>
  <si>
    <t>新疆布尔津百里雾凇</t>
  </si>
  <si>
    <t>['新疆', '布尔', '布尔津', '百里', '雾凇']</t>
  </si>
  <si>
    <t>鼠年纪念币开始兑换</t>
  </si>
  <si>
    <t>['鼠年', '纪念', '纪念币', '开始', '兑换']</t>
  </si>
  <si>
    <t>中国GDP增长动态图</t>
  </si>
  <si>
    <t>['中国', 'GDP', '增长', '动态', '动态图']</t>
  </si>
  <si>
    <t>梅德韦杰夫任新职务</t>
  </si>
  <si>
    <t>['梅德韦', '杰夫', '任新', '职务']</t>
  </si>
  <si>
    <t>王哲林砍下51分</t>
  </si>
  <si>
    <t>['王哲林', '砍', '下', '51', '分']</t>
  </si>
  <si>
    <t>2020/01/19</t>
  </si>
  <si>
    <t>网曝蔡明卧病在床</t>
  </si>
  <si>
    <t>['网', '曝', '蔡明', '卧病', '卧病在床']</t>
  </si>
  <si>
    <t>RNG春季赛首秀失败</t>
  </si>
  <si>
    <t>['RNG', '春季', '赛首秀', '失败']</t>
  </si>
  <si>
    <t>开车进故宫路线还原</t>
  </si>
  <si>
    <t>['开车', '进', '故宫', '路线', '还原']</t>
  </si>
  <si>
    <t>印尼发生6.0级地震</t>
  </si>
  <si>
    <t>['印尼', '发生', '6.0', '级', '地震']</t>
  </si>
  <si>
    <t>曾开车进故宫者发声</t>
  </si>
  <si>
    <t>['曾', '开车', '进', '故宫', '者', '发声']</t>
  </si>
  <si>
    <t>武汉新型肺炎增17例</t>
  </si>
  <si>
    <t>['武汉', '新型', '肺炎', '增', '17', '例']</t>
  </si>
  <si>
    <t>哈里梅根将退出王室</t>
  </si>
  <si>
    <t>['哈里', '梅根', '将', '退出', '王室']</t>
  </si>
  <si>
    <t>民政部解释离婚率</t>
  </si>
  <si>
    <t>['民政', '民政部', '解释', '离婚', '离婚率']</t>
  </si>
  <si>
    <t>马蓉转型当导演</t>
  </si>
  <si>
    <t>['马蓉', '转型', '当', '导演']</t>
  </si>
  <si>
    <t>周杰伦41岁生日派对</t>
  </si>
  <si>
    <t>['周杰伦', '41', '岁', '生日', '派对', '生日派对']</t>
  </si>
  <si>
    <t>1块故宫地砖值40万</t>
  </si>
  <si>
    <t>['1', '块', '故宫', '地砖', '值', '40', '万']</t>
  </si>
  <si>
    <t>新疆库车县发生地震</t>
  </si>
  <si>
    <t>['新疆', '库车', '库车县', '发生', '地震']</t>
  </si>
  <si>
    <t>新版限塑令</t>
  </si>
  <si>
    <t>['新版', '限塑令']</t>
  </si>
  <si>
    <t>伽师县发生地震</t>
  </si>
  <si>
    <t>['伽师', '伽师县', '发生', '地震']</t>
  </si>
  <si>
    <t>蔡明谈春晚落选感受</t>
  </si>
  <si>
    <t>['蔡明', '谈', '春晚', '落选', '感受']</t>
  </si>
  <si>
    <t>邓超被儿子暖哭</t>
  </si>
  <si>
    <t>['邓超', '被', '儿子', '暖', '哭']</t>
  </si>
  <si>
    <t>韩国群众支持朴槿惠</t>
  </si>
  <si>
    <t>['韩国', '群众', '支持', '朴槿惠']</t>
  </si>
  <si>
    <t>郭德纲生日何伟发文</t>
  </si>
  <si>
    <t>['郭德纲', '生日', '何伟', '发文']</t>
  </si>
  <si>
    <t>LV总裁成全球新首富</t>
  </si>
  <si>
    <t>['LV', '总裁', '成', '全球', '新', '首富']</t>
  </si>
  <si>
    <t>夫妻殴打护士被拘</t>
  </si>
  <si>
    <t>['夫妻', '殴打', '护士', '被', '拘']</t>
  </si>
  <si>
    <t>国足热身赛8球大胜</t>
  </si>
  <si>
    <t>['国', '足', '热身', '热身赛', '8', '球', '大胜']</t>
  </si>
  <si>
    <t>胡锡进评故宫奔驰女</t>
  </si>
  <si>
    <t>['胡锡', '进评', '故宫', '奔驰', '女']</t>
  </si>
  <si>
    <t>飞上海航班玻璃开裂</t>
  </si>
  <si>
    <t>['飞', '上海', '航班', '玻璃', '开裂']</t>
  </si>
  <si>
    <t>真维斯关停1300家店</t>
  </si>
  <si>
    <t>['维斯', '真维斯', '关停', '1300', '家店']</t>
  </si>
  <si>
    <t>帽带企鹅数量下降</t>
  </si>
  <si>
    <t>['帽带', '企鹅', '数量', '下降']</t>
  </si>
  <si>
    <t>徐峥吐槽郭京飞</t>
  </si>
  <si>
    <t>['徐峥', '吐', '槽', '郭京飞']</t>
  </si>
  <si>
    <t>北京高考变为4天</t>
  </si>
  <si>
    <t>['北京', '高考', '变为', '4', '天']</t>
  </si>
  <si>
    <t>粉丝要求金钟大退团</t>
  </si>
  <si>
    <t>['粉丝', '要求', '金钟', '大', '退团']</t>
  </si>
  <si>
    <t>武汉检测旅客体温</t>
  </si>
  <si>
    <t>['武汉', '检测', '旅客', '体温']</t>
  </si>
  <si>
    <t>曝任达华开始锻炼</t>
  </si>
  <si>
    <t>['曝', '任达华', '开始', '锻炼']</t>
  </si>
  <si>
    <t>拆迁户主动感染艾滋</t>
  </si>
  <si>
    <t>['拆迁', '迁户', '拆迁户', '主动', '感染', '艾滋']</t>
  </si>
  <si>
    <t>2020/01/20</t>
  </si>
  <si>
    <t>大寒</t>
  </si>
  <si>
    <t>['大寒']</t>
  </si>
  <si>
    <t>广东确诊新型肺炎</t>
  </si>
  <si>
    <t>['广东', '确诊', '新型', '肺炎']</t>
  </si>
  <si>
    <t>武汉肺炎新增136例</t>
  </si>
  <si>
    <t>['武汉', '肺炎', '新增', '136', '例']</t>
  </si>
  <si>
    <t>赵忠祥追悼会举行</t>
  </si>
  <si>
    <t>['赵忠祥', '追悼', '追悼会', '举行']</t>
  </si>
  <si>
    <t>北京确诊新肺炎病例</t>
  </si>
  <si>
    <t>['北京', '确诊', '新', '肺炎', '病例']</t>
  </si>
  <si>
    <t>赵方发文致谢悼念者</t>
  </si>
  <si>
    <t>['赵方', '发文', '致谢', '悼念', '者']</t>
  </si>
  <si>
    <t>倪萍含泪送别赵忠祥</t>
  </si>
  <si>
    <t>['倪萍', '含泪', '送别', '赵忠祥']</t>
  </si>
  <si>
    <t>董浩送别赵忠祥</t>
  </si>
  <si>
    <t>['董浩', '送别', '赵忠祥']</t>
  </si>
  <si>
    <t>夏威夷突发枪击事件</t>
  </si>
  <si>
    <t>['夏威夷', '突发', '枪击', '事件']</t>
  </si>
  <si>
    <t>央视春晚主持人阵容</t>
  </si>
  <si>
    <t>['央视', '春晚', '央视春晚', '主持', '主持人', '阵容']</t>
  </si>
  <si>
    <t>深圳新型肺炎增8例</t>
  </si>
  <si>
    <t>['深圳', '新型', '肺炎', '增', '8', '例']</t>
  </si>
  <si>
    <t>杜少平被执行死刑</t>
  </si>
  <si>
    <t>['杜少平', '被', '执行', '死刑']</t>
  </si>
  <si>
    <t>外交部回应肺炎疫情</t>
  </si>
  <si>
    <t>['外交', '外交部', '回应', '肺炎', '疫情']</t>
  </si>
  <si>
    <t>一分钟科普冠状病毒</t>
  </si>
  <si>
    <t>['一分', '分钟', '一分钟', '科普', '冠状', '病毒', '冠状病毒']</t>
  </si>
  <si>
    <t>周丽淇宣布怀孕</t>
  </si>
  <si>
    <t>['周丽淇', '宣布', '怀孕']</t>
  </si>
  <si>
    <t>吴花燕善款处理情况</t>
  </si>
  <si>
    <t>['吴花燕', '善款', '处理', '情况']</t>
  </si>
  <si>
    <t>三生三世枕上书定档</t>
  </si>
  <si>
    <t>['三生', '三世', '枕上', '书定', '档']</t>
  </si>
  <si>
    <t>武汉发热门诊名单</t>
  </si>
  <si>
    <t>['武汉', '发热', '门诊', '名单']</t>
  </si>
  <si>
    <t>新型肺炎确诊217例</t>
  </si>
  <si>
    <t>['新型', '肺炎', '确诊', '217', '例']</t>
  </si>
  <si>
    <t>浙江现5例肺炎病例</t>
  </si>
  <si>
    <t>['浙江', '现', '5', '例', '肺炎', '病例']</t>
  </si>
  <si>
    <t>医护感染肺炎系谣言</t>
  </si>
  <si>
    <t>['医护', '感染', '肺炎', '系', '谣言']</t>
  </si>
  <si>
    <t>我们的歌冠军出炉</t>
  </si>
  <si>
    <t>['我们', '的', '歌', '冠军', '出炉']</t>
  </si>
  <si>
    <t>茅台公示高层年薪</t>
  </si>
  <si>
    <t>['茅台', '公示', '高层', '年薪']</t>
  </si>
  <si>
    <t>铁路春运旅客破1亿</t>
  </si>
  <si>
    <t>['铁路', '春运', '旅客', '破', '1', '亿']</t>
  </si>
  <si>
    <t>李子柒弹棉花</t>
  </si>
  <si>
    <t>['李子', '柒', '棉花', '弹棉花']</t>
  </si>
  <si>
    <t>韩国现不明原因肺炎</t>
  </si>
  <si>
    <t>['韩国', '现', '不明', '原因', '肺炎']</t>
  </si>
  <si>
    <t>爱的迫降金秀贤出场</t>
  </si>
  <si>
    <t>['爱', '的', '迫降', '金秀贤', '出场']</t>
  </si>
  <si>
    <t>ETC不显示费用被告</t>
  </si>
  <si>
    <t>['ETC', '不', '显示', '费用', '被告']</t>
  </si>
  <si>
    <t>马斯克炸火箭</t>
  </si>
  <si>
    <t>['马斯克', '炸', '火箭']</t>
  </si>
  <si>
    <t>东阿阿胶上市首亏损</t>
  </si>
  <si>
    <t>['东阿', '阿胶', '上市', '首', '亏损']</t>
  </si>
  <si>
    <t>朔州神头泉美如仙境</t>
  </si>
  <si>
    <t>['朔州', '神头', '泉美如', '仙境']</t>
  </si>
  <si>
    <t>日产前总监加盟长城</t>
  </si>
  <si>
    <t>['日产', '前', '总监', '加盟', '长城']</t>
  </si>
  <si>
    <t>电影夺冠提档</t>
  </si>
  <si>
    <t>['电影', '夺冠', '提档']</t>
  </si>
  <si>
    <t>孙女贱卖祖传项链</t>
  </si>
  <si>
    <t>['孙女', '贱卖', '祖传', '项链']</t>
  </si>
  <si>
    <t>浙疑现5例肺炎病例</t>
  </si>
  <si>
    <t>['浙疑现', '5', '例', '肺炎', '病例']</t>
  </si>
  <si>
    <t>律师起诉ETC公司</t>
  </si>
  <si>
    <t>['律师', '起诉', 'ETC', '公司']</t>
  </si>
  <si>
    <t>阿云嘎费玉清唱囚鸟</t>
  </si>
  <si>
    <t>['阿云嘎', '费玉清', '唱囚', '鸟']</t>
  </si>
  <si>
    <t>举狗吸引刘昊然注意</t>
  </si>
  <si>
    <t>['举狗', '吸引', '刘昊然', '注意']</t>
  </si>
  <si>
    <t>新型肺炎确诊218例</t>
  </si>
  <si>
    <t>['新型', '肺炎', '确诊', '218', '例']</t>
  </si>
  <si>
    <t>韩国现武汉肺炎病例</t>
  </si>
  <si>
    <t>['韩国', '现', '武汉', '肺炎', '病例']</t>
  </si>
  <si>
    <t>2020/01/21</t>
  </si>
  <si>
    <t>日本小姐冠军出炉</t>
  </si>
  <si>
    <t>['日本', '小姐', '冠军', '出炉']</t>
  </si>
  <si>
    <t>故宫博物院院长道歉</t>
  </si>
  <si>
    <t>['故宫', '博物', '博物院', '故宫博物院', '院长', '道歉']</t>
  </si>
  <si>
    <t>武汉医务人员感染</t>
  </si>
  <si>
    <t>['武汉', '医务', '人员', '医务人员', '感染']</t>
  </si>
  <si>
    <t>新型肺炎表现症状</t>
  </si>
  <si>
    <t>['新型', '肺炎', '表现', '症状']</t>
  </si>
  <si>
    <t>朱军悼念赵忠祥</t>
  </si>
  <si>
    <t>['朱军', '悼念', '赵忠祥']</t>
  </si>
  <si>
    <t>肺炎下的武汉北京</t>
  </si>
  <si>
    <t>['肺炎', '下', '的', '武汉', '北京']</t>
  </si>
  <si>
    <t>肺炎疫情处于上升期</t>
  </si>
  <si>
    <t>['肺炎', '疫情', '处于', '上升', '上升期']</t>
  </si>
  <si>
    <t>武汉延期春节活动</t>
  </si>
  <si>
    <t>['武汉', '延期', '春节', '活动']</t>
  </si>
  <si>
    <t>央美通报姚舜熙事件</t>
  </si>
  <si>
    <t>['央美', '通报', '姚舜熙', '事件']</t>
  </si>
  <si>
    <t>肺炎病毒或来自野味</t>
  </si>
  <si>
    <t>['肺炎', '病毒', '或', '来自', '野味']</t>
  </si>
  <si>
    <t>赵忠祥葬礼现追星族</t>
  </si>
  <si>
    <t>['赵忠祥', '葬礼', '现', '追星', '星族', '追星族']</t>
  </si>
  <si>
    <t>韦斯特被当街殴打</t>
  </si>
  <si>
    <t>['斯特', '韦斯特', '被', '当街', '殴打']</t>
  </si>
  <si>
    <t>曝新iPhone更薄</t>
  </si>
  <si>
    <t>['曝新', 'iPhone', '更薄']</t>
  </si>
  <si>
    <t>武汉实施进出管控</t>
  </si>
  <si>
    <t>['武汉', '实施', '进出', '管控']</t>
  </si>
  <si>
    <t>新型肺炎乙类传染</t>
  </si>
  <si>
    <t>['新型', '肺炎', '乙类', '传染']</t>
  </si>
  <si>
    <t>武汉成立防疫指挥部</t>
  </si>
  <si>
    <t>['武汉', '成立', '防疫', '指挥', '指挥部']</t>
  </si>
  <si>
    <t>武汉公布诊疗方案</t>
  </si>
  <si>
    <t>['武汉', '公布', '诊疗', '方案']</t>
  </si>
  <si>
    <t>冠状病毒预防措施</t>
  </si>
  <si>
    <t>['冠状', '病毒', '冠状病毒', '预防', '措施', '预防措施']</t>
  </si>
  <si>
    <t>武汉肺炎已6例死亡</t>
  </si>
  <si>
    <t>['武汉', '肺炎', '已', '6', '例', '死亡']</t>
  </si>
  <si>
    <t>河南禁售活禽</t>
  </si>
  <si>
    <t>['河南', '禁售', '活禽']</t>
  </si>
  <si>
    <t>天津确诊新型肺炎</t>
  </si>
  <si>
    <t>['天津', '确诊', '新型', '肺炎']</t>
  </si>
  <si>
    <t>沪新增4例新型肺炎</t>
  </si>
  <si>
    <t>['沪', '新增', '4', '例', '新型', '肺炎']</t>
  </si>
  <si>
    <t>河南确诊新型肺炎</t>
  </si>
  <si>
    <t>['河南', '确诊', '新型', '肺炎']</t>
  </si>
  <si>
    <t>黄冈增12例新型肺炎</t>
  </si>
  <si>
    <t>['黄冈', '增', '12', '例', '新型', '肺炎']</t>
  </si>
  <si>
    <t>17万想分141年还清</t>
  </si>
  <si>
    <t>['17', '万想分', '141', '年', '还清']</t>
  </si>
  <si>
    <t>陕西现汽车火车相撞</t>
  </si>
  <si>
    <t>['陕西', '现', '汽车', '火车', '相撞']</t>
  </si>
  <si>
    <t>曝海鲜市场野味菜单</t>
  </si>
  <si>
    <t>['曝', '海鲜', '市场', '野味', '菜单']</t>
  </si>
  <si>
    <t>台湾确诊新型肺炎</t>
  </si>
  <si>
    <t>['台湾', '确诊', '新型', '肺炎']</t>
  </si>
  <si>
    <t>渝确诊5例新型肺炎</t>
  </si>
  <si>
    <t>['渝', '确诊', '5', '例', '新型', '肺炎']</t>
  </si>
  <si>
    <t>曝陆毅发福</t>
  </si>
  <si>
    <t>['曝陆毅', '发福']</t>
  </si>
  <si>
    <t>河南濮阳发生劫持案</t>
  </si>
  <si>
    <t>['河南', '濮阳', '发生', '劫持', '案']</t>
  </si>
  <si>
    <t>滨崎步儿子生父被曝</t>
  </si>
  <si>
    <t>['滨崎步', '儿子', '生父', '被', '曝']</t>
  </si>
  <si>
    <t>央视春晚第四次联排</t>
  </si>
  <si>
    <t>['央视', '春晚', '央视春晚', '第四', '四次', '第四次', '联排']</t>
  </si>
  <si>
    <t>预防肺炎三道防线</t>
  </si>
  <si>
    <t>['预防', '肺炎', '三道', '防线']</t>
  </si>
  <si>
    <t>卫健委解读新型肺炎</t>
  </si>
  <si>
    <t>['卫健委', '解读', '新型', '肺炎']</t>
  </si>
  <si>
    <t>2020/01/22</t>
  </si>
  <si>
    <t>周琦曾繁日发生冲突</t>
  </si>
  <si>
    <t>['周琦曾', '繁日', '发生', '冲突', '发生冲突']</t>
  </si>
  <si>
    <t>严防超级传播者出现</t>
  </si>
  <si>
    <t>['严防', '超级', '传播', '传播者', '出现']</t>
  </si>
  <si>
    <t>钟南山再谈新型肺炎</t>
  </si>
  <si>
    <t>['南山', '钟南山', '再谈', '新型', '肺炎']</t>
  </si>
  <si>
    <t>广东增3例新型肺炎</t>
  </si>
  <si>
    <t>['广东', '增', '3', '例', '新型', '肺炎']</t>
  </si>
  <si>
    <t>口罩绝不允许涨价</t>
  </si>
  <si>
    <t>['口罩', '绝不', '允许', '绝不允许', '涨价']</t>
  </si>
  <si>
    <t>疫情防控全面升级</t>
  </si>
  <si>
    <t>['疫情', '防控', '全面', '升级']</t>
  </si>
  <si>
    <t>知名导演管虎疑出轨</t>
  </si>
  <si>
    <t>['知名', '导演', '管虎疑', '出轨']</t>
  </si>
  <si>
    <t>昆明确认新型肺炎</t>
  </si>
  <si>
    <t>['昆明', '确认', '新型', '肺炎']</t>
  </si>
  <si>
    <t>陈思诚发文开撕徐峥</t>
  </si>
  <si>
    <t>['陈思诚', '发文', '开', '撕', '徐峥']</t>
  </si>
  <si>
    <t>专家组一人被隔离</t>
  </si>
  <si>
    <t>['专家', '专家组', '一人', '被', '隔离']</t>
  </si>
  <si>
    <t>新型病毒来源确认</t>
  </si>
  <si>
    <t>['新型', '病毒', '来源', '确认']</t>
  </si>
  <si>
    <t>武汉给市民的一封信</t>
  </si>
  <si>
    <t>['武汉', '给', '市民', '的', '一封', '封信', '一封信']</t>
  </si>
  <si>
    <t>新型肺炎确诊319例</t>
  </si>
  <si>
    <t>['新型', '肺炎', '确诊', '319', '例']</t>
  </si>
  <si>
    <t>越南宣布5G国产化</t>
  </si>
  <si>
    <t>['越南', '宣布', '5G', '国产', '国产化']</t>
  </si>
  <si>
    <t>格力员工晒年终奖</t>
  </si>
  <si>
    <t>['格力', '员工', '晒', '年终', '年终奖']</t>
  </si>
  <si>
    <t>新型肺炎确诊440例</t>
  </si>
  <si>
    <t>['新型', '肺炎', '确诊', '440', '例']</t>
  </si>
  <si>
    <t>ECMO技术成功救患者</t>
  </si>
  <si>
    <t>['ECMO', '技术', '成功', '救', '患者']</t>
  </si>
  <si>
    <t>辽宁确诊2例肺炎</t>
  </si>
  <si>
    <t>['辽宁', '确诊', '2', '例', '肺炎']</t>
  </si>
  <si>
    <t>海南确诊4例肺炎</t>
  </si>
  <si>
    <t>['海南', '确诊', '4', '例', '肺炎']</t>
  </si>
  <si>
    <t>安徽2例疑似病例</t>
  </si>
  <si>
    <t>['安徽', '2', '例', '疑似', '病例', '疑似病例']</t>
  </si>
  <si>
    <t>安徽省首例肺炎确诊</t>
  </si>
  <si>
    <t>['安徽', '安徽省', '首例', '肺炎', '确诊']</t>
  </si>
  <si>
    <t>湖北拟请求支援物资</t>
  </si>
  <si>
    <t>['湖北', '拟', '请求', '支援', '物资']</t>
  </si>
  <si>
    <t>新型肺炎确诊443例</t>
  </si>
  <si>
    <t>['新型', '肺炎', '确诊', '443', '例']</t>
  </si>
  <si>
    <t>新型冠状病毒怕酒精</t>
  </si>
  <si>
    <t>['新型', '冠状', '病毒', '冠状病毒', '怕', '酒精']</t>
  </si>
  <si>
    <t>湖南增3例肺炎确诊</t>
  </si>
  <si>
    <t>['湖南', '增', '3', '例', '肺炎', '确诊']</t>
  </si>
  <si>
    <t>山西首例新型肺炎</t>
  </si>
  <si>
    <t>['山西', '首例', '新型', '肺炎']</t>
  </si>
  <si>
    <t>川新增3例新型肺炎</t>
  </si>
  <si>
    <t>['川', '新增', '3', '例', '新型', '肺炎']</t>
  </si>
  <si>
    <t>特朗普谈新型肺炎</t>
  </si>
  <si>
    <t>['特朗普', '谈', '新型', '肺炎']</t>
  </si>
  <si>
    <t>新型病毒存变异可能</t>
  </si>
  <si>
    <t>['新型', '病毒', '存', '变异', '可能']</t>
  </si>
  <si>
    <t>四川阿坝州发生地震</t>
  </si>
  <si>
    <t>['四川', '阿坝', '阿坝州', '发生', '地震']</t>
  </si>
  <si>
    <t>福建首例肺炎确诊</t>
  </si>
  <si>
    <t>['福建', '首例', '肺炎', '确诊']</t>
  </si>
  <si>
    <t>美国爆发乙型流感</t>
  </si>
  <si>
    <t>['美国', '爆发', '乙型', '流感']</t>
  </si>
  <si>
    <t>浙江新型肺炎确诊</t>
  </si>
  <si>
    <t>['浙江', '新型', '肺炎', '确诊']</t>
  </si>
  <si>
    <t>官方谈新型肺炎费用</t>
  </si>
  <si>
    <t>['官方', '谈', '新型', '肺炎', '费用']</t>
  </si>
  <si>
    <t>江西确诊新型肺炎</t>
  </si>
  <si>
    <t>['江西', '确诊', '新型', '肺炎']</t>
  </si>
  <si>
    <t>武汉女护士感动网友</t>
  </si>
  <si>
    <t>['武汉', '护士', '女护士', '感动', '网友']</t>
  </si>
  <si>
    <t>儿童不容易染病毒</t>
  </si>
  <si>
    <t>['儿童', '不', '容易', '染', '病毒']</t>
  </si>
  <si>
    <t>新型肺炎确诊324例</t>
  </si>
  <si>
    <t>['新型', '肺炎', '确诊', '324', '例']</t>
  </si>
  <si>
    <t>魏秋月产子</t>
  </si>
  <si>
    <t>['秋月', '魏秋月', '产子']</t>
  </si>
  <si>
    <t>官方回应副主任隔离</t>
  </si>
  <si>
    <t>['官方', '回应', '副', '主任', '隔离']</t>
  </si>
  <si>
    <t>新型肺炎诊疗指南</t>
  </si>
  <si>
    <t>['新型', '肺炎', '诊疗', '指南']</t>
  </si>
  <si>
    <t>2020/01/23</t>
  </si>
  <si>
    <t>竹鼠养殖户回应</t>
  </si>
  <si>
    <t>['竹鼠', '养殖', '养殖户', '回应']</t>
  </si>
  <si>
    <t>河北确诊新型肺炎</t>
  </si>
  <si>
    <t>['河北', '确诊', '新型', '肺炎']</t>
  </si>
  <si>
    <t>湖北通报新型肺炎</t>
  </si>
  <si>
    <t>['湖北', '通报', '新型', '肺炎']</t>
  </si>
  <si>
    <t>太原不准乘务戴口罩</t>
  </si>
  <si>
    <t>['太原', '不准', '乘务', '戴', '口罩']</t>
  </si>
  <si>
    <t>新型肺炎疫情地图</t>
  </si>
  <si>
    <t>['新型', '肺炎', '疫情', '地图']</t>
  </si>
  <si>
    <t>武汉公共交通停运</t>
  </si>
  <si>
    <t>['武汉', '公共', '交通', '公共交通', '停运']</t>
  </si>
  <si>
    <t>广东两姐妹确诊肺炎</t>
  </si>
  <si>
    <t>['广东', '姐妹', '两姐妹', '确诊', '肺炎']</t>
  </si>
  <si>
    <t>未戴护目镜或被传染</t>
  </si>
  <si>
    <t>['未戴', '护目', '目镜', '护目镜', '或', '被', '传染']</t>
  </si>
  <si>
    <t>春晚分会场改为录播</t>
  </si>
  <si>
    <t>['春晚', '分会', '会场', '分会场', '改为', '录播']</t>
  </si>
  <si>
    <t>新型病毒或来源于蛇</t>
  </si>
  <si>
    <t>['新型', '病毒', '或', '来源', '源于', '来源于', '蛇']</t>
  </si>
  <si>
    <t>武汉戴口罩措施通告</t>
  </si>
  <si>
    <t>['武汉', '戴', '口罩', '措施', '通告']</t>
  </si>
  <si>
    <t>蝙蝠汤发布者致歉</t>
  </si>
  <si>
    <t>['蝙蝠', '汤', '发布', '发布者', '致歉']</t>
  </si>
  <si>
    <t>佛山市场仍售果子狸</t>
  </si>
  <si>
    <t>['佛山', '市场', '仍售', '果子', '果子狸']</t>
  </si>
  <si>
    <t>甘肃现肺炎疑似病例</t>
  </si>
  <si>
    <t>['甘肃', '现', '肺炎', '疑似', '病例', '疑似病例']</t>
  </si>
  <si>
    <t>淘宝全面禁售野味</t>
  </si>
  <si>
    <t>['淘宝', '全面', '禁售', '野味']</t>
  </si>
  <si>
    <t>武汉商场空无一人</t>
  </si>
  <si>
    <t>['武汉', '商场', '空无一人']</t>
  </si>
  <si>
    <t>武汉开通24小时捐赠</t>
  </si>
  <si>
    <t>['武汉', '开通', '24', '小时', '捐赠']</t>
  </si>
  <si>
    <t>新型肺炎确诊571例</t>
  </si>
  <si>
    <t>['新型', '肺炎', '确诊', '571', '例']</t>
  </si>
  <si>
    <t>武汉封城前10小时</t>
  </si>
  <si>
    <t>['武汉', '封城前', '10', '小时']</t>
  </si>
  <si>
    <t>央视春晚节目单出炉</t>
  </si>
  <si>
    <t>['央视', '春晚', '央视春晚', '节目', '节目单', '出炉']</t>
  </si>
  <si>
    <t>武汉菜价上涨</t>
  </si>
  <si>
    <t>['武汉', '菜价', '上涨']</t>
  </si>
  <si>
    <t>出现无武汉旅行病例</t>
  </si>
  <si>
    <t>['出现', '无', '武汉', '旅行', '病例']</t>
  </si>
  <si>
    <t>抽烟不能抵抗病毒</t>
  </si>
  <si>
    <t>['抽烟', '不能', '抵抗', '病毒']</t>
  </si>
  <si>
    <t>湖北高速开始封闭</t>
  </si>
  <si>
    <t>['湖北', '高速', '开始', '封闭']</t>
  </si>
  <si>
    <t>辰亦儒曾之乔结婚</t>
  </si>
  <si>
    <t>['辰', '亦', '儒', '曾之乔', '结婚']</t>
  </si>
  <si>
    <t>94人武汉游学后返回</t>
  </si>
  <si>
    <t>['94', '人', '武汉', '游学', '后', '返回']</t>
  </si>
  <si>
    <t>仍有市民回武汉过年</t>
  </si>
  <si>
    <t>['仍', '有', '市民', '回', '武汉', '过年']</t>
  </si>
  <si>
    <t>新型肺炎防控新方案</t>
  </si>
  <si>
    <t>['新型', '肺炎', '防控', '新', '方案']</t>
  </si>
  <si>
    <t>春节档电影遭退票</t>
  </si>
  <si>
    <t>['春节', '档', '电影', '遭', '退票']</t>
  </si>
  <si>
    <t>重庆确诊6例肺炎</t>
  </si>
  <si>
    <t>['重庆', '确诊', '6', '例', '肺炎']</t>
  </si>
  <si>
    <t>主持人戴口罩播报</t>
  </si>
  <si>
    <t>['主持', '主持人', '戴', '口罩', '播报']</t>
  </si>
  <si>
    <t>李兰娟解惑新型肺炎</t>
  </si>
  <si>
    <t>['李兰娟', '解惑', '新型', '肺炎']</t>
  </si>
  <si>
    <t>武汉肺炎医生口述</t>
  </si>
  <si>
    <t>['武汉', '肺炎', '医生', '口述']</t>
  </si>
  <si>
    <t>肺炎死者多为老人</t>
  </si>
  <si>
    <t>['肺炎', '死者', '多为', '老人']</t>
  </si>
  <si>
    <t>2020山东春晚直播</t>
  </si>
  <si>
    <t>['2020', '山东', '春晚', '直播']</t>
  </si>
  <si>
    <t>2020江西春晚直播</t>
  </si>
  <si>
    <t>['2020', '江西', '春晚', '直播']</t>
  </si>
  <si>
    <t>江苏出现新型肺炎</t>
  </si>
  <si>
    <t>['江苏', '出现', '新型', '肺炎']</t>
  </si>
  <si>
    <t>九江长江大桥封锁</t>
  </si>
  <si>
    <t>['九江', '长江', '大桥', '长江大桥', '封锁']</t>
  </si>
  <si>
    <t>武汉拼车群涨价10倍</t>
  </si>
  <si>
    <t>['武汉', '拼车', '群', '涨价', '10', '倍']</t>
  </si>
  <si>
    <t>武汉防疫升级4焦点</t>
  </si>
  <si>
    <t>['武汉', '防疫', '升级', '4', '焦点']</t>
  </si>
  <si>
    <t>2020/01/24</t>
  </si>
  <si>
    <t>电影囧妈将免费播出</t>
  </si>
  <si>
    <t>['电影', '囧', '妈', '将', '免费', '播出']</t>
  </si>
  <si>
    <t>印度护士感染病毒</t>
  </si>
  <si>
    <t>['印度', '护士', '感染', '病毒']</t>
  </si>
  <si>
    <t>武汉女医护剪掉长发</t>
  </si>
  <si>
    <t>['武汉', '女', '医护', '剪掉', '长发']</t>
  </si>
  <si>
    <t>新冠肺炎确诊830例</t>
  </si>
  <si>
    <t>['新冠', '肺炎', '确诊', '830', '例']</t>
  </si>
  <si>
    <t>湖北七地宣布封城</t>
  </si>
  <si>
    <t>['湖北', '七地', '宣布', '封城']</t>
  </si>
  <si>
    <t>王广发评价钟南山</t>
  </si>
  <si>
    <t>['王', '广发', '评价', '南山', '钟南山']</t>
  </si>
  <si>
    <t>除夕</t>
  </si>
  <si>
    <t>['除夕']</t>
  </si>
  <si>
    <t>武汉护士的朋友圈</t>
  </si>
  <si>
    <t>['武汉', '护士', '的', '朋友', '朋友圈']</t>
  </si>
  <si>
    <t>10亿紧急下拨湖北</t>
  </si>
  <si>
    <t>['10', '亿', '紧急', '下拨', '湖北']</t>
  </si>
  <si>
    <t>宋仲基被曝新恋情</t>
  </si>
  <si>
    <t>['宋仲基', '被', '曝新', '恋情']</t>
  </si>
  <si>
    <t>涂磊一家三口发烧</t>
  </si>
  <si>
    <t>['涂磊', '一家', '三口', '发烧']</t>
  </si>
  <si>
    <t>恶意逃离武汉可判刑</t>
  </si>
  <si>
    <t>['恶意', '逃离', '武汉', '可', '判刑']</t>
  </si>
  <si>
    <t>国务院征集瞒报线索</t>
  </si>
  <si>
    <t>['国务', '国务院', '征集', '瞒报', '线索']</t>
  </si>
  <si>
    <t>囧妈保底协议终止</t>
  </si>
  <si>
    <t>['囧', '妈', '保底', '协议', '终止']</t>
  </si>
  <si>
    <t>预防肺炎中药方发布</t>
  </si>
  <si>
    <t>['预防', '肺炎', '中药', '药方', '中药方', '发布']</t>
  </si>
  <si>
    <t>警方回应回乡遭举报</t>
  </si>
  <si>
    <t>['警方', '回应', '回乡', '遭', '举报']</t>
  </si>
  <si>
    <t>肺炎第二流行上升期</t>
  </si>
  <si>
    <t>['肺炎', '第二', '流行', '上升', '上升期']</t>
  </si>
  <si>
    <t>2020央视鼠年春晚</t>
  </si>
  <si>
    <t>['2020', '央视', '鼠年', '春晚']</t>
  </si>
  <si>
    <t>7万只口罩免费送</t>
  </si>
  <si>
    <t>['7', '万', '只', '口罩', '免费', '免费送']</t>
  </si>
  <si>
    <t>揭秘华南海鲜老板</t>
  </si>
  <si>
    <t>['揭秘', '华南', '海鲜', '老板']</t>
  </si>
  <si>
    <t>吸烟喝酒防疫系谣言</t>
  </si>
  <si>
    <t>['吸烟', '喝酒', '防疫', '系', '谣言']</t>
  </si>
  <si>
    <t>河南发布防疫短信</t>
  </si>
  <si>
    <t>['河南', '发布', '防疫', '短信']</t>
  </si>
  <si>
    <t>航拍封城后的武汉</t>
  </si>
  <si>
    <t>['航拍', '封城后', '的', '武汉']</t>
  </si>
  <si>
    <t>来返北京人员需登记</t>
  </si>
  <si>
    <t>['来返', '北京', '人员', '需', '登记']</t>
  </si>
  <si>
    <t>河南肺炎患者已退烧</t>
  </si>
  <si>
    <t>['河南', '肺炎', '患者', '已', '退烧']</t>
  </si>
  <si>
    <t>湖北将倒查出城方式</t>
  </si>
  <si>
    <t>['湖北', '将', '倒', '查出', '城', '方式']</t>
  </si>
  <si>
    <t>封城后的武汉市民</t>
  </si>
  <si>
    <t>['封城后', '的', '武汉', '武汉市', '民']</t>
  </si>
  <si>
    <t>湖北中小学延期开学</t>
  </si>
  <si>
    <t>['湖北', '中小', '小学', '中小学', '延期', '开学']</t>
  </si>
  <si>
    <t>多省启动一级响应</t>
  </si>
  <si>
    <t>['多省', '启动', '一级', '响应']</t>
  </si>
  <si>
    <t>武汉全员排查发热者</t>
  </si>
  <si>
    <t>['武汉', '全员', '排查', '发热', '者']</t>
  </si>
  <si>
    <t>武汉封城后第一小时</t>
  </si>
  <si>
    <t>['武汉', '封城后', '第一', '小时']</t>
  </si>
  <si>
    <t>新型肺炎的9大谣言</t>
  </si>
  <si>
    <t>['新型', '肺炎', '的', '9', '大', '谣言']</t>
  </si>
  <si>
    <t>钟南山任攻关组长</t>
  </si>
  <si>
    <t>['南山', '钟南山', '任', '攻关', '组长']</t>
  </si>
  <si>
    <t>口罩厂商取消休假</t>
  </si>
  <si>
    <t>['口罩', '厂商', '取消', '休假']</t>
  </si>
  <si>
    <t>各地医生驰援湖北</t>
  </si>
  <si>
    <t>['各地', '医生', '驰援', '湖北']</t>
  </si>
  <si>
    <t>武汉征6000台出租车</t>
  </si>
  <si>
    <t>['武汉', '征', '6000', '台', '出租', '租车', '出租车']</t>
  </si>
  <si>
    <t>国家博物馆春节闭馆</t>
  </si>
  <si>
    <t>['国家', '博物', '博物馆', '国家博物馆', '春节', '闭馆']</t>
  </si>
  <si>
    <t>上海重启小汤山模式</t>
  </si>
  <si>
    <t>['上海', '重启', '小汤', '小汤山', '模式']</t>
  </si>
  <si>
    <t>武汉文娱场所停业</t>
  </si>
  <si>
    <t>['武汉', '文娱', '场所', '停业']</t>
  </si>
  <si>
    <t>2020/01/25</t>
  </si>
  <si>
    <t>头条独家免费看囧妈</t>
  </si>
  <si>
    <t>['头条', '独家', '免费', '看', '囧', '妈']</t>
  </si>
  <si>
    <t>昌都5.1级地震</t>
  </si>
  <si>
    <t>['昌都', '5.1', '级', '地震']</t>
  </si>
  <si>
    <t>字节跳动捐赠2亿</t>
  </si>
  <si>
    <t>['字节', '跳动', '捐赠', '2', '亿']</t>
  </si>
  <si>
    <t>肖战谢娜拥抱</t>
  </si>
  <si>
    <t>['肖战', '谢娜', '拥抱']</t>
  </si>
  <si>
    <t>陕西现9岁病例</t>
  </si>
  <si>
    <t>['陕西', '现', '9', '岁', '病例']</t>
  </si>
  <si>
    <t>2020东方卫视春晚</t>
  </si>
  <si>
    <t>['2020', '东方', '卫视', '春晚']</t>
  </si>
  <si>
    <t>北京省际客运停运</t>
  </si>
  <si>
    <t>['北京', '省际', '客运', '停运']</t>
  </si>
  <si>
    <t>佟丽娅春晚主持首秀</t>
  </si>
  <si>
    <t>['佟丽娅', '春晚', '主持', '首秀']</t>
  </si>
  <si>
    <t>马丽挺孕肚登春晚</t>
  </si>
  <si>
    <t>['马丽', '挺', '孕肚', '登', '春晚']</t>
  </si>
  <si>
    <t>航班335名乘客隔离</t>
  </si>
  <si>
    <t>['航班', '335', '名', '乘客', '隔离']</t>
  </si>
  <si>
    <t>2岁女童确诊肺炎</t>
  </si>
  <si>
    <t>['2', '岁', '女童', '确诊', '肺炎']</t>
  </si>
  <si>
    <t>已准备药物治疗疫情</t>
  </si>
  <si>
    <t>['已', '准备', '药物', '治疗', '疫情']</t>
  </si>
  <si>
    <t>夸大肺炎人数被拘</t>
  </si>
  <si>
    <t>['夸大', '肺炎', '人数', '被', '拘']</t>
  </si>
  <si>
    <t>武汉实行机动车禁行</t>
  </si>
  <si>
    <t>['武汉', '实行', '机动', '动车', '机动车', '禁行']</t>
  </si>
  <si>
    <t>四川禁止群体性聚餐</t>
  </si>
  <si>
    <t>['四川', '禁止', '群体', '体性', '群体性', '聚餐']</t>
  </si>
  <si>
    <t>佟丽娅发文感慨</t>
  </si>
  <si>
    <t>['佟丽娅', '发文', '感慨']</t>
  </si>
  <si>
    <t>史上最尬拜年</t>
  </si>
  <si>
    <t>['史上', '最尬', '拜年']</t>
  </si>
  <si>
    <t>秦岚张若昀演夫妻</t>
  </si>
  <si>
    <t>['秦岚', '张若昀演', '夫妻']</t>
  </si>
  <si>
    <t>湖北日报发文致歉</t>
  </si>
  <si>
    <t>['湖北', '日报', '湖北日报', '发文', '致歉']</t>
  </si>
  <si>
    <t>武汉封城的法律依据</t>
  </si>
  <si>
    <t>['武汉', '封城', '的', '法律', '依据', '法律依据']</t>
  </si>
  <si>
    <t>钟南山染病系谣言</t>
  </si>
  <si>
    <t>['南山', '钟南山', '染病', '系', '谣言']</t>
  </si>
  <si>
    <t>2020广东卫视春晚</t>
  </si>
  <si>
    <t>['2020', '广东', '卫视', '春晚']</t>
  </si>
  <si>
    <t>已有药物治疗疫情</t>
  </si>
  <si>
    <t>['已有', '药物', '治疗', '疫情']</t>
  </si>
  <si>
    <t>特朗普发文称赞中国</t>
  </si>
  <si>
    <t>['特朗普', '发文', '称赞', '中国']</t>
  </si>
  <si>
    <t>30种药物或有效</t>
  </si>
  <si>
    <t>['30', '种', '药物', '或', '有效']</t>
  </si>
  <si>
    <t>新型肺炎已治愈38例</t>
  </si>
  <si>
    <t>['新型', '肺炎', '已', '治愈', '38', '例']</t>
  </si>
  <si>
    <t>新型肺炎已治愈39例</t>
  </si>
  <si>
    <t>['新型', '肺炎', '已', '治愈', '39', '例']</t>
  </si>
  <si>
    <t>武汉再建小汤山医院</t>
  </si>
  <si>
    <t>['武汉', '再建', '小汤', '小汤山', '医院']</t>
  </si>
  <si>
    <t>张艺兴春晚后空翻</t>
  </si>
  <si>
    <t>['张艺兴', '春晚', '空翻', '后空翻']</t>
  </si>
  <si>
    <t>青海省首例肺炎确诊</t>
  </si>
  <si>
    <t>['青海', '青海省', '首例', '肺炎', '确诊']</t>
  </si>
  <si>
    <t>湖北多市宣布封城</t>
  </si>
  <si>
    <t>['湖北', '多市', '宣布', '封城']</t>
  </si>
  <si>
    <t>易烊千玺春晚造型</t>
  </si>
  <si>
    <t>['易', '烊', '千玺', '春晚', '造型']</t>
  </si>
  <si>
    <t>上海医生抵达武汉</t>
  </si>
  <si>
    <t>['上海', '医生', '抵达', '武汉']</t>
  </si>
  <si>
    <t>官方辟谣北京封路</t>
  </si>
  <si>
    <t>['官方', '辟谣', '北京', '封路']</t>
  </si>
  <si>
    <t>2020东南卫视春晚</t>
  </si>
  <si>
    <t>['2020', '东南', '卫视', '春晚']</t>
  </si>
  <si>
    <t>重症隔离病房的除夕</t>
  </si>
  <si>
    <t>['重症', '隔离', '病房', '隔离病房', '的', '除夕']</t>
  </si>
  <si>
    <t>2020/01/26</t>
  </si>
  <si>
    <t>最新疫情地图</t>
  </si>
  <si>
    <t>['最新', '疫情', '地图']</t>
  </si>
  <si>
    <t>美国包机撤离武汉</t>
  </si>
  <si>
    <t>['美国', '包机', '撤离', '武汉']</t>
  </si>
  <si>
    <t>武汉交通部分解禁</t>
  </si>
  <si>
    <t>['武汉', '交通', '部分', '解禁']</t>
  </si>
  <si>
    <t>病毒或来源马蹄蝠</t>
  </si>
  <si>
    <t>['病毒', '或', '来源', '马蹄', '蝠']</t>
  </si>
  <si>
    <t>武汉人夜晚隔空喊话</t>
  </si>
  <si>
    <t>['武汉', '人', '夜晚', '隔空', '喊话']</t>
  </si>
  <si>
    <t>浙江高速通行正常</t>
  </si>
  <si>
    <t>['浙江', '高速', '通行', '正常']</t>
  </si>
  <si>
    <t>武汉ICU医生的心愿</t>
  </si>
  <si>
    <t>['武汉', 'ICU', '医生', '的', '心愿']</t>
  </si>
  <si>
    <t>山西中巴乘客全找到</t>
  </si>
  <si>
    <t>['山西', '中巴', '乘客', '全', '找到']</t>
  </si>
  <si>
    <t>火神山移交军方管理</t>
  </si>
  <si>
    <t>['火神', '山', '移交', '军方', '管理']</t>
  </si>
  <si>
    <t>山东暂停省际客运</t>
  </si>
  <si>
    <t>['山东', '暂停', '省际', '客运']</t>
  </si>
  <si>
    <t>疾控中心正研发疫苗</t>
  </si>
  <si>
    <t>['中心', '疾控中心', '正', '研发', '疫苗']</t>
  </si>
  <si>
    <t>发疫情谣言永久封号</t>
  </si>
  <si>
    <t>['发', '疫情', '谣言', '永久', '封号']</t>
  </si>
  <si>
    <t>专家称疫情或现拐点</t>
  </si>
  <si>
    <t>['专家', '称', '疫情', '或现', '拐点']</t>
  </si>
  <si>
    <t>多国计划从武汉撤侨</t>
  </si>
  <si>
    <t>['多', '国', '计划', '从', '武汉', '撤侨']</t>
  </si>
  <si>
    <t>抗艾药物可试用肺炎</t>
  </si>
  <si>
    <t>['抗艾', '药物', '可', '试用', '肺炎']</t>
  </si>
  <si>
    <t>湖北累计确诊1052例</t>
  </si>
  <si>
    <t>['湖北', '累计', '确诊', '1052', '例']</t>
  </si>
  <si>
    <t>快乐大本营取消播出</t>
  </si>
  <si>
    <t>['快乐', '大本', '大本营', '取消', '播出']</t>
  </si>
  <si>
    <t>建议延迟开学返工</t>
  </si>
  <si>
    <t>['建议', '延迟', '开学', '返工']</t>
  </si>
  <si>
    <t>新冠疫苗开始研发</t>
  </si>
  <si>
    <t>['新冠', '疫苗', '开始', '研发']</t>
  </si>
  <si>
    <t>加拿大现疑似新病毒</t>
  </si>
  <si>
    <t>['加拿', '加拿大', '现', '疑似', '病毒', '新病毒']</t>
  </si>
  <si>
    <t>汕头收回交管通告</t>
  </si>
  <si>
    <t>['汕头', '收回', '交管', '通告']</t>
  </si>
  <si>
    <t>北京学校延期开学</t>
  </si>
  <si>
    <t>['北京', '学校', '延期', '开学']</t>
  </si>
  <si>
    <t>美团推出无接触配送</t>
  </si>
  <si>
    <t>['美团', '推出', '无', '接触', '配送']</t>
  </si>
  <si>
    <t>日本民间捐助口罩</t>
  </si>
  <si>
    <t>['日本', '民间', '捐助', '口罩']</t>
  </si>
  <si>
    <t>患者确诊前坐遍地铁</t>
  </si>
  <si>
    <t>['患者', '确诊', '前', '坐', '遍地', '铁']</t>
  </si>
  <si>
    <t>古天乐捐1000万</t>
  </si>
  <si>
    <t>['天乐', '古天乐', '捐', '1000', '万']</t>
  </si>
  <si>
    <t>云南新增6新型肺炎</t>
  </si>
  <si>
    <t>['云南', '新增', '6', '新型', '肺炎']</t>
  </si>
  <si>
    <t>大年初一全国票房</t>
  </si>
  <si>
    <t>['大年', '年初', '初一', '年初一', '大年初一', '全国', '票房']</t>
  </si>
  <si>
    <t>小汤山设计师请战</t>
  </si>
  <si>
    <t>['小汤', '小汤山', '设计', '设计师', '请战']</t>
  </si>
  <si>
    <t>韩红带头捐款武汉</t>
  </si>
  <si>
    <t>['韩红', '带头', '捐款', '武汉']</t>
  </si>
  <si>
    <t>华为捐赠3000万</t>
  </si>
  <si>
    <t>['华为', '捐赠', '3000', '万']</t>
  </si>
  <si>
    <t>古天乐捐千万系谣言</t>
  </si>
  <si>
    <t>['天乐', '古天乐', '捐', '千万', '系', '谣言']</t>
  </si>
  <si>
    <t>湖北疫情防控发布会</t>
  </si>
  <si>
    <t>['湖北', '疫情', '防控', '发布', '发布会']</t>
  </si>
  <si>
    <t>发放临时性工作补助</t>
  </si>
  <si>
    <t>['发放', '临时', '临时性', '工作', '补助']</t>
  </si>
  <si>
    <t>中间宿主或为水貂</t>
  </si>
  <si>
    <t>['中间', '宿主', '或', '为', '水貂']</t>
  </si>
  <si>
    <t>患者确诊前坐三趟车</t>
  </si>
  <si>
    <t>['患者', '确诊', '前', '坐', '三趟', '车']</t>
  </si>
  <si>
    <t>部分高校已推迟开学</t>
  </si>
  <si>
    <t>['部分', '高校', '已', '推迟', '开学']</t>
  </si>
  <si>
    <t>天津公务员提前返岗</t>
  </si>
  <si>
    <t>['天津', '公务', '公务员', '提前', '返岗']</t>
  </si>
  <si>
    <t>人民网评疫情</t>
  </si>
  <si>
    <t>['人民', '人民网', '评', '疫情']</t>
  </si>
  <si>
    <t>2020/01/27</t>
  </si>
  <si>
    <t>球星科比因坠机去世</t>
  </si>
  <si>
    <t>['球星', '科比', '因', '坠机', '去世']</t>
  </si>
  <si>
    <t>春节假期延长</t>
  </si>
  <si>
    <t>['春节', '节假', '假期', '春节假期', '延长']</t>
  </si>
  <si>
    <t>安徽出现聚集性疫情</t>
  </si>
  <si>
    <t>['安徽', '出现', '聚集', '性', '疫情']</t>
  </si>
  <si>
    <t>武汉官员得肺炎去世</t>
  </si>
  <si>
    <t>['武汉', '官员', '得', '肺炎', '去世']</t>
  </si>
  <si>
    <t>科比与女儿暖心瞬间</t>
  </si>
  <si>
    <t>['科比', '与', '女儿', '暖心', '瞬间']</t>
  </si>
  <si>
    <t>寻找重庆三客车乘客</t>
  </si>
  <si>
    <t>['寻找', '重庆', '三', '客车', '乘客']</t>
  </si>
  <si>
    <t>河南小汤山医院开建</t>
  </si>
  <si>
    <t>['河南', '小汤', '小汤山', '医院', '开建']</t>
  </si>
  <si>
    <t>解放军进入一线科室</t>
  </si>
  <si>
    <t>['解放', '解放军', '进入', '一线', '科室']</t>
  </si>
  <si>
    <t>青岛现家庭聚集病例</t>
  </si>
  <si>
    <t>['青岛', '现', '家庭', '聚集', '病例']</t>
  </si>
  <si>
    <t>科比直升机失事原因</t>
  </si>
  <si>
    <t>['科比', '直升', '升机', '直升机', '失事', '原因']</t>
  </si>
  <si>
    <t>曝华南海鲜市场总裁</t>
  </si>
  <si>
    <t>['曝', '华南', '海鲜', '市场', '总裁']</t>
  </si>
  <si>
    <t>火神山渣土车被锁</t>
  </si>
  <si>
    <t>['火神', '山', '渣土', '车', '被', '锁']</t>
  </si>
  <si>
    <t>淘宝部分口罩下架</t>
  </si>
  <si>
    <t>['淘宝', '部分', '口罩', '下架']</t>
  </si>
  <si>
    <t>美确诊五例新型肺炎</t>
  </si>
  <si>
    <t>['美', '确诊', '五例', '新型', '肺炎']</t>
  </si>
  <si>
    <t>阿富汗航班坠毁</t>
  </si>
  <si>
    <t>['阿富汗', '航班', '坠毁']</t>
  </si>
  <si>
    <t>江苏客运停运公告</t>
  </si>
  <si>
    <t>['江苏', '客运', '停运', '公告']</t>
  </si>
  <si>
    <t>武汉500万人的去向</t>
  </si>
  <si>
    <t>['武汉', '500', '万人', '的', '去向']</t>
  </si>
  <si>
    <t>疯狂的外星人免费看</t>
  </si>
  <si>
    <t>['疯狂', '的', '外星', '外星人', '免费', '看']</t>
  </si>
  <si>
    <t>婴儿感染新型肺炎</t>
  </si>
  <si>
    <t>['婴儿', '感染', '新型', '肺炎']</t>
  </si>
  <si>
    <t>詹姆斯因科比痛哭</t>
  </si>
  <si>
    <t>['詹姆斯', '因', '科比', '痛哭']</t>
  </si>
  <si>
    <t>武汉或再增1000例</t>
  </si>
  <si>
    <t>['武汉', '或', '再', '增', '1000', '例']</t>
  </si>
  <si>
    <t>武汉供应1元蔬菜</t>
  </si>
  <si>
    <t>['武汉', '供应', '1', '元', '蔬菜']</t>
  </si>
  <si>
    <t>山东首例病例已治愈</t>
  </si>
  <si>
    <t>['山东', '首例', '病例', '已', '治愈']</t>
  </si>
  <si>
    <t>4096名武汉人在境外</t>
  </si>
  <si>
    <t>['4096', '名', '武汉', '人', '在', '境外']</t>
  </si>
  <si>
    <t>确诊有望缩至2小时</t>
  </si>
  <si>
    <t>['确诊', '有望', '缩至', '2', '小时']</t>
  </si>
  <si>
    <t>火神山第一栋楼完工</t>
  </si>
  <si>
    <t>['火神', '山', '第一', '栋楼', '完工']</t>
  </si>
  <si>
    <t>曝科比坠机前通话</t>
  </si>
  <si>
    <t>['曝', '科比', '坠机', '前', '通话']</t>
  </si>
  <si>
    <t>医生防疫一线遭车祸</t>
  </si>
  <si>
    <t>['医生', '防疫', '一线', '遭', '车祸']</t>
  </si>
  <si>
    <t>苏州企业复工时间</t>
  </si>
  <si>
    <t>['苏州', '企业', '苏州企业', '复工', '时间']</t>
  </si>
  <si>
    <t>投入112亿防控疫情</t>
  </si>
  <si>
    <t>['投入', '112', '亿', '防控', '疫情']</t>
  </si>
  <si>
    <t>鞍山公交停运</t>
  </si>
  <si>
    <t>['鞍山', '公交', '停运']</t>
  </si>
  <si>
    <t>格莱美致敬科比</t>
  </si>
  <si>
    <t>['格莱美', '致敬', '科比']</t>
  </si>
  <si>
    <t>BBC就科比事件道歉</t>
  </si>
  <si>
    <t>['BBC', '就', '科比', '事件', '道歉']</t>
  </si>
  <si>
    <t>返乡村民拒绝被隔离</t>
  </si>
  <si>
    <t>['返乡', '村民', '拒绝', '被', '隔离']</t>
  </si>
  <si>
    <t>舒淇罕见晒老公照片</t>
  </si>
  <si>
    <t>['舒淇', '罕见', '晒', '老公', '照片']</t>
  </si>
  <si>
    <t>美驻伊拉克使馆遭袭</t>
  </si>
  <si>
    <t>['美驻', '伊拉', '拉克', '伊拉克', '使馆', '遭袭']</t>
  </si>
  <si>
    <t>航拍雷神山开工现场</t>
  </si>
  <si>
    <t>['航拍', '雷', '神山', '开工', '现场']</t>
  </si>
  <si>
    <t>辽宁客运停运公告</t>
  </si>
  <si>
    <t>['辽宁', '客运', '停运', '公告']</t>
  </si>
  <si>
    <t>波音777X完成首飞</t>
  </si>
  <si>
    <t>['波音', '777X', '完成', '首飞']</t>
  </si>
  <si>
    <t>2020/01/28</t>
  </si>
  <si>
    <t>新冠病毒疫源地存疑</t>
  </si>
  <si>
    <t>['新冠', '病毒', '源地', '疫源地', '存疑']</t>
  </si>
  <si>
    <t>赵本山捐1000万</t>
  </si>
  <si>
    <t>['本山', '赵本山', '捐', '1000', '万']</t>
  </si>
  <si>
    <t>广东已成功分离毒株</t>
  </si>
  <si>
    <t>['广东', '已', '成功', '分离', '毒株']</t>
  </si>
  <si>
    <t>河南首例死者病情</t>
  </si>
  <si>
    <t>['河南', '首例', '死者', '病情']</t>
  </si>
  <si>
    <t>新冠病毒可接触传播</t>
  </si>
  <si>
    <t>['新冠', '病毒', '可', '接触', '传播']</t>
  </si>
  <si>
    <t>科比夫妇乘机约定</t>
  </si>
  <si>
    <t>['科比', '夫妇', '乘机', '约定']</t>
  </si>
  <si>
    <t>曝科比妻子哭到晕厥</t>
  </si>
  <si>
    <t>['曝', '科比', '妻子', '哭', '到', '晕厥']</t>
  </si>
  <si>
    <t>范玮琪疑骂台限罩令</t>
  </si>
  <si>
    <t>['范玮琪', '疑骂', '台限罩', '令']</t>
  </si>
  <si>
    <t>首例感染或早至11月</t>
  </si>
  <si>
    <t>['首例', '感染', '或', '早', '至', '11', '月']</t>
  </si>
  <si>
    <t>北京首例致死案例</t>
  </si>
  <si>
    <t>['北京', '首例', '致死', '案例']</t>
  </si>
  <si>
    <t>出现无症状感染者</t>
  </si>
  <si>
    <t>['出现', '症状', '无症状', '感染', '感染者']</t>
  </si>
  <si>
    <t>白菜卖63被罚50万</t>
  </si>
  <si>
    <t>['白菜', '卖', '63', '被', '罚', '50', '万']</t>
  </si>
  <si>
    <t>民警防控一线殉职</t>
  </si>
  <si>
    <t>['民警', '防控', '一线', '殉职']</t>
  </si>
  <si>
    <t>一家7口疑染肺炎</t>
  </si>
  <si>
    <t>['一家', '7', '口疑染', '肺炎']</t>
  </si>
  <si>
    <t>科比老父首露面</t>
  </si>
  <si>
    <t>['科比', '老父', '首', '露面']</t>
  </si>
  <si>
    <t>黄石原市长去世</t>
  </si>
  <si>
    <t>['黄石', '原', '市长', '去世']</t>
  </si>
  <si>
    <t>日新增病例未去武汉</t>
  </si>
  <si>
    <t>['日', '新增', '病例', '未', '去', '武汉']</t>
  </si>
  <si>
    <t>延长假期应2倍工资</t>
  </si>
  <si>
    <t>['延长', '假期', '应', '2', '倍', '工资']</t>
  </si>
  <si>
    <t>韩媒批禁中国人入境</t>
  </si>
  <si>
    <t>['韩媒', '批禁', '中国', '人', '入境']</t>
  </si>
  <si>
    <t>13部电影免费看</t>
  </si>
  <si>
    <t>['13', '部', '电影', '免费', '看']</t>
  </si>
  <si>
    <t>浙江发延期复工通知</t>
  </si>
  <si>
    <t>['浙江', '发', '延期', '复工', '通知']</t>
  </si>
  <si>
    <t>科比大女儿紧急送医</t>
  </si>
  <si>
    <t>['科比', '大', '女儿', '紧急', '送医']</t>
  </si>
  <si>
    <t>天津将启动战时机制</t>
  </si>
  <si>
    <t>['天津', '将', '启动', '战时', '机制']</t>
  </si>
  <si>
    <t>曝张馨月怀孕一个月</t>
  </si>
  <si>
    <t>['曝张馨', '月', '怀孕', '一个', '一个月']</t>
  </si>
  <si>
    <t>广东延迟开学复工</t>
  </si>
  <si>
    <t>['广东', '延迟', '开学', '复工']</t>
  </si>
  <si>
    <t>小米有品致歉</t>
  </si>
  <si>
    <t>['小米', '有品', '致歉']</t>
  </si>
  <si>
    <t>教育部通知延期开学</t>
  </si>
  <si>
    <t>['教育', '教育部', '通知', '延期', '开学']</t>
  </si>
  <si>
    <t>科比父亲首露面</t>
  </si>
  <si>
    <t>['科比', '父亲', '首', '露面']</t>
  </si>
  <si>
    <t>湖北开设床位10万张</t>
  </si>
  <si>
    <t>['湖北', '开设', '床位', '10', '万张']</t>
  </si>
  <si>
    <t>詹姆斯悼念科比</t>
  </si>
  <si>
    <t>['詹姆斯', '悼念', '科比']</t>
  </si>
  <si>
    <t>全球市场黑色星期一</t>
  </si>
  <si>
    <t>['全球', '市场', '黑色', '星期', '黑色星期', '一']</t>
  </si>
  <si>
    <t>疾控中心谈疫情近况</t>
  </si>
  <si>
    <t>['中心', '疾控中心', '谈', '疫情', '近况']</t>
  </si>
  <si>
    <t>黑龙江暂停省际客运</t>
  </si>
  <si>
    <t>['龙江', '黑龙江', '暂停', '省际', '客运']</t>
  </si>
  <si>
    <t>2020/01/29</t>
  </si>
  <si>
    <t>马英九呼吁支援口罩</t>
  </si>
  <si>
    <t>['马英九', '呼吁', '支援', '口罩']</t>
  </si>
  <si>
    <t>东台市发生地震</t>
  </si>
  <si>
    <t>['东台', '东台市', '发生', '地震']</t>
  </si>
  <si>
    <t>mRNA疫苗研发立项</t>
  </si>
  <si>
    <t>['mRNA', '疫苗', '研发', '立项']</t>
  </si>
  <si>
    <t>古巴发生7.7级地震</t>
  </si>
  <si>
    <t>['古巴', '发生', '7.7', '级', '地震']</t>
  </si>
  <si>
    <t>钟南山含泪谈疫情</t>
  </si>
  <si>
    <t>['南山', '钟南山', '含泪', '谈', '疫情']</t>
  </si>
  <si>
    <t>科比父女遗体已找到</t>
  </si>
  <si>
    <t>['科比', '父女', '遗体', '已', '找到']</t>
  </si>
  <si>
    <t>初五迎财神</t>
  </si>
  <si>
    <t>['初五', '迎', '财神']</t>
  </si>
  <si>
    <t>新肺炎确诊数超非典</t>
  </si>
  <si>
    <t>['新', '肺炎', '确诊', '数超', '非典']</t>
  </si>
  <si>
    <t>官方谈确诊病例激增</t>
  </si>
  <si>
    <t>['官方', '谈', '确诊', '病例', '激增']</t>
  </si>
  <si>
    <t>北京药店被罚300万</t>
  </si>
  <si>
    <t>['北京', '药店', '被', '罚', '300', '万']</t>
  </si>
  <si>
    <t>外卖小哥疑患肺炎</t>
  </si>
  <si>
    <t>['外卖', '小哥', '疑患', '肺炎']</t>
  </si>
  <si>
    <t>陕西现3岁确诊患者</t>
  </si>
  <si>
    <t>['陕西', '现', '3', '岁', '确诊', '患者']</t>
  </si>
  <si>
    <t>鄂A车主跨省漂流</t>
  </si>
  <si>
    <t>['鄂', 'A', '车主', '跨省', '漂流']</t>
  </si>
  <si>
    <t>同学会6人确诊肺炎</t>
  </si>
  <si>
    <t>['同学', '学会', '同学会', '6', '人', '确诊', '肺炎']</t>
  </si>
  <si>
    <t>日本撤侨多人发热</t>
  </si>
  <si>
    <t>['日本', '撤侨', '多', '人', '发热']</t>
  </si>
  <si>
    <t>联名呼吁暂停人脸识别</t>
  </si>
  <si>
    <t>['联名', '呼吁', '暂停', '人脸', '识别', '人脸识别']</t>
  </si>
  <si>
    <t>知网免费开放</t>
  </si>
  <si>
    <t>['知网', '免费', '开放']</t>
  </si>
  <si>
    <t>3M公司CEO表态</t>
  </si>
  <si>
    <t>['3M', '公司', 'CEO', '表态']</t>
  </si>
  <si>
    <t>北京转入扩散期迹象</t>
  </si>
  <si>
    <t>['北京', '转入', '扩散', '期', '迹象']</t>
  </si>
  <si>
    <t>詹姆斯再次发声</t>
  </si>
  <si>
    <t>['詹姆斯', '再次', '发声']</t>
  </si>
  <si>
    <t>北京出现聚集性病例</t>
  </si>
  <si>
    <t>['北京', '出现', '聚集', '性', '病例']</t>
  </si>
  <si>
    <t>乌兰图雅捐款武汉</t>
  </si>
  <si>
    <t>['乌兰', '乌兰图', '雅', '捐款', '武汉']</t>
  </si>
  <si>
    <t>送医护3万斤车厘子</t>
  </si>
  <si>
    <t>['送', '医护', '3', '万斤', '车厘子']</t>
  </si>
  <si>
    <t>违规泄露疫情被通报</t>
  </si>
  <si>
    <t>['违规', '泄露', '疫情', '被', '通报']</t>
  </si>
  <si>
    <t>疫情拐点将要出现</t>
  </si>
  <si>
    <t>['疫情', '拐点', '将要', '出现']</t>
  </si>
  <si>
    <t>官方谈防疫期可吃蒜</t>
  </si>
  <si>
    <t>['官方', '谈', '防疫', '期可', '吃', '蒜']</t>
  </si>
  <si>
    <t>海关检出11例患者</t>
  </si>
  <si>
    <t>['海关', '检出', '11', '例', '患者']</t>
  </si>
  <si>
    <t>中俄正合作研制疫苗</t>
  </si>
  <si>
    <t>['中俄', '中俄正', '合作', '研制', '疫苗']</t>
  </si>
  <si>
    <t>医生获赞最美睡姿</t>
  </si>
  <si>
    <t>['医生', '获赞', '最美', '睡姿']</t>
  </si>
  <si>
    <t>确诊前自驾途经多地</t>
  </si>
  <si>
    <t>['确诊', '前', '自驾', '途经', '多地']</t>
  </si>
  <si>
    <t>曝瓦妮莎以泪洗面</t>
  </si>
  <si>
    <t>['曝瓦妮', '莎', '洗面', '以泪洗面']</t>
  </si>
  <si>
    <t>给将返岗人员的建议</t>
  </si>
  <si>
    <t>['给', '将', '返岗', '人员', '的', '建议']</t>
  </si>
  <si>
    <t>耐克售罄科比产品</t>
  </si>
  <si>
    <t>['耐克', '售罄', '科比', '产品']</t>
  </si>
  <si>
    <t>安徽现8个月确诊者</t>
  </si>
  <si>
    <t>['安徽', '现', '8', '个', '月', '确诊', '者']</t>
  </si>
  <si>
    <t>专家回应快递传染</t>
  </si>
  <si>
    <t>['专家', '回应', '快递', '传染']</t>
  </si>
  <si>
    <t>专家回应日常戴手套</t>
  </si>
  <si>
    <t>['专家', '回应', '日常', '戴', '手套']</t>
  </si>
  <si>
    <t>官方谈武汉人受歧视</t>
  </si>
  <si>
    <t>['官方', '谈', '武汉', '人受', '歧视']</t>
  </si>
  <si>
    <t>火神山医院效果图</t>
  </si>
  <si>
    <t>['火神', '山', '医院', '效果', '效果图']</t>
  </si>
  <si>
    <t>沐舒坦或可治新病毒</t>
  </si>
  <si>
    <t>['沐', '舒坦', '或', '可治', '病毒', '新病毒']</t>
  </si>
  <si>
    <t>上海恢复口罩供应</t>
  </si>
  <si>
    <t>['上海', '恢复', '口罩', '供应']</t>
  </si>
  <si>
    <t>2020/01/30</t>
  </si>
  <si>
    <t>湖北省长回应批评</t>
  </si>
  <si>
    <t>['湖北', '湖北省', '长', '回应', '批评']</t>
  </si>
  <si>
    <t>科比妻子瓦妮莎发声</t>
  </si>
  <si>
    <t>['科比', '妻子', '瓦妮', '莎', '发声']</t>
  </si>
  <si>
    <t>山东延迟开学通知</t>
  </si>
  <si>
    <t>['山东', '延迟', '开学', '通知']</t>
  </si>
  <si>
    <t>安徽放假延长通知</t>
  </si>
  <si>
    <t>['安徽', '放假', '延长', '通知']</t>
  </si>
  <si>
    <t>顺丰回应拦截口罩</t>
  </si>
  <si>
    <t>['顺丰', '回应', '拦截', '口罩']</t>
  </si>
  <si>
    <t>武汉周边的疫情危机</t>
  </si>
  <si>
    <t>['武汉', '周边', '的', '疫情', '危机']</t>
  </si>
  <si>
    <t>汪小菲捐口罩给台湾</t>
  </si>
  <si>
    <t>['汪小菲', '捐', '口罩', '给', '台湾']</t>
  </si>
  <si>
    <t>患者4次检测才确诊</t>
  </si>
  <si>
    <t>['患者', '4', '次', '检测', '才', '确诊']</t>
  </si>
  <si>
    <t>山东延迟企业复工</t>
  </si>
  <si>
    <t>['山东', '延迟', '企业', '复工']</t>
  </si>
  <si>
    <t>瓦妮莎换科比头像</t>
  </si>
  <si>
    <t>['瓦妮', '莎换', '科比', '头像']</t>
  </si>
  <si>
    <t>周立波在美乘直升机</t>
  </si>
  <si>
    <t>['周立波', '在', '美乘', '直升', '升机', '直升机']</t>
  </si>
  <si>
    <t>灰熊尼克斯爆发冲突</t>
  </si>
  <si>
    <t>['灰熊', '尼克', '克斯', '尼克斯', '爆发', '冲突']</t>
  </si>
  <si>
    <t>民警为防疫不幸殉职</t>
  </si>
  <si>
    <t>['民警', '为', '防疫', '不幸', '殉职']</t>
  </si>
  <si>
    <t>浙江谈确诊病例增加</t>
  </si>
  <si>
    <t>['浙江', '谈', '确诊', '病例', '增加']</t>
  </si>
  <si>
    <t>湖北外浙江疫情最重</t>
  </si>
  <si>
    <t>['湖北', '外', '浙江', '疫情', '最重']</t>
  </si>
  <si>
    <t>范冰冰为武汉捐50万</t>
  </si>
  <si>
    <t>['冰冰', '范冰冰', '为', '武汉', '捐', '50', '万']</t>
  </si>
  <si>
    <t>张馨予晒与医生聊天</t>
  </si>
  <si>
    <t>['张馨予', '晒', '与', '医生', '聊天']</t>
  </si>
  <si>
    <t>捐赠品大部分没法用</t>
  </si>
  <si>
    <t>['捐赠', '品', '大部', '部分', '大部分', '没法', '没法用']</t>
  </si>
  <si>
    <t>詹姆斯左大腿新纹身</t>
  </si>
  <si>
    <t>['詹姆斯', '左', '大腿', '新', '纹身']</t>
  </si>
  <si>
    <t>两名抗疫医生被打伤</t>
  </si>
  <si>
    <t>['两名', '抗疫', '医生', '被', '打伤']</t>
  </si>
  <si>
    <t>夫妻确诊妻子无症状</t>
  </si>
  <si>
    <t>['夫妻', '确诊', '妻子', '症状', '无症状']</t>
  </si>
  <si>
    <t>浙局部疫情出现拐点</t>
  </si>
  <si>
    <t>['浙', '局部', '疫情', '出现', '拐点']</t>
  </si>
  <si>
    <t>北京九成确诊是轻症</t>
  </si>
  <si>
    <t>['北京', '九成', '确诊', '是', '轻症']</t>
  </si>
  <si>
    <t>新冠病毒传播力下降</t>
  </si>
  <si>
    <t>['新冠', '病毒', '传播', '病毒传播', '力', '下降']</t>
  </si>
  <si>
    <t>企业开会11人感染</t>
  </si>
  <si>
    <t>['企业', '开会', '11', '人', '感染']</t>
  </si>
  <si>
    <t>网红捐1亿到账9千万</t>
  </si>
  <si>
    <t>['网红捐', '1', '亿到', '账', '9', '千万']</t>
  </si>
  <si>
    <t>陪女学生物发现患癌</t>
  </si>
  <si>
    <t>['陪女', '学生', '物', '发现', '患癌']</t>
  </si>
  <si>
    <t>江西一官员疑染肺炎</t>
  </si>
  <si>
    <t>['江西', '一', '官员', '疑染', '肺炎']</t>
  </si>
  <si>
    <t>疫情仍处于扩散阶段</t>
  </si>
  <si>
    <t>['疫情', '仍', '处于', '扩散', '阶段']</t>
  </si>
  <si>
    <t>北京暂停出入境业务</t>
  </si>
  <si>
    <t>['北京', '暂停', '出入', '入境', '出入境', '业务']</t>
  </si>
  <si>
    <t>军医摘下口罩后落泪</t>
  </si>
  <si>
    <t>['军医', '摘下', '口罩', '后', '落泪']</t>
  </si>
  <si>
    <t>雷神山医院全部通电</t>
  </si>
  <si>
    <t>['雷', '神山', '医院', '全部', '通电']</t>
  </si>
  <si>
    <t>3种药有效抑制病毒</t>
  </si>
  <si>
    <t>['3', '种药', '有效', '抑制', '病毒']</t>
  </si>
  <si>
    <t>小区3个单元被隔离</t>
  </si>
  <si>
    <t>['小区', '3', '个', '单元', '被', '隔离']</t>
  </si>
  <si>
    <t>感染者吐口水将追责</t>
  </si>
  <si>
    <t>['感染', '感染者', '吐口', '水将', '追责']</t>
  </si>
  <si>
    <t>2月底日产1.8亿口罩</t>
  </si>
  <si>
    <t>['2', '月底', '日产', '1.8', '亿', '口罩']</t>
  </si>
  <si>
    <t>芬兰确诊首例病例</t>
  </si>
  <si>
    <t>['芬兰', '确诊', '首例', '病例']</t>
  </si>
  <si>
    <t>南宁铁路局停运信息</t>
  </si>
  <si>
    <t>['南宁', '铁路', '路局', '铁路局', '停运', '信息']</t>
  </si>
  <si>
    <t>黄冈卫健委主任免职</t>
  </si>
  <si>
    <t>['黄冈', '卫健委', '主任', '免职']</t>
  </si>
  <si>
    <t>江西延迟复工通知</t>
  </si>
  <si>
    <t>['江西', '延迟', '复工', '通知']</t>
  </si>
  <si>
    <t>西藏启动一级响应</t>
  </si>
  <si>
    <t>['西藏', '启动', '一级', '响应']</t>
  </si>
  <si>
    <t>范玮琪怼台湾网友</t>
  </si>
  <si>
    <t>['范玮琪', '怼', '台湾', '网友']</t>
  </si>
  <si>
    <t>返日本包机确诊3例</t>
  </si>
  <si>
    <t>['返', '日本', '包机', '确诊', '3', '例']</t>
  </si>
  <si>
    <t>2020/01/31</t>
  </si>
  <si>
    <t>14名感染医护首发声</t>
  </si>
  <si>
    <t>['14', '名', '感染', '医护', '首发', '声']</t>
  </si>
  <si>
    <t>湖北书记为逝者哀悼</t>
  </si>
  <si>
    <t>['湖北', '书记', '为', '逝者', '哀悼']</t>
  </si>
  <si>
    <t>武汉传谣8人应宽容</t>
  </si>
  <si>
    <t>['武汉', '传谣', '8', '人应', '宽容']</t>
  </si>
  <si>
    <t>官方通报火神山冲突</t>
  </si>
  <si>
    <t>['官方', '通报', '火神', '山', '冲突']</t>
  </si>
  <si>
    <t>河北延迟复工通知</t>
  </si>
  <si>
    <t>['河北', '延迟', '复工', '通知']</t>
  </si>
  <si>
    <t>省委书记被拦在村口</t>
  </si>
  <si>
    <t>['省委', '书记', '省委书记', '被', '拦', '在', '村口']</t>
  </si>
  <si>
    <t>天津一患者病因存疑</t>
  </si>
  <si>
    <t>['天津', '一', '患者', '病因', '存疑']</t>
  </si>
  <si>
    <t>泰国总理视察后发烧</t>
  </si>
  <si>
    <t>['泰国', '总理', '视察', '后', '发烧']</t>
  </si>
  <si>
    <t>突发公共卫生事件</t>
  </si>
  <si>
    <t>['突发', '公共', '卫生', '公共卫生', '事件']</t>
  </si>
  <si>
    <t>朱之文捐助武汉</t>
  </si>
  <si>
    <t>['朱之文', '捐助', '武汉']</t>
  </si>
  <si>
    <t>外交部回应世卫组织</t>
  </si>
  <si>
    <t>['外交', '外交部', '回应', '世卫', '组织']</t>
  </si>
  <si>
    <t>辽宁现无症状病例</t>
  </si>
  <si>
    <t>['辽宁', '现', '症状', '无症状', '病例']</t>
  </si>
  <si>
    <t>广州仍偷卖野生动物</t>
  </si>
  <si>
    <t>['广州', '仍', '偷', '卖', '野生', '生动', '动物', '野生动物']</t>
  </si>
  <si>
    <t>央企捐款17亿元</t>
  </si>
  <si>
    <t>['央企', '捐款', '17', '亿元']</t>
  </si>
  <si>
    <t>高福回应论文争议</t>
  </si>
  <si>
    <t>['高福', '回应', '论文', '争议']</t>
  </si>
  <si>
    <t>痊愈者有再感染风险</t>
  </si>
  <si>
    <t>['痊愈', '者', '有', '再', '感染', '风险']</t>
  </si>
  <si>
    <t>病毒12月或已人传人</t>
  </si>
  <si>
    <t>['病毒', '12', '月', '或', '已', '人', '传人']</t>
  </si>
  <si>
    <t>瞒武汉史致村医感染</t>
  </si>
  <si>
    <t>['瞒', '武汉', '史致', '村医', '感染']</t>
  </si>
  <si>
    <t>武汉61名医护疑感染</t>
  </si>
  <si>
    <t>['武汉', '61', '名', '医护', '疑', '感染']</t>
  </si>
  <si>
    <t>吴佩慈四胎生女</t>
  </si>
  <si>
    <t>['吴佩慈', '四', '胎生', '女']</t>
  </si>
  <si>
    <t>武汉协和医院辟谣</t>
  </si>
  <si>
    <t>['武汉', '协和', '医院', '武汉协和医院', '辟谣']</t>
  </si>
  <si>
    <t>京企业2月10日上班</t>
  </si>
  <si>
    <t>['京', '企业', '2', '月', '10', '日', '上班']</t>
  </si>
  <si>
    <t>南阳发布最严限令</t>
  </si>
  <si>
    <t>['南阳', '发布', '最严', '限令']</t>
  </si>
  <si>
    <t>广东呼吁房东免租</t>
  </si>
  <si>
    <t>['广东', '呼吁', '房东', '免租']</t>
  </si>
  <si>
    <t>医生抗疫不力被开除</t>
  </si>
  <si>
    <t>['医生', '抗疫', '不力', '被', '开除']</t>
  </si>
  <si>
    <t>江西13名医护确诊</t>
  </si>
  <si>
    <t>['江西', '13', '名', '医护', '确诊']</t>
  </si>
  <si>
    <t>8.24亿捐款使用情况</t>
  </si>
  <si>
    <t>['8.24', '亿', '捐款', '使用', '情况']</t>
  </si>
  <si>
    <t>甄子丹新片将网播</t>
  </si>
  <si>
    <t>['甄子丹', '新片', '将', '网播']</t>
  </si>
  <si>
    <t>曝科比父母近况</t>
  </si>
  <si>
    <t>['曝', '科比', '父母', '近况']</t>
  </si>
  <si>
    <t>矢野浩二捐赠口罩</t>
  </si>
  <si>
    <t>['矢野浩二', '捐赠', '口罩']</t>
  </si>
  <si>
    <t>航班现两名发热乘客</t>
  </si>
  <si>
    <t>['航班', '现', '两名', '发热', '乘客']</t>
  </si>
  <si>
    <t>超模Kaia被曝怀孕</t>
  </si>
  <si>
    <t>['超模', 'Kaia', '被', '曝', '怀孕']</t>
  </si>
  <si>
    <t>美国确诊人传人病例</t>
  </si>
  <si>
    <t>['美国', '确诊', '人', '传人', '病例']</t>
  </si>
  <si>
    <t>寻找南宁八名乘客</t>
  </si>
  <si>
    <t>['寻找', '南宁', '八名', '乘客']</t>
  </si>
  <si>
    <t>钟南山会见美国教授</t>
  </si>
  <si>
    <t>['南山', '钟南山', '会见', '美国', '教授']</t>
  </si>
  <si>
    <t>黄冈被免官员回应</t>
  </si>
  <si>
    <t>['黄冈', '被免', '官员', '回应']</t>
  </si>
  <si>
    <t>2020/02/01</t>
  </si>
  <si>
    <t>双黄连口服液脱销</t>
  </si>
  <si>
    <t>['双黄', '黄连', '双黄连', '口服', '口服液', '脱销']</t>
  </si>
  <si>
    <t>美宣布进入紧急状态</t>
  </si>
  <si>
    <t>['美', '宣布', '进入', '紧急', '状态', '紧急状态']</t>
  </si>
  <si>
    <t>曝双黄连可抑制病毒</t>
  </si>
  <si>
    <t>['曝', '双黄', '黄连', '双黄连', '抑制', '可抑制', '病毒']</t>
  </si>
  <si>
    <t>22岁感染科护士的手</t>
  </si>
  <si>
    <t>['22', '岁', '感染', '科', '护士', '的', '手']</t>
  </si>
  <si>
    <t>民警为防控牺牲</t>
  </si>
  <si>
    <t>['民警', '为', '防控', '牺牲']</t>
  </si>
  <si>
    <t>武汉红会保安拦记者</t>
  </si>
  <si>
    <t>['武汉', '红会', '保安', '拦', '记者']</t>
  </si>
  <si>
    <t>湖南邵阳禽流感疫情</t>
  </si>
  <si>
    <t>['湖南', '邵阳', '流感', '禽流感', '疫情']</t>
  </si>
  <si>
    <t>日本物资上的8个字</t>
  </si>
  <si>
    <t>['日本', '物资', '上', '的', '8', '个', '字']</t>
  </si>
  <si>
    <t>20名患者集体出院</t>
  </si>
  <si>
    <t>['20', '名', '患者', '集体', '出院']</t>
  </si>
  <si>
    <t>江西一患者传染15人</t>
  </si>
  <si>
    <t>['江西', '一', '患者', '传染', '15', '人']</t>
  </si>
  <si>
    <t>藿香正气成推荐药</t>
  </si>
  <si>
    <t>['藿香', '正气', '成', '推荐', '药']</t>
  </si>
  <si>
    <t>英国正式脱欧</t>
  </si>
  <si>
    <t>['英国', '正式', '脱欧']</t>
  </si>
  <si>
    <t>湖人主场致敬科比</t>
  </si>
  <si>
    <t>['湖人', '主场', '致敬', '科比']</t>
  </si>
  <si>
    <t>钟南山给返岗者提示</t>
  </si>
  <si>
    <t>['南山', '钟南山', '给', '返岗', '者', '提示']</t>
  </si>
  <si>
    <t>苹果关闭大陆零售店</t>
  </si>
  <si>
    <t>['苹果', '关闭', '大陆', '零售', '零售店']</t>
  </si>
  <si>
    <t>瑞幸咖啡遭做空大跌</t>
  </si>
  <si>
    <t>['瑞幸', '咖啡', '遭', '做', '空', '大跌']</t>
  </si>
  <si>
    <t>温州25条紧急措施</t>
  </si>
  <si>
    <t>['温州', '25', '条', '紧急', '措施', '紧急措施']</t>
  </si>
  <si>
    <t>疫情蔓延至欧洲五国</t>
  </si>
  <si>
    <t>['疫情', '蔓延', '至', '欧洲', '五国']</t>
  </si>
  <si>
    <t>湖北红会将追责</t>
  </si>
  <si>
    <t>['湖北', '红会', '将', '追责']</t>
  </si>
  <si>
    <t>丁宁战胜伊藤美诚</t>
  </si>
  <si>
    <t>['丁宁', '战胜', '伊藤美诚']</t>
  </si>
  <si>
    <t>四川急寻同列车乘客</t>
  </si>
  <si>
    <t>['四川', '急', '寻同', '列车', '乘客']</t>
  </si>
  <si>
    <t>韩红基金会暂停受捐</t>
  </si>
  <si>
    <t>['韩红', '基金', '基金会', '暂停', '受捐']</t>
  </si>
  <si>
    <t>意进入国家紧急状态</t>
  </si>
  <si>
    <t>['意', '进入', '国家', '紧急', '状态', '紧急状态']</t>
  </si>
  <si>
    <t>确诊数超两百的城市</t>
  </si>
  <si>
    <t>['确诊', '数超', '两百', '的', '城市']</t>
  </si>
  <si>
    <t>解读疫情被定PHEIC</t>
  </si>
  <si>
    <t>['解读', '疫情', '被定', 'PHEIC']</t>
  </si>
  <si>
    <t>海泉悼念兄弟引误解</t>
  </si>
  <si>
    <t>['海泉', '悼念', '兄弟', '引', '误解']</t>
  </si>
  <si>
    <t>脑瘫儿死亡镇长免职</t>
  </si>
  <si>
    <t>['脑瘫', '儿', '死亡', '镇长', '免职']</t>
  </si>
  <si>
    <t>疫情防控人员遭抢劫</t>
  </si>
  <si>
    <t>['疫情', '防控', '人员', '遭', '抢劫']</t>
  </si>
  <si>
    <t>药物所回应双黄连</t>
  </si>
  <si>
    <t>['药物', '所', '回应', '双黄', '黄连', '双黄连']</t>
  </si>
  <si>
    <t>巩俐为新冠病毒作画</t>
  </si>
  <si>
    <t>['巩俐', '为', '新冠', '病毒', '作画']</t>
  </si>
  <si>
    <t>宋慧乔声援武汉</t>
  </si>
  <si>
    <t>['宋慧乔', '声援', '武汉']</t>
  </si>
  <si>
    <t>3亿只鸡将断粮</t>
  </si>
  <si>
    <t>['3', '亿只', '鸡', '将', '断粮']</t>
  </si>
  <si>
    <t>人民日报谈双黄连</t>
  </si>
  <si>
    <t>['人民', '日报', '人民日报', '谈', '双黄', '黄连', '双黄连']</t>
  </si>
  <si>
    <t>新冠自测系统上线</t>
  </si>
  <si>
    <t>['新冠', '自测', '系统', '上线']</t>
  </si>
  <si>
    <t>火神山医院通电</t>
  </si>
  <si>
    <t>['火神', '山', '医院', '通电']</t>
  </si>
  <si>
    <t>2020/02/02</t>
  </si>
  <si>
    <t>官方回应男子提口罩</t>
  </si>
  <si>
    <t>['官方', '回应', '男子', '提', '口罩']</t>
  </si>
  <si>
    <t>患者遗体应就近火化</t>
  </si>
  <si>
    <t>['患者', '遗体', '应', '就近', '火化']</t>
  </si>
  <si>
    <t>男子确诊前参加年会</t>
  </si>
  <si>
    <t>['男子', '确诊', '前', '参加', '年会']</t>
  </si>
  <si>
    <t>医用口罩信息可查询</t>
  </si>
  <si>
    <t>['医用', '口罩', '信息', '可', '查询']</t>
  </si>
  <si>
    <t>特效药将启动临床</t>
  </si>
  <si>
    <t>['特效', '特效药', '将', '启动', '临床']</t>
  </si>
  <si>
    <t>媒体五问湖北红会</t>
  </si>
  <si>
    <t>['媒体', '五问', '湖北', '红会']</t>
  </si>
  <si>
    <t>公司开工遭检举</t>
  </si>
  <si>
    <t>['公司', '开工', '遭', '检举']</t>
  </si>
  <si>
    <t>不发热不咳嗽传6人</t>
  </si>
  <si>
    <t>['不', '发热', '不', '咳嗽', '传', '6', '人']</t>
  </si>
  <si>
    <t>1名患者感染10人</t>
  </si>
  <si>
    <t>['1', '名', '患者', '感染', '10', '人']</t>
  </si>
  <si>
    <t>各地复工复课时间表</t>
  </si>
  <si>
    <t>['各地', '复工', '复课', '时间', '时间表']</t>
  </si>
  <si>
    <t>8架运输机抵达武汉</t>
  </si>
  <si>
    <t>['8', '架', '运输', '运输机', '抵达', '武汉']</t>
  </si>
  <si>
    <t>李兰娟率队抵达武汉</t>
  </si>
  <si>
    <t>['李兰娟', '率队', '抵达', '武汉']</t>
  </si>
  <si>
    <t>深圳现社区传播病例</t>
  </si>
  <si>
    <t>['深圳', '现', '社区', '传播', '病例']</t>
  </si>
  <si>
    <t>钟南山回应粪口传播</t>
  </si>
  <si>
    <t>['南山', '钟南山', '回应', '粪口', '传播']</t>
  </si>
  <si>
    <t>央行将投放1.2万亿</t>
  </si>
  <si>
    <t>['央行', '将', '投放', '1.2', '万亿']</t>
  </si>
  <si>
    <t>湖北战时奖励机制</t>
  </si>
  <si>
    <t>['湖北', '战时', '奖励', '机制']</t>
  </si>
  <si>
    <t>朝鲜对华资金支援</t>
  </si>
  <si>
    <t>['朝鲜', '对华', '资金', '支援']</t>
  </si>
  <si>
    <t>钟南山谈确诊数趋势</t>
  </si>
  <si>
    <t>['南山', '钟南山', '谈', '确诊', '数', '趋势']</t>
  </si>
  <si>
    <t>潜伏期病人陆续发病</t>
  </si>
  <si>
    <t>['潜伏', '潜伏期', '病人', '陆续', '发病']</t>
  </si>
  <si>
    <t>一场突然停止的采访</t>
  </si>
  <si>
    <t>['一场', '突然', '停止', '的', '采访']</t>
  </si>
  <si>
    <t>韩红再公布捐款名单</t>
  </si>
  <si>
    <t>['韩红', '再', '公布', '捐款', '名单']</t>
  </si>
  <si>
    <t>武汉红会改捐赠流程</t>
  </si>
  <si>
    <t>['武汉', '红会', '改', '捐赠', '流程']</t>
  </si>
  <si>
    <t>红会总会赴武汉</t>
  </si>
  <si>
    <t>['红会', '总会', '赴', '武汉']</t>
  </si>
  <si>
    <t>湖北假期延至13日</t>
  </si>
  <si>
    <t>['湖北', '假期', '延至', '13', '日']</t>
  </si>
  <si>
    <t>黄皓吐槽萧亚轩</t>
  </si>
  <si>
    <t>['黄皓吐槽', '萧亚轩']</t>
  </si>
  <si>
    <t>公路免收通行费延长</t>
  </si>
  <si>
    <t>['公路', '免收', '通行', '通行费', '延长']</t>
  </si>
  <si>
    <t>两阴后变阳病例</t>
  </si>
  <si>
    <t>['两阴后', '变阳', '病例']</t>
  </si>
  <si>
    <t>火神山将完工交付</t>
  </si>
  <si>
    <t>['火神', '山', '将', '完工', '交付']</t>
  </si>
  <si>
    <t>奖励被训诫医生10万</t>
  </si>
  <si>
    <t>['奖励', '被', '训诫', '医生', '10', '万']</t>
  </si>
  <si>
    <t>买家归还科比球衣</t>
  </si>
  <si>
    <t>['买家', '归还', '科比', '球衣']</t>
  </si>
  <si>
    <t>探访火神山医院病房</t>
  </si>
  <si>
    <t>['探访', '火神', '山', '医院', '病房']</t>
  </si>
  <si>
    <t>儿童要佩戴专用口罩</t>
  </si>
  <si>
    <t>['儿童', '要', '佩戴', '专用', '口罩']</t>
  </si>
  <si>
    <t>疫情蔓延至欧洲八国</t>
  </si>
  <si>
    <t>['疫情', '蔓延', '至', '欧洲', '八', '国']</t>
  </si>
  <si>
    <t>渝暂不执行交通管制</t>
  </si>
  <si>
    <t>['渝', '暂', '不', '执行', '交通', '管制', '交通管制']</t>
  </si>
  <si>
    <t>官方回应卖捐赠口罩</t>
  </si>
  <si>
    <t>['官方', '回应', '卖', '捐赠', '口罩']</t>
  </si>
  <si>
    <t>欧盟对华运送物资</t>
  </si>
  <si>
    <t>['欧盟', '对华', '运送', '物资']</t>
  </si>
  <si>
    <t>人民日报发特别提醒</t>
  </si>
  <si>
    <t>['人民', '日报', '人民日报', '发', '特别', '提醒']</t>
  </si>
  <si>
    <t>采访钟南山者被吐槽</t>
  </si>
  <si>
    <t>['采访', '南山', '钟南山', '者', '被', '吐', '槽']</t>
  </si>
  <si>
    <t>詹姆斯三双湖人大胜</t>
  </si>
  <si>
    <t>['詹姆斯', '三', '双湖', '人', '大胜']</t>
  </si>
  <si>
    <t>火神山医院交付部队</t>
  </si>
  <si>
    <t>['火神', '山', '医院', '交付', '部队']</t>
  </si>
  <si>
    <t>拒绝隔离将强制执行</t>
  </si>
  <si>
    <t>['拒绝', '隔离', '将', '强制', '执行', '强制执行']</t>
  </si>
  <si>
    <t>2020/02/03</t>
  </si>
  <si>
    <t>成都发生5.1级地震</t>
  </si>
  <si>
    <t>['成都', '发生', '5.1', '级', '地震']</t>
  </si>
  <si>
    <t>湖北确诊病例破万</t>
  </si>
  <si>
    <t>['湖北', '确诊', '病例', '破万']</t>
  </si>
  <si>
    <t>民企接管红会物资</t>
  </si>
  <si>
    <t>['民企', '接管', '红会', '物资']</t>
  </si>
  <si>
    <t>钟南山再谈疫情防控</t>
  </si>
  <si>
    <t>['南山', '钟南山', '再谈', '疫情', '防控']</t>
  </si>
  <si>
    <t>火神山医院开始接诊</t>
  </si>
  <si>
    <t>['火神', '山', '医院', '开始', '接诊']</t>
  </si>
  <si>
    <t>伦敦发生恐袭事件</t>
  </si>
  <si>
    <t>['伦敦', '发生', '恐袭', '事件']</t>
  </si>
  <si>
    <t>四川南充发生凶案</t>
  </si>
  <si>
    <t>['四川', '南充', '发生', '凶案']</t>
  </si>
  <si>
    <t>钟南山谈疫情死亡率</t>
  </si>
  <si>
    <t>['南山', '钟南山', '谈', '疫情', '死亡', '死亡率']</t>
  </si>
  <si>
    <t>Selina在机场泪崩</t>
  </si>
  <si>
    <t>['Selina', '在', '机场', '泪崩']</t>
  </si>
  <si>
    <t>官方回应杨曼曼事件</t>
  </si>
  <si>
    <t>['官方', '回应', '杨曼曼', '事件']</t>
  </si>
  <si>
    <t>成都震中多处房损坏</t>
  </si>
  <si>
    <t>['成都', '震中', '多处', '房', '损坏']</t>
  </si>
  <si>
    <t>科比尸检报告被曝</t>
  </si>
  <si>
    <t>['科比', '尸检', '报告', '被', '曝']</t>
  </si>
  <si>
    <t>海南多起聚集性疫情</t>
  </si>
  <si>
    <t>['海南', '多', '起', '聚集', '性', '疫情']</t>
  </si>
  <si>
    <t>一次性口罩不可水煮</t>
  </si>
  <si>
    <t>['一次', '一次性', '口罩', '不可', '水煮']</t>
  </si>
  <si>
    <t>上海7月婴儿被感染</t>
  </si>
  <si>
    <t>['上海', '7', '月', '婴儿', '被', '感染']</t>
  </si>
  <si>
    <t>曝尹正蒋梦婕恋情</t>
  </si>
  <si>
    <t>['曝尹', '正', '蒋梦婕', '恋情']</t>
  </si>
  <si>
    <t>李兰娟谈复工复学</t>
  </si>
  <si>
    <t>['李兰娟', '谈', '复工', '复学']</t>
  </si>
  <si>
    <t>门把手测出病毒核酸</t>
  </si>
  <si>
    <t>['把手', '门把手', '测出', '病毒', '核酸']</t>
  </si>
  <si>
    <t>北京41起聚集性病例</t>
  </si>
  <si>
    <t>['北京', '41', '起', '聚集', '性', '病例']</t>
  </si>
  <si>
    <t>房贷信用卡延期还</t>
  </si>
  <si>
    <t>['房贷', '信用', '信用卡', '延期', '还']</t>
  </si>
  <si>
    <t>李兰娟回应疫苗进展</t>
  </si>
  <si>
    <t>['李兰娟', '回应', '疫苗', '进展']</t>
  </si>
  <si>
    <t>盛骏宣布已结婚生子</t>
  </si>
  <si>
    <t>['盛骏', '宣布', '已', '结婚', '生子']</t>
  </si>
  <si>
    <t>一次聚会25人感染</t>
  </si>
  <si>
    <t>['一次', '聚会', '25', '人', '感染']</t>
  </si>
  <si>
    <t>多国政要声援中国</t>
  </si>
  <si>
    <t>['多', '国政', '要', '声援', '中国']</t>
  </si>
  <si>
    <t>宝石gem经纪人回应</t>
  </si>
  <si>
    <t>['宝石', 'gem', '经纪', '经纪人', '回应']</t>
  </si>
  <si>
    <t>北京出台19项措施</t>
  </si>
  <si>
    <t>['北京', '出台', '19', '项', '措施']</t>
  </si>
  <si>
    <t>新冠病毒可存活5天</t>
  </si>
  <si>
    <t>['新冠', '病毒', '可', '存活', '5', '天']</t>
  </si>
  <si>
    <t>拍照泄露防控信息</t>
  </si>
  <si>
    <t>['拍照', '泄露', '防控', '信息']</t>
  </si>
  <si>
    <t>70岁刘松仁被曝中风</t>
  </si>
  <si>
    <t>['70', '岁', '松仁', '刘松仁', '被', '曝', '中风']</t>
  </si>
  <si>
    <t>朴槿惠迎69岁生日</t>
  </si>
  <si>
    <t>['朴槿惠迎', '69', '岁', '生日']</t>
  </si>
  <si>
    <t>北京疫情排查新规</t>
  </si>
  <si>
    <t>['北京', '疫情', '排查', '新规']</t>
  </si>
  <si>
    <t>湖北14城交通管制</t>
  </si>
  <si>
    <t>['湖北', '14', '城', '交通', '管制', '交通管制']</t>
  </si>
  <si>
    <t>郑容和演唱会不取消</t>
  </si>
  <si>
    <t>['郑容', '和', '演唱', '演唱会', '不', '取消']</t>
  </si>
  <si>
    <t>杨威一家留守武汉</t>
  </si>
  <si>
    <t>['杨威', '一家', '留守', '武汉']</t>
  </si>
  <si>
    <t>上海出台减负政策</t>
  </si>
  <si>
    <t>['上海', '出台', '减负', '政策']</t>
  </si>
  <si>
    <t>中国领馆现可疑箱子</t>
  </si>
  <si>
    <t>['中国', '领馆', '现', '可疑', '箱子']</t>
  </si>
  <si>
    <t>美方未提供实质帮助</t>
  </si>
  <si>
    <t>['美方', '未', '提供', '实质', '帮助']</t>
  </si>
  <si>
    <t>接收快递要做好防护</t>
  </si>
  <si>
    <t>['接收', '快递', '要', '做好', '防护']</t>
  </si>
  <si>
    <t>4天掩埋14万只鸡苗</t>
  </si>
  <si>
    <t>['4', '天', '掩埋', '14', '万', '只', '鸡苗']</t>
  </si>
  <si>
    <t>山东60起聚集性疫情</t>
  </si>
  <si>
    <t>['山东', '60', '起', '聚集', '性', '疫情']</t>
  </si>
  <si>
    <t>2020/02/04</t>
  </si>
  <si>
    <t>钟南山释疑疫情防控</t>
  </si>
  <si>
    <t>['南山', '钟南山', '释疑', '疫情', '防控']</t>
  </si>
  <si>
    <t>河南严查隐瞒疫情</t>
  </si>
  <si>
    <t>['河南', '严查', '隐瞒', '疫情']</t>
  </si>
  <si>
    <t>河北管控居民出行</t>
  </si>
  <si>
    <t>['河北', '管控', '居民', '出行']</t>
  </si>
  <si>
    <t>宜宾珙县3.9级地震</t>
  </si>
  <si>
    <t>['宜宾', '珙县', '3.9', '级', '地震']</t>
  </si>
  <si>
    <t>副镇长聚会被感染</t>
  </si>
  <si>
    <t>['镇长', '副镇长', '聚会', '被', '感染']</t>
  </si>
  <si>
    <t>7省现无症状感染者</t>
  </si>
  <si>
    <t>['7', '省现', '症状', '无症状', '感染', '感染者']</t>
  </si>
  <si>
    <t>科比遗体已移交家属</t>
  </si>
  <si>
    <t>['科比', '遗体', '已', '移交', '家属']</t>
  </si>
  <si>
    <t>疫情拐点或将出现</t>
  </si>
  <si>
    <t>['疫情', '拐点', '或', '将', '出现']</t>
  </si>
  <si>
    <t>宝石gem回应侵权</t>
  </si>
  <si>
    <t>['宝石', 'gem', '回应', '侵权']</t>
  </si>
  <si>
    <t>合肥肥东2.9级地震</t>
  </si>
  <si>
    <t>['合肥', '肥东', '2.9', '级', '地震']</t>
  </si>
  <si>
    <t>确诊出租司机载百人</t>
  </si>
  <si>
    <t>['确诊', '出租', '司机', '百人', '载百人']</t>
  </si>
  <si>
    <t>太原爱尔眼科发声明</t>
  </si>
  <si>
    <t>['太原', '爱尔', '眼科', '发声', '声明', '发声明']</t>
  </si>
  <si>
    <t>2亿人在家开工</t>
  </si>
  <si>
    <t>['2', '亿人', '在家', '开工']</t>
  </si>
  <si>
    <t>武汉病毒所谈阴谋论</t>
  </si>
  <si>
    <t>['武汉', '病毒', '所谈', '阴谋', '阴谋论']</t>
  </si>
  <si>
    <t>央行再投5000亿</t>
  </si>
  <si>
    <t>['央行', '再', '投', '5000', '亿']</t>
  </si>
  <si>
    <t>提前复工负责人被拘</t>
  </si>
  <si>
    <t>['提前', '复工', '负责', '责人', '负责人', '被', '拘']</t>
  </si>
  <si>
    <t>李兰娟发布重大成果</t>
  </si>
  <si>
    <t>['李兰娟', '发布', '重大', '大成', '成果', '重大成果']</t>
  </si>
  <si>
    <t>金银潭医院院长记功</t>
  </si>
  <si>
    <t>['金银', '潭', '医院', '院长', '医院院长', '记功']</t>
  </si>
  <si>
    <t>武汉2例危重者治愈</t>
  </si>
  <si>
    <t>['武汉', '2', '例', '危重', '者', '治愈']</t>
  </si>
  <si>
    <t>钟南山捐百台制氧机</t>
  </si>
  <si>
    <t>['南山', '钟南山', '捐', '百台', '制氧机']</t>
  </si>
  <si>
    <t>核实1人奖30个口罩</t>
  </si>
  <si>
    <t>['核实', '1', '人奖', '30', '个', '口罩']</t>
  </si>
  <si>
    <t>武汉全市大消杀</t>
  </si>
  <si>
    <t>['武汉', '全市', '大消', '杀']</t>
  </si>
  <si>
    <t>老人隐瞒接触百余人</t>
  </si>
  <si>
    <t>['老人', '隐瞒', '接触', '百余', '百余人']</t>
  </si>
  <si>
    <t>全国累计确诊破两万</t>
  </si>
  <si>
    <t>['全国', '累计', '确诊', '破', '两万']</t>
  </si>
  <si>
    <t>海南现3个月感染者</t>
  </si>
  <si>
    <t>['海南', '现', '3', '个', '月', '感染', '感染者']</t>
  </si>
  <si>
    <t>老夫妻ICU牵手告别</t>
  </si>
  <si>
    <t>['老夫', '夫妻', '老夫妻', 'ICU', '牵手', '告别']</t>
  </si>
  <si>
    <t>韩红回京被偶遇</t>
  </si>
  <si>
    <t>['韩红', '回京', '被', '偶遇']</t>
  </si>
  <si>
    <t>杭州实施封闭式管理</t>
  </si>
  <si>
    <t>['杭州', '实施', '封闭', '闭式', '封闭式', '管理']</t>
  </si>
  <si>
    <t>沈阳一病例多次聚餐</t>
  </si>
  <si>
    <t>['沈阳', '一', '病例', '多次', '聚餐']</t>
  </si>
  <si>
    <t>义乌火车站像开会</t>
  </si>
  <si>
    <t>['义乌', '火车', '车站', '火车站', '像', '开会']</t>
  </si>
  <si>
    <t>治愈患者无传染性</t>
  </si>
  <si>
    <t>['治愈', '患者', '无', '传染', '传染性']</t>
  </si>
  <si>
    <t>北京致信全市人民</t>
  </si>
  <si>
    <t>['北京', '致信', '全市', '人民']</t>
  </si>
  <si>
    <t>单位食堂吃饭像考试</t>
  </si>
  <si>
    <t>['单位', '食堂', '吃饭', '像', '考试']</t>
  </si>
  <si>
    <t>花莲县海域发生地震</t>
  </si>
  <si>
    <t>['花莲', '花莲县', '海域', '发生', '地震']</t>
  </si>
  <si>
    <t>2020/02/05</t>
  </si>
  <si>
    <t>吃了顿烧烤后确诊</t>
  </si>
  <si>
    <t>['吃', '了', '顿', '烧烤', '后', '确诊']</t>
  </si>
  <si>
    <t>197万假口罩入湖南</t>
  </si>
  <si>
    <t>['197', '万假', '口罩', '入', '湖南']</t>
  </si>
  <si>
    <t>武汉多栋发热门栋</t>
  </si>
  <si>
    <t>['武汉', '多栋', '发热', '门栋']</t>
  </si>
  <si>
    <t>日本邮轮现聚集感染</t>
  </si>
  <si>
    <t>['日本', '邮轮', '现', '聚集', '感染']</t>
  </si>
  <si>
    <t>火神山纳入医保定点</t>
  </si>
  <si>
    <t>['火神', '山', '纳入', '医保', '定点']</t>
  </si>
  <si>
    <t>深圳确诊病例被立案</t>
  </si>
  <si>
    <t>['深圳', '确诊', '病例', '被', '立案']</t>
  </si>
  <si>
    <t>火神山入住患者自述</t>
  </si>
  <si>
    <t>['火神', '山', '入住', '患者', '自述']</t>
  </si>
  <si>
    <t>南京门诊部全面停诊</t>
  </si>
  <si>
    <t>['南京', '门诊', '门诊部', '全面', '停诊']</t>
  </si>
  <si>
    <t>鄂州病死率超武汉</t>
  </si>
  <si>
    <t>['鄂州', '病死', '病死率', '超', '武汉']</t>
  </si>
  <si>
    <t>病毒对紫外线敏感</t>
  </si>
  <si>
    <t>['病毒', '对', '紫外', '外线', '紫外线', '敏感']</t>
  </si>
  <si>
    <t>2020年中央一号文件</t>
  </si>
  <si>
    <t>['2020', '年', '中央', '一号', '文件']</t>
  </si>
  <si>
    <t>李兰娟每天睡3小时</t>
  </si>
  <si>
    <t>['李兰娟', '每天', '睡', '3', '小时']</t>
  </si>
  <si>
    <t>俄罗斯军机飞抵武汉</t>
  </si>
  <si>
    <t>['罗斯', '俄罗斯', '军机', '飞抵', '武汉']</t>
  </si>
  <si>
    <t>武汉病毒所重要进展</t>
  </si>
  <si>
    <t>['武汉', '病毒', '所', '重要', '进展']</t>
  </si>
  <si>
    <t>护士因丢口罩大哭</t>
  </si>
  <si>
    <t>['护士', '因', '丢', '口罩', '大哭']</t>
  </si>
  <si>
    <t>中方婉拒洪森访武汉</t>
  </si>
  <si>
    <t>['中方', '婉拒', '洪森', '访', '武汉']</t>
  </si>
  <si>
    <t>成龙捐款引争议</t>
  </si>
  <si>
    <t>['成龙', '捐款', '引', '争议']</t>
  </si>
  <si>
    <t>天津死亡病例病情</t>
  </si>
  <si>
    <t>['天津', '死亡', '病例', '病情']</t>
  </si>
  <si>
    <t>口水抹电梯键被刑拘</t>
  </si>
  <si>
    <t>['口水', '抹', '电梯', '键', '被', '刑拘']</t>
  </si>
  <si>
    <t>卫健委回应疫情高峰</t>
  </si>
  <si>
    <t>['卫健委', '回应', '疫情', '高峰']</t>
  </si>
  <si>
    <t>李雨桐公开恋情</t>
  </si>
  <si>
    <t>['李雨桐', '公开', '恋情']</t>
  </si>
  <si>
    <t>浙江乐清宣布封城</t>
  </si>
  <si>
    <t>['浙江', '乐清', '宣布', '封城']</t>
  </si>
  <si>
    <t>新增疑似连续下降</t>
  </si>
  <si>
    <t>['新增', '疑似', '连续', '下降']</t>
  </si>
  <si>
    <t>10城市防疫压力最大</t>
  </si>
  <si>
    <t>['10', '城市', '防疫', '压力', '最大']</t>
  </si>
  <si>
    <t>确诊患者10天飞4地</t>
  </si>
  <si>
    <t>['确诊', '患者', '10', '天飞', '4', '地']</t>
  </si>
  <si>
    <t>人民日报批填表抗疫</t>
  </si>
  <si>
    <t>['人民', '日报', '人民日报', '批', '填表', '抗疫']</t>
  </si>
  <si>
    <t>男子致4千人被隔离</t>
  </si>
  <si>
    <t>['男子', '致', '4', '千人', '被', '隔离']</t>
  </si>
  <si>
    <t>各省延期开工时间表</t>
  </si>
  <si>
    <t>['各省', '延期', '开工', '时间', '时间表']</t>
  </si>
  <si>
    <t>刻意隐瞒致68人隔离</t>
  </si>
  <si>
    <t>['刻意', '隐瞒', '致', '68', '人', '隔离']</t>
  </si>
  <si>
    <t>阿宝近照被曝</t>
  </si>
  <si>
    <t>['阿宝', '近照', '被', '曝']</t>
  </si>
  <si>
    <t>5种药物可能有效</t>
  </si>
  <si>
    <t>['5', '种', '药物', '可能', '有效']</t>
  </si>
  <si>
    <t>潘粤明为儿子庆生</t>
  </si>
  <si>
    <t>['潘粤明', '为', '儿子', '庆生']</t>
  </si>
  <si>
    <t>值班大爷忘记关喇叭</t>
  </si>
  <si>
    <t>['值班', '大爷', '忘记', '关', '喇叭']</t>
  </si>
  <si>
    <t>特朗普发表国情咨文</t>
  </si>
  <si>
    <t>['特朗普', '发表', '国情', '咨文', '国情咨文']</t>
  </si>
  <si>
    <t>2020/02/06</t>
  </si>
  <si>
    <t>辽宁多城市最严禁令</t>
  </si>
  <si>
    <t>['辽宁', '多', '城市', '最', '严禁', '令']</t>
  </si>
  <si>
    <t>武汉集中隔离5425人</t>
  </si>
  <si>
    <t>['武汉', '集中', '隔离', '5425', '人']</t>
  </si>
  <si>
    <t>买菜未戴口罩被感染</t>
  </si>
  <si>
    <t>['买菜', '未戴', '口罩', '被', '感染']</t>
  </si>
  <si>
    <t>新型肺炎仍无特效药</t>
  </si>
  <si>
    <t>['新型', '肺炎', '仍', '无', '特效', '特效药']</t>
  </si>
  <si>
    <t>武汉剩120个床位</t>
  </si>
  <si>
    <t>['武汉', '剩', '120', '个', '床位']</t>
  </si>
  <si>
    <t>沙特爆发H5N8禽流感</t>
  </si>
  <si>
    <t>['沙特', '爆发', 'H5N8', '流感', '禽流感']</t>
  </si>
  <si>
    <t>美援助物资抵达武汉</t>
  </si>
  <si>
    <t>['美', '援助', '物资', '抵达', '武汉']</t>
  </si>
  <si>
    <t>广东发布二号口罩令</t>
  </si>
  <si>
    <t>['广东', '发布', '二号', '口罩', '令']</t>
  </si>
  <si>
    <t>元宵晚会取消观众</t>
  </si>
  <si>
    <t>['元宵', '晚会', '取消', '观众']</t>
  </si>
  <si>
    <t>百步亭发现确诊病例</t>
  </si>
  <si>
    <t>['百步', '百步亭', '发现', '确诊', '病例']</t>
  </si>
  <si>
    <t>大理征用口罩后续</t>
  </si>
  <si>
    <t>['大理', '征用', '口罩', '后续']</t>
  </si>
  <si>
    <t>新世界萍萍身份曝出</t>
  </si>
  <si>
    <t>['世界', '新世界', '萍萍', '身份', '曝出']</t>
  </si>
  <si>
    <t>江苏延迟开学</t>
  </si>
  <si>
    <t>['江苏', '延迟', '开学']</t>
  </si>
  <si>
    <t>郑州复工时间</t>
  </si>
  <si>
    <t>['郑州', '复工', '时间']</t>
  </si>
  <si>
    <t>武汉两个硬任务</t>
  </si>
  <si>
    <t>['武汉', '两个', '任务', '硬任务']</t>
  </si>
  <si>
    <t>肺炎一号批量生产</t>
  </si>
  <si>
    <t>['肺炎', '一号', '批量', '生产', '批量生产']</t>
  </si>
  <si>
    <t>厦航空姐哽咽播报</t>
  </si>
  <si>
    <t>['厦航', '空姐', '哽咽', '播报']</t>
  </si>
  <si>
    <t>日首家企业撤出中国</t>
  </si>
  <si>
    <t>['日', '首家', '企业', '撤出', '中国']</t>
  </si>
  <si>
    <t>阿里发最严口罩禁令</t>
  </si>
  <si>
    <t>['阿里', '发', '最严', '口罩', '禁令']</t>
  </si>
  <si>
    <t>武汉疫情迎三大挑战</t>
  </si>
  <si>
    <t>['武汉', '疫情', '迎三大', '挑战']</t>
  </si>
  <si>
    <t>特朗普免遭弹劾</t>
  </si>
  <si>
    <t>['特朗普', '免遭', '弹劾']</t>
  </si>
  <si>
    <t>294人疫情诈骗被抓</t>
  </si>
  <si>
    <t>['294', '人', '疫情', '诈骗', '被', '抓']</t>
  </si>
  <si>
    <t>林忆莲恭硕良分手</t>
  </si>
  <si>
    <t>['林忆莲', '恭硕良', '分手']</t>
  </si>
  <si>
    <t>电脑模拟疫情趋势</t>
  </si>
  <si>
    <t>['电脑', '模拟', '疫情', '趋势']</t>
  </si>
  <si>
    <t>李娜捐赠300万</t>
  </si>
  <si>
    <t>['李娜', '捐赠', '300', '万']</t>
  </si>
  <si>
    <t>护士确诊11天自愈</t>
  </si>
  <si>
    <t>['护士', '确诊', '11', '天', '自愈']</t>
  </si>
  <si>
    <t>钟南山谈病毒特效药</t>
  </si>
  <si>
    <t>['南山', '钟南山', '谈', '病毒', '特效', '特效药']</t>
  </si>
  <si>
    <t>李文亮医生去世</t>
  </si>
  <si>
    <t>['李文亮', '医生', '去世']</t>
  </si>
  <si>
    <t>784例确诊病例详情</t>
  </si>
  <si>
    <t>['784', '例', '确诊', '病例', '详情']</t>
  </si>
  <si>
    <t>永州官员母子确诊</t>
  </si>
  <si>
    <t>['永州', '官员', '母子', '确诊']</t>
  </si>
  <si>
    <t>云南通报批评大理</t>
  </si>
  <si>
    <t>['云南', '通报', '报批', '批评', '通报批评', '大理']</t>
  </si>
  <si>
    <t>新增疑似病例连降</t>
  </si>
  <si>
    <t>['新增', '疑似', '病例', '疑似病例', '连降']</t>
  </si>
  <si>
    <t>肺炎预防凉茶处方</t>
  </si>
  <si>
    <t>['肺炎', '预防', '凉茶', '处方']</t>
  </si>
  <si>
    <t>宁波地铁暂停运营</t>
  </si>
  <si>
    <t>['宁波', '地铁', '暂停', '运营']</t>
  </si>
  <si>
    <t>撒贝宁给母校捐款</t>
  </si>
  <si>
    <t>['撒', '贝宁', '给', '母校', '捐款']</t>
  </si>
  <si>
    <t>深圳百万口罩将投放</t>
  </si>
  <si>
    <t>['深圳', '百万', '口罩', '将', '投放']</t>
  </si>
  <si>
    <t>90岁母亲陪护4天</t>
  </si>
  <si>
    <t>['90', '岁', '母亲', '陪护', '4', '天']</t>
  </si>
  <si>
    <t>黄明昊辟谣患肺炎</t>
  </si>
  <si>
    <t>['黄明昊', '辟谣', '患', '肺炎']</t>
  </si>
  <si>
    <t>夫妻没戴口罩确诊</t>
  </si>
  <si>
    <t>['夫妻', '没戴', '口罩', '确诊']</t>
  </si>
  <si>
    <t>12万人逆行进武汉</t>
  </si>
  <si>
    <t>['12', '万人', '逆行', '进', '武汉']</t>
  </si>
  <si>
    <t>2020/02/07</t>
  </si>
  <si>
    <t>偷办酒席20人被隔离</t>
  </si>
  <si>
    <t>['偷办', '酒席', '20', '人', '被', '隔离']</t>
  </si>
  <si>
    <t>新冠肺炎的30个真相</t>
  </si>
  <si>
    <t>['新冠', '肺炎', '的', '30', '个', '真相']</t>
  </si>
  <si>
    <t>副省长回应网络求助</t>
  </si>
  <si>
    <t>['省长', '副省长', '回应', '网络', '求助']</t>
  </si>
  <si>
    <t>央视评武汉万人聚餐</t>
  </si>
  <si>
    <t>['央视', '评', '武汉', '万人', '聚餐']</t>
  </si>
  <si>
    <t>一患者致973人隔离</t>
  </si>
  <si>
    <t>['一', '患者', '致', '973', '人', '隔离']</t>
  </si>
  <si>
    <t>疫情高发区暂不返京</t>
  </si>
  <si>
    <t>['疫情', '高发', '高发区', '暂', '不', '返京']</t>
  </si>
  <si>
    <t>市政府向李文亮致敬</t>
  </si>
  <si>
    <t>['市政', '政府', '市政府', '向', '李文亮', '致敬']</t>
  </si>
  <si>
    <t>医生解释15秒被感染</t>
  </si>
  <si>
    <t>['医生', '解释', '15', '秒', '被', '感染']</t>
  </si>
  <si>
    <t>排队买烤鸭被感染</t>
  </si>
  <si>
    <t>['排队', '买', '烤鸭', '被', '感染']</t>
  </si>
  <si>
    <t>抱娃拒测体温被免职</t>
  </si>
  <si>
    <t>['抱娃', '拒', '体温', '测体温', '被', '免职']</t>
  </si>
  <si>
    <t>上海45起聚集性疫情</t>
  </si>
  <si>
    <t>['上海', '45', '起', '聚集', '性', '疫情']</t>
  </si>
  <si>
    <t>穿山甲或为中间宿主</t>
  </si>
  <si>
    <t>['山甲', '穿山甲', '或', '为', '中间', '宿主']</t>
  </si>
  <si>
    <t>央行回应降息降准</t>
  </si>
  <si>
    <t>['央行', '回应', '降息', '降准']</t>
  </si>
  <si>
    <t>一省包一市支援湖北</t>
  </si>
  <si>
    <t>['一省', '包一市', '支援', '湖北']</t>
  </si>
  <si>
    <t>全面调查李文亮事件</t>
  </si>
  <si>
    <t>['全面', '调查', '李文亮', '事件']</t>
  </si>
  <si>
    <t>周杰捐献两万斤大米</t>
  </si>
  <si>
    <t>['周杰', '捐献', '两万', '万斤', '两万斤', '大米']</t>
  </si>
  <si>
    <t>转发涉密报告受处分</t>
  </si>
  <si>
    <t>['转发', '涉密', '报告', '受', '处分']</t>
  </si>
  <si>
    <t>雷神山用传递窗送药</t>
  </si>
  <si>
    <t>['雷', '神山', '用', '传递', '传递窗', '送药']</t>
  </si>
  <si>
    <t>疫情拐点还未到来</t>
  </si>
  <si>
    <t>['疫情', '拐点', '还', '未', '到来']</t>
  </si>
  <si>
    <t>广东2月底前不开学</t>
  </si>
  <si>
    <t>['广东', '2', '月底', '前', '不', '开学']</t>
  </si>
  <si>
    <t>李文亮被认定为工伤</t>
  </si>
  <si>
    <t>['李文亮', '被', '认定', '为', '工伤']</t>
  </si>
  <si>
    <t>一家三代6口人感染</t>
  </si>
  <si>
    <t>['一家', '三代', '6', '口人', '感染']</t>
  </si>
  <si>
    <t>武汉市民悼念李文亮</t>
  </si>
  <si>
    <t>['武汉', '武汉市', '民', '悼念', '李文亮']</t>
  </si>
  <si>
    <t>黑河市3.8级地震</t>
  </si>
  <si>
    <t>['黑河', '黑河市', '3.8', '级', '地震']</t>
  </si>
  <si>
    <t>科比追悼会安排敲定</t>
  </si>
  <si>
    <t>['科比', '追悼', '追悼会', '安排', '敲定']</t>
  </si>
  <si>
    <t>菲律宾6.1级地震</t>
  </si>
  <si>
    <t>['菲律宾', '6.1', '级', '地震']</t>
  </si>
  <si>
    <t>任天堂发文道歉</t>
  </si>
  <si>
    <t>['天堂', '任天堂', '发文', '道歉']</t>
  </si>
  <si>
    <t>孙宇晨巴菲特共进餐</t>
  </si>
  <si>
    <t>['孙宇晨', '巴菲', '菲特', '巴菲特', '共', '进餐']</t>
  </si>
  <si>
    <t>胡绍任雷神山院长</t>
  </si>
  <si>
    <t>['胡绍', '任雷', '神山', '院长']</t>
  </si>
  <si>
    <t>世卫谈感染数下降</t>
  </si>
  <si>
    <t>['世卫', '谈', '感染', '数', '下降']</t>
  </si>
  <si>
    <t>全国新增病例下降</t>
  </si>
  <si>
    <t>['全国', '新增', '病例', '下降']</t>
  </si>
  <si>
    <t>曝王思聪雨天约会</t>
  </si>
  <si>
    <t>['曝王', '思聪', '雨天', '约会']</t>
  </si>
  <si>
    <t>患者打麻将传染多人</t>
  </si>
  <si>
    <t>['患者', '麻将', '打麻将', '传染', '多人']</t>
  </si>
  <si>
    <t>富士康生产口罩</t>
  </si>
  <si>
    <t>['富士', '富士康', '生产', '口罩']</t>
  </si>
  <si>
    <t>世卫组织缅怀李文亮</t>
  </si>
  <si>
    <t>['世卫', '组织', '缅怀', '李文亮']</t>
  </si>
  <si>
    <t>2020/02/08</t>
  </si>
  <si>
    <t>成都小区封闭管理</t>
  </si>
  <si>
    <t>['成都', '小区', '封闭', '管理']</t>
  </si>
  <si>
    <t>新冠肺炎病死率下降</t>
  </si>
  <si>
    <t>['新冠', '肺炎', '病死', '病死率', '下降']</t>
  </si>
  <si>
    <t>京首发疑似病例数量</t>
  </si>
  <si>
    <t>['京', '首发', '疑似', '病例', '疑似病例', '数量']</t>
  </si>
  <si>
    <t>安徽现多例家庭感染</t>
  </si>
  <si>
    <t>['安徽', '现', '多例', '家庭', '感染']</t>
  </si>
  <si>
    <t>第三名吹哨人现身</t>
  </si>
  <si>
    <t>['第三', '三名', '第三名', '吹哨', '人', '现身']</t>
  </si>
  <si>
    <t>苹果被罚2500万欧元</t>
  </si>
  <si>
    <t>['苹果', '被', '罚', '2500', '万', '欧元']</t>
  </si>
  <si>
    <t>多省份再次推迟开学</t>
  </si>
  <si>
    <t>['多', '省份', '再次', '推迟', '开学']</t>
  </si>
  <si>
    <t>父母回忆李文亮</t>
  </si>
  <si>
    <t>['父母', '回忆', '李文亮']</t>
  </si>
  <si>
    <t>曝唐嫣生龙凤胎</t>
  </si>
  <si>
    <t>['曝唐', '嫣生', '龙凤', '龙凤胎']</t>
  </si>
  <si>
    <t>湖北疫情向农村蔓延</t>
  </si>
  <si>
    <t>['湖北', '疫情', '向', '农村', '蔓延']</t>
  </si>
  <si>
    <t>北京第2例死亡病例</t>
  </si>
  <si>
    <t>['北京', '第', '2', '例', '死亡', '病例']</t>
  </si>
  <si>
    <t>新冠肺炎气溶胶传播</t>
  </si>
  <si>
    <t>['新冠', '肺炎', '溶胶', '气溶胶', '传播']</t>
  </si>
  <si>
    <t>大量口罩近期上市</t>
  </si>
  <si>
    <t>['大量', '口罩', '近期', '上市']</t>
  </si>
  <si>
    <t>央视元宵晚会调整</t>
  </si>
  <si>
    <t>['央视', '元宵', '晚会', '调整']</t>
  </si>
  <si>
    <t>李文亮曾为雅安捐款</t>
  </si>
  <si>
    <t>['李文亮', '曾', '为', '雅安', '捐款']</t>
  </si>
  <si>
    <t>黔西村庄10人感染</t>
  </si>
  <si>
    <t>['黔西', '村庄', '10', '人', '感染']</t>
  </si>
  <si>
    <t>日本专家估算致死率</t>
  </si>
  <si>
    <t>['日本', '专家', '估算', '致死', '致死率']</t>
  </si>
  <si>
    <t>首套房贷利率连降</t>
  </si>
  <si>
    <t>['首套', '房贷', '利率', '房贷利率', '连降']</t>
  </si>
  <si>
    <t>陕西山体塌方</t>
  </si>
  <si>
    <t>['陕西', '山体', '塌方']</t>
  </si>
  <si>
    <t>延迟复工工资新政策</t>
  </si>
  <si>
    <t>['延迟', '复工', '工资', '新', '政策']</t>
  </si>
  <si>
    <t>隔离两周后确诊</t>
  </si>
  <si>
    <t>['隔离', '两周', '后', '确诊']</t>
  </si>
  <si>
    <t>央视元宵特别节目</t>
  </si>
  <si>
    <t>['央视', '元宵', '特别', '节目', '特别节目']</t>
  </si>
  <si>
    <t>元宵节晚会</t>
  </si>
  <si>
    <t>['元宵', '元宵节', '晚会']</t>
  </si>
  <si>
    <t>武汉将增5400个床位</t>
  </si>
  <si>
    <t>['武汉', '将', '增', '5400', '个', '床位']</t>
  </si>
  <si>
    <t>专家谈元宵节拐点</t>
  </si>
  <si>
    <t>['专家', '谈', '元宵', '元宵节', '拐点']</t>
  </si>
  <si>
    <t>科比坠机事故报告</t>
  </si>
  <si>
    <t>['科比', '坠机', '事故', '报告']</t>
  </si>
  <si>
    <t>肺炎1号方获批</t>
  </si>
  <si>
    <t>['肺炎', '1', '号方', '获批']</t>
  </si>
  <si>
    <t>武汉全力配合调查组</t>
  </si>
  <si>
    <t>['武汉', '全力', '配合', '调查', '调查组']</t>
  </si>
  <si>
    <t>监委调查组抵达武汉</t>
  </si>
  <si>
    <t>['监委', '调查', '调查组', '抵达', '武汉']</t>
  </si>
  <si>
    <t>信阳一医院院长确诊</t>
  </si>
  <si>
    <t>['信阳', '一', '医院', '院长', '医院院长', '确诊']</t>
  </si>
  <si>
    <t>安徽2月底前不开学</t>
  </si>
  <si>
    <t>['安徽', '2', '月底', '前', '不', '开学']</t>
  </si>
  <si>
    <t>新冠肺炎简称NCP</t>
  </si>
  <si>
    <t>['新冠', '肺炎', '简称', 'NCP']</t>
  </si>
  <si>
    <t>非湖北新增连降四日</t>
  </si>
  <si>
    <t>['非', '湖北', '新增', '连降', '四日']</t>
  </si>
  <si>
    <t>北京延迟恢复限行</t>
  </si>
  <si>
    <t>['北京', '延迟', '恢复', '限行']</t>
  </si>
  <si>
    <t>赵薇继子近照曝光</t>
  </si>
  <si>
    <t>['赵薇', '继子', '近', '曝光', '照曝光']</t>
  </si>
  <si>
    <t>雷神山建设全纪录</t>
  </si>
  <si>
    <t>['雷', '神山', '建设', '纪录', '全纪录']</t>
  </si>
  <si>
    <t>21个为华捐助国名单</t>
  </si>
  <si>
    <t>['21', '个', '为华', '捐助', '捐助国', '名单']</t>
  </si>
  <si>
    <t>2020/02/09</t>
  </si>
  <si>
    <t>北京一病例关联11人</t>
  </si>
  <si>
    <t>['北京', '一', '病例', '关联', '11', '人']</t>
  </si>
  <si>
    <t>晋江毒王家属发声</t>
  </si>
  <si>
    <t>['晋江', '毒', '王家', '属', '发声']</t>
  </si>
  <si>
    <t>西安一KFC店员确诊</t>
  </si>
  <si>
    <t>['西安', '一', 'KFC', '店员', '确诊']</t>
  </si>
  <si>
    <t>白宫要求查病毒起源</t>
  </si>
  <si>
    <t>['白宫', '要求', '查', '病毒', '起源']</t>
  </si>
  <si>
    <t>小汤圆首次核酸测试</t>
  </si>
  <si>
    <t>['小', '汤圆', '首次', '核酸', '测试']</t>
  </si>
  <si>
    <t>发烧患者逃离医院</t>
  </si>
  <si>
    <t>['发烧', '患者', '逃离', '医院']</t>
  </si>
  <si>
    <t>多地现假阴性病例</t>
  </si>
  <si>
    <t>['多地', '现假', '阴性', '病例']</t>
  </si>
  <si>
    <t>凤凰传奇只有玲花</t>
  </si>
  <si>
    <t>['凤凰', '传奇', '只有', '玲花']</t>
  </si>
  <si>
    <t>科比妻子晒小女儿</t>
  </si>
  <si>
    <t>['科比', '妻子', '晒', '小女', '女儿', '小女儿']</t>
  </si>
  <si>
    <t>谭松韵方发声明</t>
  </si>
  <si>
    <t>['谭松韵方', '发声', '声明', '发声明']</t>
  </si>
  <si>
    <t>武汉开露天马路市场</t>
  </si>
  <si>
    <t>['武汉', '开', '露天', '马路', '市场']</t>
  </si>
  <si>
    <t>副局长致44人隔离</t>
  </si>
  <si>
    <t>['局长', '副局长', '致', '44', '人', '隔离']</t>
  </si>
  <si>
    <t>武汉女子敲锣求助</t>
  </si>
  <si>
    <t>['武汉', '女子', '敲锣', '求助']</t>
  </si>
  <si>
    <t>吃感冒药致症状消失</t>
  </si>
  <si>
    <t>['吃', '感冒', '感冒药', '致', '症状', '消失']</t>
  </si>
  <si>
    <t>扔下50万转身就走</t>
  </si>
  <si>
    <t>['扔下', '50', '万', '转身', '就', '走']</t>
  </si>
  <si>
    <t>黄石通报逃兵干部</t>
  </si>
  <si>
    <t>['黄石', '通报', '逃兵', '干部']</t>
  </si>
  <si>
    <t>山东现首例死亡病例</t>
  </si>
  <si>
    <t>['山东', '现', '首例', '死亡', '病例']</t>
  </si>
  <si>
    <t>美国200人感染诺如</t>
  </si>
  <si>
    <t>['美国', '200', '人', '感染', '诺如']</t>
  </si>
  <si>
    <t>上海单位聚集性疫情</t>
  </si>
  <si>
    <t>['上海', '单位', '聚集', '性', '疫情']</t>
  </si>
  <si>
    <t>曾毅谈缺席元宵晚会</t>
  </si>
  <si>
    <t>['曾毅', '谈', '缺席', '元宵', '晚会']</t>
  </si>
  <si>
    <t>气溶胶传播防范措施</t>
  </si>
  <si>
    <t>['溶胶', '气溶胶', '传播', '防范', '措施', '防范措施']</t>
  </si>
  <si>
    <t>女患者串门感染7人</t>
  </si>
  <si>
    <t>['患者', '女患者', '串门', '感染', '7', '人']</t>
  </si>
  <si>
    <t>百名模特控诉维密</t>
  </si>
  <si>
    <t>['百名', '模特', '控诉', '维密']</t>
  </si>
  <si>
    <t>专家谈疫情二次扩散</t>
  </si>
  <si>
    <t>['专家', '谈', '疫情', '二次', '扩散']</t>
  </si>
  <si>
    <t>空无一人的观众席</t>
  </si>
  <si>
    <t>['空无一人', '的', '观众', '观众席']</t>
  </si>
  <si>
    <t>河南累计确诊超千例</t>
  </si>
  <si>
    <t>['河南', '累计', '确诊', '超', '千例']</t>
  </si>
  <si>
    <t>湖北正研究新型疫苗</t>
  </si>
  <si>
    <t>['湖北', '正', '研究', '新型', '疫苗']</t>
  </si>
  <si>
    <t>官方谈疑似患者检测</t>
  </si>
  <si>
    <t>['官方', '谈', '疑似', '患者', '检测']</t>
  </si>
  <si>
    <t>K歌之王或全员裁员</t>
  </si>
  <si>
    <t>['K歌之王', '或', '全员', '裁员']</t>
  </si>
  <si>
    <t>男同志菜场买菜翻车</t>
  </si>
  <si>
    <t>['同志', '男同志', '菜场', '买菜', '翻车']</t>
  </si>
  <si>
    <t>泰国枪击案</t>
  </si>
  <si>
    <t>['泰国', '枪击', '枪击案']</t>
  </si>
  <si>
    <t>医生谈买菜注意事项</t>
  </si>
  <si>
    <t>['医生', '谈', '买菜', '注意', '事项', '注意事项']</t>
  </si>
  <si>
    <t>2020/02/10</t>
  </si>
  <si>
    <t>鄂未收治患者将清零</t>
  </si>
  <si>
    <t>['鄂未', '收治', '患者', '将', '清零']</t>
  </si>
  <si>
    <t>京发布疫情防控通告</t>
  </si>
  <si>
    <t>['京', '发布', '疫情', '防控', '通告']</t>
  </si>
  <si>
    <t>第92届奥斯卡</t>
  </si>
  <si>
    <t>['第', '92', '届', '奥斯卡']</t>
  </si>
  <si>
    <t>24天潜伏期只是个例</t>
  </si>
  <si>
    <t>['24', '天', '潜伏', '潜伏期', '只是', '个例']</t>
  </si>
  <si>
    <t>网曝张子萱二胎产女</t>
  </si>
  <si>
    <t>['网', '曝', '张子', '萱', '二胎', '产女']</t>
  </si>
  <si>
    <t>中国女足提前出线</t>
  </si>
  <si>
    <t>['中国', '女足', '中国女足', '提前', '出线']</t>
  </si>
  <si>
    <t>13家快递恢复运营</t>
  </si>
  <si>
    <t>['13', '家', '快递', '恢复', '运营']</t>
  </si>
  <si>
    <t>四川发生一起禽流感</t>
  </si>
  <si>
    <t>['四川', '发生', '一起', '流感', '禽流感']</t>
  </si>
  <si>
    <t>河南一医院院长停职</t>
  </si>
  <si>
    <t>['河南', '一', '医院', '院长', '医院院长', '停职']</t>
  </si>
  <si>
    <t>呼市卫健委主任被免</t>
  </si>
  <si>
    <t>['呼市', '卫健委', '主任', '被免']</t>
  </si>
  <si>
    <t>大城市将面临大考</t>
  </si>
  <si>
    <t>['大城', '城市', '大城市', '将', '面临', '大考']</t>
  </si>
  <si>
    <t>上海加强劝返力度</t>
  </si>
  <si>
    <t>['上海', '加强', '劝返', '力度']</t>
  </si>
  <si>
    <t>北京地铁乘客增多</t>
  </si>
  <si>
    <t>['北京', '地铁', '北京地铁', '乘客', '增多']</t>
  </si>
  <si>
    <t>企业招聘需求降七成</t>
  </si>
  <si>
    <t>['企业', '招聘', '需求', '降', '七成']</t>
  </si>
  <si>
    <t>连续16天无症状病例</t>
  </si>
  <si>
    <t>['连续', '16', '天', '症状', '无症状', '病例']</t>
  </si>
  <si>
    <t>快递公司全面复工</t>
  </si>
  <si>
    <t>['快递', '公司', '全面', '复工']</t>
  </si>
  <si>
    <t>41架包机抵达武汉</t>
  </si>
  <si>
    <t>['41', '架', '包机', '抵达', '武汉']</t>
  </si>
  <si>
    <t>成都整栋楼被隔离</t>
  </si>
  <si>
    <t>['成都', '整栋', '楼', '被', '隔离']</t>
  </si>
  <si>
    <t>对口支援湖北正版表</t>
  </si>
  <si>
    <t>['对口', '支援', '湖北', '正版', '表']</t>
  </si>
  <si>
    <t>钟南山领衔新发论文</t>
  </si>
  <si>
    <t>['南山', '钟南山', '领衔', '新', '发', '论文']</t>
  </si>
  <si>
    <t>湖北排疑似病例加快</t>
  </si>
  <si>
    <t>['湖北', '排', '疑似', '病例', '疑似病例', '加快']</t>
  </si>
  <si>
    <t>非湖北确诊6连降</t>
  </si>
  <si>
    <t>['非', '湖北', '确诊', '6', '连降']</t>
  </si>
  <si>
    <t>俄罗斯硬核隔离</t>
  </si>
  <si>
    <t>['罗斯', '俄罗斯', '硬核', '隔离']</t>
  </si>
  <si>
    <t>新疆吐鲁番市地震</t>
  </si>
  <si>
    <t>['新疆', '鲁番', '吐鲁番', '吐鲁番市', '地震']</t>
  </si>
  <si>
    <t>连续17天无症状患者</t>
  </si>
  <si>
    <t>['连续', '17', '天', '症状', '无症状', '患者']</t>
  </si>
  <si>
    <t>LG出售中国总部大楼</t>
  </si>
  <si>
    <t>['LG', '出售', '中国', '总部', '大楼']</t>
  </si>
  <si>
    <t>雷神山已接收86人</t>
  </si>
  <si>
    <t>['雷', '神山', '已', '接收', '86', '人']</t>
  </si>
  <si>
    <t>俄媒评美国流感疫情</t>
  </si>
  <si>
    <t>['俄媒评', '美国', '流感', '疫情']</t>
  </si>
  <si>
    <t>偷留7湖北亲属居住</t>
  </si>
  <si>
    <t>['偷留', '7', '湖北', '亲属', '居住']</t>
  </si>
  <si>
    <t>揭海外口罩代购内幕</t>
  </si>
  <si>
    <t>['揭', '海外', '口罩', '代购', '内幕']</t>
  </si>
  <si>
    <t>非湖北新增连降六天</t>
  </si>
  <si>
    <t>['非', '湖北', '新增', '连降', '六天']</t>
  </si>
  <si>
    <t>北京又有7例出院</t>
  </si>
  <si>
    <t>['北京', '又', '有', '7', '例', '出院']</t>
  </si>
  <si>
    <t>李连杰大女儿近照</t>
  </si>
  <si>
    <t>['李连杰', '大', '女儿', '近照']</t>
  </si>
  <si>
    <t>吹风机可给口罩消毒</t>
  </si>
  <si>
    <t>['吹风', '风机', '吹风机', '可', '给', '口罩', '消毒']</t>
  </si>
  <si>
    <t>新冠属SARS系口误</t>
  </si>
  <si>
    <t>['新冠属', 'SARS', '系', '口误']</t>
  </si>
  <si>
    <t>日本邮轮确诊70例</t>
  </si>
  <si>
    <t>['日本', '邮轮', '确诊', '70', '例']</t>
  </si>
  <si>
    <t>2020/02/11</t>
  </si>
  <si>
    <t>武汉重症患者全入院</t>
  </si>
  <si>
    <t>['武汉', '重症', '患者', '全', '入院']</t>
  </si>
  <si>
    <t>曝海底捞损失11亿</t>
  </si>
  <si>
    <t>['曝', '海底', '捞', '损失', '11', '亿']</t>
  </si>
  <si>
    <t>澳暴雨灭山火引洪涝</t>
  </si>
  <si>
    <t>['澳', '暴雨', '灭', '山火', '引', '洪涝']</t>
  </si>
  <si>
    <t>唐一菲三位家人感染</t>
  </si>
  <si>
    <t>['唐一菲', '三位', '家人', '感染']</t>
  </si>
  <si>
    <t>瓦妮莎再发长文</t>
  </si>
  <si>
    <t>['瓦妮', '莎', '再', '发', '长文']</t>
  </si>
  <si>
    <t>武汉返乡42天后确诊</t>
  </si>
  <si>
    <t>['武汉', '返乡', '42', '天后', '确诊']</t>
  </si>
  <si>
    <t>尼日利亚现不明疾病</t>
  </si>
  <si>
    <t>['日利', '利亚', '尼日利亚', '现', '不明', '疾病']</t>
  </si>
  <si>
    <t>湖北累计确诊超三万</t>
  </si>
  <si>
    <t>['湖北', '累计', '确诊', '超', '三万']</t>
  </si>
  <si>
    <t>武汉医护感染超千例</t>
  </si>
  <si>
    <t>['武汉', '医护', '感染', '超', '千例']</t>
  </si>
  <si>
    <t>世卫组织发疫情警告</t>
  </si>
  <si>
    <t>['世卫', '组织', '发', '疫情', '警告']</t>
  </si>
  <si>
    <t>巴西发现神秘病毒</t>
  </si>
  <si>
    <t>['巴西', '发现', '神秘', '病毒']</t>
  </si>
  <si>
    <t>管轶回应逃兵评价</t>
  </si>
  <si>
    <t>['管轶', '回应', '逃兵', '评价']</t>
  </si>
  <si>
    <t>李小璐近照骨瘦如柴</t>
  </si>
  <si>
    <t>['李小璐', '近照', '骨瘦如柴']</t>
  </si>
  <si>
    <t>黄冈抗疫干部去世</t>
  </si>
  <si>
    <t>['黄冈', '抗疫', '干部', '去世']</t>
  </si>
  <si>
    <t>医生被感染患者咬伤</t>
  </si>
  <si>
    <t>['医生', '被', '感染', '患者', '咬伤']</t>
  </si>
  <si>
    <t>钟南山谈疫情峰值</t>
  </si>
  <si>
    <t>['南山', '钟南山', '谈', '疫情', '峰值']</t>
  </si>
  <si>
    <t>武汉一线物资告急</t>
  </si>
  <si>
    <t>['武汉', '一线', '物资', '告急']</t>
  </si>
  <si>
    <t>英国现超级传播者</t>
  </si>
  <si>
    <t>['英国', '现', '超级', '传播', '传播者']</t>
  </si>
  <si>
    <t>黄冈现1.3万人发热</t>
  </si>
  <si>
    <t>['黄冈', '现', '1.3', '万人', '发热']</t>
  </si>
  <si>
    <t>金银潭院长谈特效药</t>
  </si>
  <si>
    <t>['金银', '潭', '院长', '谈', '特效', '特效药']</t>
  </si>
  <si>
    <t>全国疫情呈下降趋势</t>
  </si>
  <si>
    <t>['全国', '疫情', '呈', '下降', '趋势']</t>
  </si>
  <si>
    <t>WHO专家抵达中国</t>
  </si>
  <si>
    <t>['WHO', '专家', '抵达', '中国']</t>
  </si>
  <si>
    <t>将有1.6亿人返岗</t>
  </si>
  <si>
    <t>['将', '有', '1.6', '亿人', '返岗']</t>
  </si>
  <si>
    <t>湖北第二场决战开始</t>
  </si>
  <si>
    <t>['湖北', '第二', '二场', '第二场', '决战', '开始']</t>
  </si>
  <si>
    <t>企业谈200人被隔离</t>
  </si>
  <si>
    <t>['企业', '谈', '200', '人', '被', '隔离']</t>
  </si>
  <si>
    <t>韩国驻华使馆挂横幅</t>
  </si>
  <si>
    <t>['韩国', '驻华', '使馆', '驻华使馆', '挂', '横幅']</t>
  </si>
  <si>
    <t>非湖北新增连降7天</t>
  </si>
  <si>
    <t>['非', '湖北', '新增', '连降', '7', '天']</t>
  </si>
  <si>
    <t>干部四接通知不返岗</t>
  </si>
  <si>
    <t>['干部', '四接', '通知', '不', '返岗']</t>
  </si>
  <si>
    <t>武汉排查率达99%</t>
  </si>
  <si>
    <t>['武汉', '排查', '率达', '99%']</t>
  </si>
  <si>
    <t>李晨工作室辟谣</t>
  </si>
  <si>
    <t>['李晨', '工作', '工作室', '辟谣']</t>
  </si>
  <si>
    <t>专家谈2秒传染</t>
  </si>
  <si>
    <t>['专家', '谈', '2', '秒', '传染']</t>
  </si>
  <si>
    <t>海底捞回应顾客确诊</t>
  </si>
  <si>
    <t>['海底', '捞回', '应', '顾客', '确诊']</t>
  </si>
  <si>
    <t>武汉小区封闭管理</t>
  </si>
  <si>
    <t>['武汉', '小区', '封闭', '管理']</t>
  </si>
  <si>
    <t>陕西高铁保洁员确诊</t>
  </si>
  <si>
    <t>['陕西', '高铁', '保洁', '保洁员', '确诊']</t>
  </si>
  <si>
    <t>2020/02/12</t>
  </si>
  <si>
    <t>大型网课翻车现场</t>
  </si>
  <si>
    <t>['大型', '网课', '翻车', '现场']</t>
  </si>
  <si>
    <t>葫芦岛一企业爆炸</t>
  </si>
  <si>
    <t>['葫芦', '葫芦岛', '一', '企业', '爆炸']</t>
  </si>
  <si>
    <t>疫情有望4月前结束</t>
  </si>
  <si>
    <t>['疫情', '有望', '4', '月', '前', '结束']</t>
  </si>
  <si>
    <t>钟南山含泪谈李文亮</t>
  </si>
  <si>
    <t>['南山', '钟南山', '含泪', '谈', '李文亮']</t>
  </si>
  <si>
    <t>黄石两社区干部辞职</t>
  </si>
  <si>
    <t>['黄石', '两', '社区', '干部', '辞职']</t>
  </si>
  <si>
    <t>三星S20正式发布</t>
  </si>
  <si>
    <t>['三星', 'S20', '正式', '发布']</t>
  </si>
  <si>
    <t>10天20家房企破产</t>
  </si>
  <si>
    <t>['10', '天', '20', '家房', '企', '破产']</t>
  </si>
  <si>
    <t>扫帚独立竖立真相</t>
  </si>
  <si>
    <t>['扫帚', '独立', '竖立', '真相']</t>
  </si>
  <si>
    <t>科比Gigi遗体已安葬</t>
  </si>
  <si>
    <t>['科比', 'Gigi', '遗体', '已', '安葬']</t>
  </si>
  <si>
    <t>19人吃火锅11人确诊</t>
  </si>
  <si>
    <t>['19', '人', '火锅', '吃火锅', '11', '人', '确诊']</t>
  </si>
  <si>
    <t>合肥发布紧急公告</t>
  </si>
  <si>
    <t>['合肥', '发布', '紧急', '公告']</t>
  </si>
  <si>
    <t>小区封闭致传销自首</t>
  </si>
  <si>
    <t>['小区', '封闭', '致', '传销', '自首']</t>
  </si>
  <si>
    <t>南京49个小区现病例</t>
  </si>
  <si>
    <t>['南京', '49', '个', '小区', '现', '病例']</t>
  </si>
  <si>
    <t>新增确诊下降48.2%</t>
  </si>
  <si>
    <t>['新增', '确诊', '下降', '48.2%']</t>
  </si>
  <si>
    <t>教育部回应高考推迟</t>
  </si>
  <si>
    <t>['教育', '教育部', '回应', '高考', '推迟']</t>
  </si>
  <si>
    <t>俄罗斯捐完物资就走</t>
  </si>
  <si>
    <t>['罗斯', '俄罗斯', '捐完', '物资', '就', '走']</t>
  </si>
  <si>
    <t>疫情现3个积极变化</t>
  </si>
  <si>
    <t>['疫情', '现', '3', '个', '积极', '变化']</t>
  </si>
  <si>
    <t>不得擅自劝返车辆</t>
  </si>
  <si>
    <t>['不得', '擅自', '劝返', '车辆']</t>
  </si>
  <si>
    <t>2020首个寒潮将来袭</t>
  </si>
  <si>
    <t>['2020', '首个', '寒潮', '将来', '袭']</t>
  </si>
  <si>
    <t>北京将迎局地暴雪</t>
  </si>
  <si>
    <t>['北京', '将', '迎', '局地', '暴雪']</t>
  </si>
  <si>
    <t>李梓萌低头念稿</t>
  </si>
  <si>
    <t>['李梓萌', '低头', '念稿']</t>
  </si>
  <si>
    <t>约谈武汉副市长幕后</t>
  </si>
  <si>
    <t>['约', '谈', '武汉', '副', '市长', '幕后']</t>
  </si>
  <si>
    <t>世卫命名新冠病毒</t>
  </si>
  <si>
    <t>['世卫', '命名', '新冠', '病毒']</t>
  </si>
  <si>
    <t>NASA回应立扫把挑战</t>
  </si>
  <si>
    <t>['NASA', '回应', '立', '扫把', '挑战']</t>
  </si>
  <si>
    <t>谢娜空降武汉医护群</t>
  </si>
  <si>
    <t>['谢娜', '空降', '武汉', '医护', '群']</t>
  </si>
  <si>
    <t>甘薇提出离婚诉讼</t>
  </si>
  <si>
    <t>['甘薇', '提出', '离婚', '诉讼']</t>
  </si>
  <si>
    <t>回应27亿善款被上缴</t>
  </si>
  <si>
    <t>['回应', '27', '亿', '善款', '被', '上缴']</t>
  </si>
  <si>
    <t>王源被质疑烟吸太多</t>
  </si>
  <si>
    <t>['王源', '被', '质疑', '烟', '太多', '吸太多']</t>
  </si>
  <si>
    <t>武昌区向患者道歉</t>
  </si>
  <si>
    <t>['武昌', '武昌区', '向', '患者', '道歉']</t>
  </si>
  <si>
    <t>日本发生5.2级地震</t>
  </si>
  <si>
    <t>['日本', '发生', '5.2', '级', '地震']</t>
  </si>
  <si>
    <t>马小龙被批准为烈士</t>
  </si>
  <si>
    <t>['马', '小龙', '被', '批准', '为', '烈士']</t>
  </si>
  <si>
    <t>湖北洪湖一药房被罚</t>
  </si>
  <si>
    <t>['湖北', '洪湖', '一', '药房', '被', '罚']</t>
  </si>
  <si>
    <t>湖北发封闭小区通知</t>
  </si>
  <si>
    <t>['湖北', '发', '封闭', '小区', '通知']</t>
  </si>
  <si>
    <t>撒贝宁妻子示爱儿女</t>
  </si>
  <si>
    <t>['撒', '贝宁', '妻子', '示爱', '儿女']</t>
  </si>
  <si>
    <t>武汉百步亭封城20日</t>
  </si>
  <si>
    <t>['武汉', '百步', '百步亭', '封城', '20', '日']</t>
  </si>
  <si>
    <t>杭州9人被公示</t>
  </si>
  <si>
    <t>['杭州', '9', '人', '被', '公示']</t>
  </si>
  <si>
    <t>美媒评中国办公模式</t>
  </si>
  <si>
    <t>['美媒评', '中国', '办公', '模式']</t>
  </si>
  <si>
    <t>2020/02/13</t>
  </si>
  <si>
    <t>湖北将再建应急医院</t>
  </si>
  <si>
    <t>['湖北', '将', '再', '建', '应急', '医院']</t>
  </si>
  <si>
    <t>居家隔离解除后确诊</t>
  </si>
  <si>
    <t>['居家', '隔离', '解除', '后', '确诊']</t>
  </si>
  <si>
    <t>病毒或与菊头蝠有关</t>
  </si>
  <si>
    <t>['病毒', '或', '与', '菊头蝠', '有关']</t>
  </si>
  <si>
    <t>湖北新增暴涨解读</t>
  </si>
  <si>
    <t>['湖北', '新增', '暴涨', '解读']</t>
  </si>
  <si>
    <t>官方回应衢州巨响</t>
  </si>
  <si>
    <t>['官方', '回应', '衢州', '巨响']</t>
  </si>
  <si>
    <t>应勇任湖北省委书记</t>
  </si>
  <si>
    <t>['应勇任', '湖北', '省委', '湖北省', '湖北省委', '书记']</t>
  </si>
  <si>
    <t>武汉市委书记王忠林</t>
  </si>
  <si>
    <t>['武汉', '市委', '书记', '市委书记', '王忠林']</t>
  </si>
  <si>
    <t>湖北继续延迟复工</t>
  </si>
  <si>
    <t>['湖北', '继续', '延迟', '复工']</t>
  </si>
  <si>
    <t>重庆现四代感染病例</t>
  </si>
  <si>
    <t>['重庆', '现', '四代', '感染', '病例']</t>
  </si>
  <si>
    <t>专家谈疫情期抽烟</t>
  </si>
  <si>
    <t>['专家', '谈', '疫情', '期', '抽烟']</t>
  </si>
  <si>
    <t>非湖北新增连降9天</t>
  </si>
  <si>
    <t>['非', '湖北', '新增', '连降', '9', '天']</t>
  </si>
  <si>
    <t>武汉感染人数未摸清</t>
  </si>
  <si>
    <t>['武汉', '感染', '人数', '未', '摸清']</t>
  </si>
  <si>
    <t>千岛群岛7.0级地震</t>
  </si>
  <si>
    <t>['千岛', '群岛', '千岛群岛', '7.0', '级', '地震']</t>
  </si>
  <si>
    <t>美国放全球最大烟花</t>
  </si>
  <si>
    <t>['美国', '放', '全球', '最大', '烟花']</t>
  </si>
  <si>
    <t>女子检测5次被确诊</t>
  </si>
  <si>
    <t>['女子', '检测', '5', '次', '被', '确诊']</t>
  </si>
  <si>
    <t>辽宁将迎强降雪天气</t>
  </si>
  <si>
    <t>['辽宁', '将', '迎强', '降雪', '天气']</t>
  </si>
  <si>
    <t>武汉居民听到巨响</t>
  </si>
  <si>
    <t>['武汉', '居民', '听到', '巨响']</t>
  </si>
  <si>
    <t>专家发现幽灵人基因</t>
  </si>
  <si>
    <t>['专家', '发现', '幽灵', '人', '基因']</t>
  </si>
  <si>
    <t>小米首次线上发布会</t>
  </si>
  <si>
    <t>['小米', '首次', '线上', '发布', '发布会']</t>
  </si>
  <si>
    <t>新世界小红袄身份</t>
  </si>
  <si>
    <t>['世界', '新世界', '小红袄', '身份']</t>
  </si>
  <si>
    <t>利拉德退出全明星</t>
  </si>
  <si>
    <t>['利', '拉德', '退出', '明星', '全明星']</t>
  </si>
  <si>
    <t>火神山收治患者破千</t>
  </si>
  <si>
    <t>['火神', '山', '收治', '患者', '破千']</t>
  </si>
  <si>
    <t>科比生前最后短信</t>
  </si>
  <si>
    <t>['科比', '生前', '最后', '短信']</t>
  </si>
  <si>
    <t>葛荟婕发文暗讽汪峰</t>
  </si>
  <si>
    <t>['葛荟婕', '发文', '暗讽', '汪峰']</t>
  </si>
  <si>
    <t>教育部回应就业形势</t>
  </si>
  <si>
    <t>['教育', '教育部', '回应', '就业', '形势']</t>
  </si>
  <si>
    <t>超60城暂停卖房</t>
  </si>
  <si>
    <t>['超', '60', '城', '暂停', '卖房']</t>
  </si>
  <si>
    <t>黄心颖黎万宏发声</t>
  </si>
  <si>
    <t>['黄心颖黎', '万宏', '发声']</t>
  </si>
  <si>
    <t>张湾区实施战时管制</t>
  </si>
  <si>
    <t>['湾区', '张湾区', '实施', '战时', '管制']</t>
  </si>
  <si>
    <t>一户瞒报全楼被隔离</t>
  </si>
  <si>
    <t>['一户', '瞒报', '全楼', '被', '隔离']</t>
  </si>
  <si>
    <t>2020/02/14</t>
  </si>
  <si>
    <t>官方回应1元口罩</t>
  </si>
  <si>
    <t>['官方', '回应', '1', '元', '口罩']</t>
  </si>
  <si>
    <t>康复者血浆治疗11人</t>
  </si>
  <si>
    <t>['康复', '康复者', '血浆', '治疗', '11', '人']</t>
  </si>
  <si>
    <t>1.7亿农民工返城</t>
  </si>
  <si>
    <t>['1.7', '亿', '农民', '民工', '农民工', '返城']</t>
  </si>
  <si>
    <t>非湖北新增连降10天</t>
  </si>
  <si>
    <t>['非', '湖北', '新增', '连降', '10', '天']</t>
  </si>
  <si>
    <t>发烧怕发现藏小树林</t>
  </si>
  <si>
    <t>['发烧', '怕', '发现', '藏', '小树', '树林', '小树林']</t>
  </si>
  <si>
    <t>3000人村庄无人感染</t>
  </si>
  <si>
    <t>['3000', '人', '村庄', '无人', '感染']</t>
  </si>
  <si>
    <t>医务人员确诊1716例</t>
  </si>
  <si>
    <t>['医务', '人员', '医务人员', '确诊', '1716', '例']</t>
  </si>
  <si>
    <t>沪一患者将血浆治疗</t>
  </si>
  <si>
    <t>['沪', '一', '患者', '将', '血浆', '治疗']</t>
  </si>
  <si>
    <t>肺炎1号正式公布</t>
  </si>
  <si>
    <t>['肺炎', '1', '号', '正式', '公布']</t>
  </si>
  <si>
    <t>校医院多人被免职</t>
  </si>
  <si>
    <t>['校医', '医院', '校医院', '多人', '被', '免职']</t>
  </si>
  <si>
    <t>一家7口聚餐全感染</t>
  </si>
  <si>
    <t>['一家', '7', '口', '聚餐', '全', '感染']</t>
  </si>
  <si>
    <t>北京多条高速封闭</t>
  </si>
  <si>
    <t>['北京', '多条', '高速', '封闭']</t>
  </si>
  <si>
    <t>娄艺潇与胡一菲告别</t>
  </si>
  <si>
    <t>['娄艺潇', '与', '胡一菲', '告别']</t>
  </si>
  <si>
    <t>湖北首位血浆捐献者</t>
  </si>
  <si>
    <t>['湖北', '首位', '血浆', '捐献', '捐献者']</t>
  </si>
  <si>
    <t>专家谈带阀口罩风险</t>
  </si>
  <si>
    <t>['专家', '谈带阀', '口罩', '风险']</t>
  </si>
  <si>
    <t>新蝙蝠侠造型</t>
  </si>
  <si>
    <t>['新', '蝙蝠', '蝙蝠侠', '造型']</t>
  </si>
  <si>
    <t>上海患者致55人隔离</t>
  </si>
  <si>
    <t>['上海', '患者', '致', '55', '人', '隔离']</t>
  </si>
  <si>
    <t>日本首现死亡病例</t>
  </si>
  <si>
    <t>['日本', '首现', '死亡', '病例']</t>
  </si>
  <si>
    <t>湖北确诊累计超5万</t>
  </si>
  <si>
    <t>['湖北', '确诊', '累计', '超', '5', '万']</t>
  </si>
  <si>
    <t>罗伯特萧入籍中国</t>
  </si>
  <si>
    <t>['罗伯特', '萧', '入籍', '中国']</t>
  </si>
  <si>
    <t>袁隆平捐200吨大米</t>
  </si>
  <si>
    <t>['袁隆平', '捐', '200', '吨', '大米']</t>
  </si>
  <si>
    <t>夫妻打防疫人员被判</t>
  </si>
  <si>
    <t>['夫妻', '打', '防疫', '人员', '被判']</t>
  </si>
  <si>
    <t>南美现史上最大龟壳</t>
  </si>
  <si>
    <t>['南美', '现史', '上', '最大', '龟壳']</t>
  </si>
  <si>
    <t>抗疫逆行者的爱情</t>
  </si>
  <si>
    <t>['抗疫', '逆', '行者', '的', '爱情']</t>
  </si>
  <si>
    <t>宋轶否认不配合防疫</t>
  </si>
  <si>
    <t>['宋轶', '否认', '不', '配合', '防疫']</t>
  </si>
  <si>
    <t>澳洲大火终于熄灭</t>
  </si>
  <si>
    <t>['澳洲', '大火', '终于', '熄灭']</t>
  </si>
  <si>
    <t>呼吁康复患者捐血浆</t>
  </si>
  <si>
    <t>['呼吁', '康复', '患者', '捐', '血浆']</t>
  </si>
  <si>
    <t>日本检疫官擦汗感染</t>
  </si>
  <si>
    <t>['日本', '检疫', '官', '擦汗', '感染']</t>
  </si>
  <si>
    <t>比伯为中国捐款</t>
  </si>
  <si>
    <t>['比伯为', '中国', '捐款']</t>
  </si>
  <si>
    <t>穿长颈鹿充气服看病</t>
  </si>
  <si>
    <t>['穿', '长颈', '长颈鹿', '充气', '服', '看病']</t>
  </si>
  <si>
    <t>2020/02/15</t>
  </si>
  <si>
    <t>非湖北新增连降11天</t>
  </si>
  <si>
    <t>['非', '湖北', '新增', '连降', '11', '天']</t>
  </si>
  <si>
    <t>毛不易被淘汰</t>
  </si>
  <si>
    <t>['毛', '不易', '被', '淘汰']</t>
  </si>
  <si>
    <t>湖北籍员工复工发热</t>
  </si>
  <si>
    <t>['湖北', '籍', '员工', '复工', '发热']</t>
  </si>
  <si>
    <t>韩红基金会遭检举</t>
  </si>
  <si>
    <t>['韩红', '基金', '基金会', '遭', '检举']</t>
  </si>
  <si>
    <t>浙最强医疗队抵武汉</t>
  </si>
  <si>
    <t>['浙', '最强', '医疗', '医疗队', '抵', '武汉']</t>
  </si>
  <si>
    <t>孝感黄冈病例上涨快</t>
  </si>
  <si>
    <t>['孝感', '黄冈', '病例', '上涨', '快']</t>
  </si>
  <si>
    <t>专家详解炎症风暴</t>
  </si>
  <si>
    <t>['专家', '详解', '炎症', '风暴']</t>
  </si>
  <si>
    <t>灵长动物现新冠症状</t>
  </si>
  <si>
    <t>['灵长', '动物', '现新冠', '症状']</t>
  </si>
  <si>
    <t>荆州炫父男子道歉</t>
  </si>
  <si>
    <t>['荆州', '炫父', '男子', '道歉']</t>
  </si>
  <si>
    <t>台湾花莲县发生地震</t>
  </si>
  <si>
    <t>['台湾', '花莲', '花莲县', '发生', '地震']</t>
  </si>
  <si>
    <t>法国首例死亡病例</t>
  </si>
  <si>
    <t>['法国', '首例', '死亡', '病例']</t>
  </si>
  <si>
    <t>环保酵素不可消毒</t>
  </si>
  <si>
    <t>['环保', '酵素', '不可', '消毒']</t>
  </si>
  <si>
    <t>全国收费公路免费</t>
  </si>
  <si>
    <t>['全国', '收费', '公路', '收费公路', '免费']</t>
  </si>
  <si>
    <t>专家谈药物研发难点</t>
  </si>
  <si>
    <t>['专家', '谈', '药物', '研发', '难点']</t>
  </si>
  <si>
    <t>内蒙古现幻日奇观</t>
  </si>
  <si>
    <t>['内蒙', '蒙古', '内蒙古', '现', '幻日', '奇观']</t>
  </si>
  <si>
    <t>武汉断崖式降温</t>
  </si>
  <si>
    <t>['武汉', '断崖', '式', '降温']</t>
  </si>
  <si>
    <t>毛不易回应被淘汰</t>
  </si>
  <si>
    <t>['毛', '不易', '回应', '被', '淘汰']</t>
  </si>
  <si>
    <t>禁发烧者乘交通工具</t>
  </si>
  <si>
    <t>['禁', '发烧', '者', '乘', '交通', '通工', '工具', '交通工具']</t>
  </si>
  <si>
    <t>袁姗姗全副武装买菜</t>
  </si>
  <si>
    <t>['姗姗', '袁姗姗', '全副', '武装', '全副武装', '买菜']</t>
  </si>
  <si>
    <t>治愈即被警方带走</t>
  </si>
  <si>
    <t>['治愈', '即', '被', '警方', '带走']</t>
  </si>
  <si>
    <t>天津母女返家后确诊</t>
  </si>
  <si>
    <t>['天津', '母女', '返家', '后', '确诊']</t>
  </si>
  <si>
    <t>武汉多名干部被问责</t>
  </si>
  <si>
    <t>['武汉', '多名', '干部', '被', '问责']</t>
  </si>
  <si>
    <t>曼城遭欧战禁赛</t>
  </si>
  <si>
    <t>['曼城', '遭', '欧战', '禁赛']</t>
  </si>
  <si>
    <t>江西取消高速检疫点</t>
  </si>
  <si>
    <t>['江西', '取消', '高速', '检疫', '点']</t>
  </si>
  <si>
    <t>宋雪怀孕提分手</t>
  </si>
  <si>
    <t>['宋雪', '怀孕', '提', '分手']</t>
  </si>
  <si>
    <t>新冠病毒快速试剂盒</t>
  </si>
  <si>
    <t>['新冠', '病毒', '快速', '试剂', '试剂盒']</t>
  </si>
  <si>
    <t>印度3000多人被隔离</t>
  </si>
  <si>
    <t>['印度', '3000', '多人', '被', '隔离']</t>
  </si>
  <si>
    <t>成都降雪</t>
  </si>
  <si>
    <t>['成都', '降雪']</t>
  </si>
  <si>
    <t>孙文斌二审维持死刑</t>
  </si>
  <si>
    <t>['孙文斌', '二审', '维持', '死刑']</t>
  </si>
  <si>
    <t>多地宣布暑假或缩短</t>
  </si>
  <si>
    <t>['多地', '宣布', '暑假', '或', '缩短']</t>
  </si>
  <si>
    <t>共25633名医护援鄂</t>
  </si>
  <si>
    <t>['共', '25633', '名', '医护', '援鄂']</t>
  </si>
  <si>
    <t>毛不易唱哭网友</t>
  </si>
  <si>
    <t>['毛', '不易', '唱', '哭', '网友']</t>
  </si>
  <si>
    <t>南极气温首破20度</t>
  </si>
  <si>
    <t>['南极', '气温', '首破', '20', '度']</t>
  </si>
  <si>
    <t>毕书尽宣布结婚</t>
  </si>
  <si>
    <t>['毕书', '尽', '宣布', '结婚']</t>
  </si>
  <si>
    <t>蝙蝠是最可能源头</t>
  </si>
  <si>
    <t>['蝙蝠', '是', '最', '可能', '源头']</t>
  </si>
  <si>
    <t>阿黛尔机场崩溃痛哭</t>
  </si>
  <si>
    <t>['阿黛尔', '机场', '崩溃', '痛哭']</t>
  </si>
  <si>
    <t>荆州炫父男父亲停职</t>
  </si>
  <si>
    <t>['荆州', '炫父', '男', '父亲', '停职']</t>
  </si>
  <si>
    <t>2020/02/16</t>
  </si>
  <si>
    <t>新冠肺炎在日本流行</t>
  </si>
  <si>
    <t>['新冠', '肺炎', '在', '日本', '流行']</t>
  </si>
  <si>
    <t>官方回应火神山漏水</t>
  </si>
  <si>
    <t>['官方', '回应', '火神', '山', '漏水']</t>
  </si>
  <si>
    <t>四川自贡4.4级地震</t>
  </si>
  <si>
    <t>['四川', '自贡', '4.4', '级', '地震']</t>
  </si>
  <si>
    <t>解除隔离10天后发病</t>
  </si>
  <si>
    <t>['解除', '隔离', '10', '天后', '发病']</t>
  </si>
  <si>
    <t>职员确诊全公司隔离</t>
  </si>
  <si>
    <t>['职员', '确诊', '全', '公司', '隔离']</t>
  </si>
  <si>
    <t>台湾花莲6次地震</t>
  </si>
  <si>
    <t>['台湾', '花莲', '6', '次', '地震']</t>
  </si>
  <si>
    <t>首次未通报疑似病例</t>
  </si>
  <si>
    <t>['首次', '未', '通报', '疑似', '病例', '疑似病例']</t>
  </si>
  <si>
    <t>方舱医院出院高峰期</t>
  </si>
  <si>
    <t>['方舱', '医院', '出院', '高峰', '高峰期']</t>
  </si>
  <si>
    <t>马来西亚仙本那火灾</t>
  </si>
  <si>
    <t>['马来', '西亚', '马来西亚', '仙本', '那', '火灾']</t>
  </si>
  <si>
    <t>杭州客运将恢复运营</t>
  </si>
  <si>
    <t>['杭州', '客运', '将', '恢复', '运营']</t>
  </si>
  <si>
    <t>不应限制返回小区</t>
  </si>
  <si>
    <t>['不', '应', '限制', '返回', '小区']</t>
  </si>
  <si>
    <t>退休厅官发道歉信</t>
  </si>
  <si>
    <t>['退休', '厅', '官发', '道歉', '道歉信']</t>
  </si>
  <si>
    <t>专访雷神山医院院长</t>
  </si>
  <si>
    <t>['专访', '雷', '神山', '医院', '院长', '医院院长']</t>
  </si>
  <si>
    <t>武汉将开展大排查</t>
  </si>
  <si>
    <t>['武汉', '将', '开展', '排查', '大排查']</t>
  </si>
  <si>
    <t>辱骂援鄂医护被拘</t>
  </si>
  <si>
    <t>['辱骂', '援鄂', '医护', '被', '拘']</t>
  </si>
  <si>
    <t>宁夏隔离点5人跳窗</t>
  </si>
  <si>
    <t>['宁夏', '隔离', '点', '5', '人', '跳窗']</t>
  </si>
  <si>
    <t>非湖北新增连降12天</t>
  </si>
  <si>
    <t>['非', '湖北', '新增', '连降', '12', '天']</t>
  </si>
  <si>
    <t>专家回应病毒变弱</t>
  </si>
  <si>
    <t>['专家', '回应', '病毒', '变弱']</t>
  </si>
  <si>
    <t>武汉一社区漏报信息</t>
  </si>
  <si>
    <t>['武汉', '一', '社区', '漏报', '信息']</t>
  </si>
  <si>
    <t>疫情防控效果已显现</t>
  </si>
  <si>
    <t>['疫情', '防控', '效果', '已', '显现']</t>
  </si>
  <si>
    <t>柏林突发枪击案</t>
  </si>
  <si>
    <t>['柏林', '突发', '枪击', '枪击案']</t>
  </si>
  <si>
    <t>恒大楼盘七五折优惠</t>
  </si>
  <si>
    <t>['恒大', '楼盘', '七五', '五折', '七五折', '优惠']</t>
  </si>
  <si>
    <t>日本疫情疑似扩散</t>
  </si>
  <si>
    <t>['日本', '疫情', '疑似', '扩散']</t>
  </si>
  <si>
    <t>多省无新增确诊病例</t>
  </si>
  <si>
    <t>['多省', '无', '新增', '确诊', '病例']</t>
  </si>
  <si>
    <t>司马3忌回应检举</t>
  </si>
  <si>
    <t>['司马', '3', '忌', '回应', '检举']</t>
  </si>
  <si>
    <t>戈登退出扣篮大赛</t>
  </si>
  <si>
    <t>['戈登', '退出', '扣篮', '大赛']</t>
  </si>
  <si>
    <t>台湾4.5级地震</t>
  </si>
  <si>
    <t>['台湾', '4.5', '级', '地震']</t>
  </si>
  <si>
    <t>火神山ICU不眠夜</t>
  </si>
  <si>
    <t>['火神', '山', 'ICU', '不眠夜']</t>
  </si>
  <si>
    <t>汇源果汁启动退市</t>
  </si>
  <si>
    <t>['汇源', '果汁', '启动', '退市']</t>
  </si>
  <si>
    <t>6天不出门奖10斤面</t>
  </si>
  <si>
    <t>['6', '天', '不', '出门', '奖', '10', '斤面']</t>
  </si>
  <si>
    <t>辟谣病毒所零号病人</t>
  </si>
  <si>
    <t>['辟谣', '病毒', '所', '零号', '病人']</t>
  </si>
  <si>
    <t>南宁罗志祥疑出道</t>
  </si>
  <si>
    <t>['南宁', '罗志祥疑', '出道']</t>
  </si>
  <si>
    <t>员工发病后上班12天</t>
  </si>
  <si>
    <t>['员工', '发病', '后', '上班', '12', '天']</t>
  </si>
  <si>
    <t>广州银行收现钞销毁</t>
  </si>
  <si>
    <t>['广州', '银行', '收', '现钞', '销毁']</t>
  </si>
  <si>
    <t>患者黑暗中高喊加油</t>
  </si>
  <si>
    <t>['患者', '黑暗', '中', '高喊', '加油']</t>
  </si>
  <si>
    <t>郭麒麟给范闲配音</t>
  </si>
  <si>
    <t>['郭', '麒麟', '给', '范闲', '配音']</t>
  </si>
  <si>
    <t>胡歌翻牌医护粉丝</t>
  </si>
  <si>
    <t>['胡歌', '翻牌', '医护', '粉丝']</t>
  </si>
  <si>
    <t>眼结膜传播暂无证据</t>
  </si>
  <si>
    <t>['结膜', '眼结膜', '传播', '暂无', '证据']</t>
  </si>
  <si>
    <t>2020/02/17</t>
  </si>
  <si>
    <t>武磊关键进球</t>
  </si>
  <si>
    <t>['武磊', '关键', '进球']</t>
  </si>
  <si>
    <t>信阳出现超常规病例</t>
  </si>
  <si>
    <t>['信阳', '出现', '超常', '常规', '超常规', '病例']</t>
  </si>
  <si>
    <t>全国累计确诊超7万</t>
  </si>
  <si>
    <t>['全国', '累计', '确诊', '超', '7', '万']</t>
  </si>
  <si>
    <t>霍华德拒绝球鞋合同</t>
  </si>
  <si>
    <t>['霍华德', '拒绝', '球鞋', '合同']</t>
  </si>
  <si>
    <t>非湖北新增连降13天</t>
  </si>
  <si>
    <t>['非', '湖北', '新增', '连降', '13', '天']</t>
  </si>
  <si>
    <t>核酸检测当日清零</t>
  </si>
  <si>
    <t>['核酸', '检测', '当日', '清零']</t>
  </si>
  <si>
    <t>张亮寇静同回别墅</t>
  </si>
  <si>
    <t>['张亮', '寇静', '同回', '别墅']</t>
  </si>
  <si>
    <t>成都居民躲楼顶打牌</t>
  </si>
  <si>
    <t>['成都', '居民', '躲', '楼顶', '打牌']</t>
  </si>
  <si>
    <t>浙江曾三万鸭兵灭蝗</t>
  </si>
  <si>
    <t>['浙江', '曾', '三万', '鸭兵', '灭蝗']</t>
  </si>
  <si>
    <t>武汉公共场所需扫码</t>
  </si>
  <si>
    <t>['武汉', '公共', '场所', '公共场所', '需扫码']</t>
  </si>
  <si>
    <t>农业部谈蝗灾迫近</t>
  </si>
  <si>
    <t>['农业', '农业部', '谈', '蝗灾', '迫近']</t>
  </si>
  <si>
    <t>艺人黄智博被批捕</t>
  </si>
  <si>
    <t>['艺人', '黄智博', '被', '批捕']</t>
  </si>
  <si>
    <t>邮轮40名美国人确诊</t>
  </si>
  <si>
    <t>['邮轮', '40', '名', '美国', '人', '确诊']</t>
  </si>
  <si>
    <t>豫企研发新型隔离帽</t>
  </si>
  <si>
    <t>['豫企', '研发', '新型', '隔离', '帽']</t>
  </si>
  <si>
    <t>陈全姣发声明</t>
  </si>
  <si>
    <t>['陈全', '姣', '发声', '声明', '发声明']</t>
  </si>
  <si>
    <t>超三千医护感染肺炎</t>
  </si>
  <si>
    <t>['超', '三千', '医护', '感染', '肺炎']</t>
  </si>
  <si>
    <t>专家谈湖北省外拐点</t>
  </si>
  <si>
    <t>['专家', '谈', '湖北', '湖北省', '外', '拐点']</t>
  </si>
  <si>
    <t>复工抢人大战上演</t>
  </si>
  <si>
    <t>['复工', '抢人', '大战', '上演']</t>
  </si>
  <si>
    <t>黄冈市长哽咽感谢</t>
  </si>
  <si>
    <t>['黄冈', '黄冈市', '长', '哽咽', '感谢']</t>
  </si>
  <si>
    <t>曾伟权被曝患癌</t>
  </si>
  <si>
    <t>['曾伟权', '被', '曝患癌']</t>
  </si>
  <si>
    <t>印度蝗灾已基本结束</t>
  </si>
  <si>
    <t>['印度', '蝗灾', '已', '基本', '结束']</t>
  </si>
  <si>
    <t>伦纳德获科比MVP奖</t>
  </si>
  <si>
    <t>['伦纳', '伦纳德', '获', '科比', 'MVP', '奖']</t>
  </si>
  <si>
    <t>累计治愈病例破万</t>
  </si>
  <si>
    <t>['累计', '治愈', '病例', '破万']</t>
  </si>
  <si>
    <t>孝感疫情防控17号令</t>
  </si>
  <si>
    <t>['孝感', '疫情', '防控', '17', '号令']</t>
  </si>
  <si>
    <t>山西景区对医护免费</t>
  </si>
  <si>
    <t>['山西', '景区', '对', '医护', '免费']</t>
  </si>
  <si>
    <t>韩红基金会发布账目</t>
  </si>
  <si>
    <t>['韩红', '基金', '基金会', '发布', '账目']</t>
  </si>
  <si>
    <t>黄智博姐姐发文</t>
  </si>
  <si>
    <t>['黄智博', '姐姐', '发文']</t>
  </si>
  <si>
    <t>郝文婕牵手成功</t>
  </si>
  <si>
    <t>['郝文婕', '牵手', '成功']</t>
  </si>
  <si>
    <t>武汉20位医护捐血浆</t>
  </si>
  <si>
    <t>['武汉', '20', '位', '医护', '捐', '血浆']</t>
  </si>
  <si>
    <t>武汉重症降至18%</t>
  </si>
  <si>
    <t>['武汉', '重症', '降至', '18%']</t>
  </si>
  <si>
    <t>专家释疑超常规病例</t>
  </si>
  <si>
    <t>['专家', '释疑', '超常', '常规', '超常规', '病例']</t>
  </si>
  <si>
    <t>囤9吨酒精被批捕</t>
  </si>
  <si>
    <t>['囤', '9', '吨', '酒精', '被', '批捕']</t>
  </si>
  <si>
    <t>56岁大叔风雪中守夜</t>
  </si>
  <si>
    <t>['56', '岁', '大叔', '风雪', '中', '守夜']</t>
  </si>
  <si>
    <t>深圳地铁实名乘车</t>
  </si>
  <si>
    <t>['深圳', '地铁', '实名', '乘车']</t>
  </si>
  <si>
    <t>专家谈病毒如何传播</t>
  </si>
  <si>
    <t>['专家', '谈', '病毒', '如何', '传播']</t>
  </si>
  <si>
    <t>2020/02/18</t>
  </si>
  <si>
    <t>武汉再建10座方舱</t>
  </si>
  <si>
    <t>['武汉', '再建', '10', '座', '方舱']</t>
  </si>
  <si>
    <t>名医许德甫染病去世</t>
  </si>
  <si>
    <t>['名医', '许德甫', '染病', '去世']</t>
  </si>
  <si>
    <t>钟南山回应疫情峰值</t>
  </si>
  <si>
    <t>['南山', '钟南山', '回应', '疫情', '峰值']</t>
  </si>
  <si>
    <t>武汉拉网式大排查</t>
  </si>
  <si>
    <t>['武汉', '拉网', '拉网式', '排查', '大排查']</t>
  </si>
  <si>
    <t>湖北首地清零确诊</t>
  </si>
  <si>
    <t>['湖北', '首地', '清零', '确诊']</t>
  </si>
  <si>
    <t>警惕"绿天鹅"来袭</t>
  </si>
  <si>
    <t>['警惕', '"', '绿', '天鹅', '"', '来袭']</t>
  </si>
  <si>
    <t>全国两会拟推迟召开</t>
  </si>
  <si>
    <t>['全国', '两会', '拟', '推迟', '召开']</t>
  </si>
  <si>
    <t>央企正研发新冠疫苗</t>
  </si>
  <si>
    <t>['央企正', '研发', '新冠', '疫苗']</t>
  </si>
  <si>
    <t>成龙曾志伟聚会</t>
  </si>
  <si>
    <t>['成龙', '曾志伟', '聚会']</t>
  </si>
  <si>
    <t>日本疫情确诊人数</t>
  </si>
  <si>
    <t>['日本', '疫情', '确诊', '人数']</t>
  </si>
  <si>
    <t>武昌医院院长去世</t>
  </si>
  <si>
    <t>['武昌', '医院', '院长', '医院院长', '去世']</t>
  </si>
  <si>
    <t>疫情出现三个首次</t>
  </si>
  <si>
    <t>['疫情', '出现', '三个', '首次']</t>
  </si>
  <si>
    <t>湖北封控再升级</t>
  </si>
  <si>
    <t>['湖北', '封控', '再', '升级']</t>
  </si>
  <si>
    <t>严控不能失控</t>
  </si>
  <si>
    <t>['严控', '不能', '失控']</t>
  </si>
  <si>
    <t>非湖北新增连降14天</t>
  </si>
  <si>
    <t>['非', '湖北', '新增', '连降', '14', '天']</t>
  </si>
  <si>
    <t>华少家中内景曝出</t>
  </si>
  <si>
    <t>['华少', '家中', '内景', '曝出']</t>
  </si>
  <si>
    <t>一家三代被感染</t>
  </si>
  <si>
    <t>['一家', '三代', '被', '感染']</t>
  </si>
  <si>
    <t>白云山获批磷酸氯喹</t>
  </si>
  <si>
    <t>['白云', '云山', '白云山', '获批', '磷酸', '氯喹']</t>
  </si>
  <si>
    <t>专家谈病毒传染力</t>
  </si>
  <si>
    <t>['专家', '谈', '病毒', '传染', '力']</t>
  </si>
  <si>
    <t>女护士剃光头引争议</t>
  </si>
  <si>
    <t>['护士', '女护士', '光头', '剃光头', '引', '争议']</t>
  </si>
  <si>
    <t>杨幂跳狐狸舞卖萌</t>
  </si>
  <si>
    <t>['杨幂', '跳', '狐狸', '舞卖萌']</t>
  </si>
  <si>
    <t>尼日尔发生踩踏事故</t>
  </si>
  <si>
    <t>['尼日尔', '发生', '踩踏', '事故']</t>
  </si>
  <si>
    <t>中国科大重大发现</t>
  </si>
  <si>
    <t>['中国', '科大', '中国科大', '重大', '发现']</t>
  </si>
  <si>
    <t>济南4.1级地震</t>
  </si>
  <si>
    <t>['济南', '4.1', '级', '地震']</t>
  </si>
  <si>
    <t>钟南山谈病毒变异</t>
  </si>
  <si>
    <t>['南山', '钟南山', '谈', '病毒', '变异']</t>
  </si>
  <si>
    <t>湖北仍存在救治不力</t>
  </si>
  <si>
    <t>['湖北', '仍', '存在', '救治', '不力']</t>
  </si>
  <si>
    <t>韦唯近照曝出</t>
  </si>
  <si>
    <t>['韦唯', '近照', '曝出']</t>
  </si>
  <si>
    <t>24名中国人泰国确诊</t>
  </si>
  <si>
    <t>['24', '名', '中国', '人', '泰国', '确诊']</t>
  </si>
  <si>
    <t>武汉没有停止人传人</t>
  </si>
  <si>
    <t>['武汉', '没有', '停止', '人', '传人']</t>
  </si>
  <si>
    <t>新冠特效药诞生艰难</t>
  </si>
  <si>
    <t>['新冠', '特效', '特效药', '诞生', '艰难']</t>
  </si>
  <si>
    <t>李光洙发生交通事故</t>
  </si>
  <si>
    <t>['李光洙', '发生', '交通', '通事', '事故', '交通事故']</t>
  </si>
  <si>
    <t>浙除温州外取消卡点</t>
  </si>
  <si>
    <t>['浙除', '温州', '外', '取消', '卡点']</t>
  </si>
  <si>
    <t>泰国一家九口确诊</t>
  </si>
  <si>
    <t>['泰国', '一家', '九口', '确诊']</t>
  </si>
  <si>
    <t>西城集中隔离178人</t>
  </si>
  <si>
    <t>['西城', '集中', '隔离', '178', '人']</t>
  </si>
  <si>
    <t>美国出现口罩荒</t>
  </si>
  <si>
    <t>['美国', '出现', '口罩', '荒']</t>
  </si>
  <si>
    <t>武汉最大方舱医院</t>
  </si>
  <si>
    <t>['武汉', '最大', '方舱', '医院']</t>
  </si>
  <si>
    <t>2020年油价再次下调</t>
  </si>
  <si>
    <t>['2020', '年', '油价', '再次', '下调']</t>
  </si>
  <si>
    <t>2020/02/19</t>
  </si>
  <si>
    <t>甘肃发生森林火灾</t>
  </si>
  <si>
    <t>['甘肃', '发生', '森林', '火灾']</t>
  </si>
  <si>
    <t>全国累计死亡超两千</t>
  </si>
  <si>
    <t>['全国', '累计', '死亡', '超', '两千']</t>
  </si>
  <si>
    <t>华南海鲜市场现状</t>
  </si>
  <si>
    <t>['华南', '海鲜', '市场', '现状']</t>
  </si>
  <si>
    <t>非湖北新增连降15天</t>
  </si>
  <si>
    <t>['非', '湖北', '新增', '连降', '15', '天']</t>
  </si>
  <si>
    <t>10个战疫好消息</t>
  </si>
  <si>
    <t>['10', '个', '战疫', '消息', '好消息']</t>
  </si>
  <si>
    <t>疫情过后房价走势</t>
  </si>
  <si>
    <t>['疫情', '过后', '房价', '走势']</t>
  </si>
  <si>
    <t>破格提拔防疫女干部</t>
  </si>
  <si>
    <t>['破格', '提拔', '破格提拔', '防疫', '女', '干部']</t>
  </si>
  <si>
    <t>多地发强制休息令</t>
  </si>
  <si>
    <t>['多', '地发', '强制', '休息', '令']</t>
  </si>
  <si>
    <t>湖北41岁女干部殉职</t>
  </si>
  <si>
    <t>['湖北', '41', '岁', '女', '干部', '殉职']</t>
  </si>
  <si>
    <t>武汉排查今日交卷</t>
  </si>
  <si>
    <t>['武汉', '排查', '今日', '交卷']</t>
  </si>
  <si>
    <t>邮轮感染者国籍公布</t>
  </si>
  <si>
    <t>['邮轮', '感染', '感染者', '国籍', '公布']</t>
  </si>
  <si>
    <t>口罩产能利用率过百</t>
  </si>
  <si>
    <t>['口罩', '产能', '利用', '用率', '利用率', '过百']</t>
  </si>
  <si>
    <t>武汉交通管制升级</t>
  </si>
  <si>
    <t>['武汉', '交通', '管制', '交通管制', '升级']</t>
  </si>
  <si>
    <t>追踪零号病人</t>
  </si>
  <si>
    <t>['追踪', '零号', '病人']</t>
  </si>
  <si>
    <t>94岁母亲检举女儿</t>
  </si>
  <si>
    <t>['94', '岁', '母亲', '检举', '女儿']</t>
  </si>
  <si>
    <t>肺炎致15名医护离世</t>
  </si>
  <si>
    <t>['肺炎', '致', '15', '名', '医护', '离世']</t>
  </si>
  <si>
    <t>发现居家确诊将问责</t>
  </si>
  <si>
    <t>['发现', '居家', '确诊', '将', '问责']</t>
  </si>
  <si>
    <t>法国发生番茄病毒</t>
  </si>
  <si>
    <t>['法国', '发生', '番茄', '病毒']</t>
  </si>
  <si>
    <t>玄彬方再次否认恋情</t>
  </si>
  <si>
    <t>['玄彬方', '再次', '否认', '恋情']</t>
  </si>
  <si>
    <t>李明博获刑17年</t>
  </si>
  <si>
    <t>['李明博', '获刑', '17', '年']</t>
  </si>
  <si>
    <t>人民网评护士剃光头</t>
  </si>
  <si>
    <t>['人民', '人民网', '评', '护士', '光头', '剃光头']</t>
  </si>
  <si>
    <t>王思聪带前女友滑雪</t>
  </si>
  <si>
    <t>['王思聪带', '女友', '前女友', '滑雪']</t>
  </si>
  <si>
    <t>网友偶遇刘强东夫妇</t>
  </si>
  <si>
    <t>['网友', '偶遇', '刘强', '东', '夫妇']</t>
  </si>
  <si>
    <t>武汉病毒所公开信</t>
  </si>
  <si>
    <t>['武汉', '病毒', '所', '公开', '公开信']</t>
  </si>
  <si>
    <t>长清园博园发生火灾</t>
  </si>
  <si>
    <t>['长清园', '博园', '发生', '火灾']</t>
  </si>
  <si>
    <t>特朗普望华买发动机</t>
  </si>
  <si>
    <t>['特朗普', '望华买', '发动', '动机', '发动机']</t>
  </si>
  <si>
    <t>宋威龙全家福被曝</t>
  </si>
  <si>
    <t>['宋', '威龙', '全家', '全家福', '被', '曝']</t>
  </si>
  <si>
    <t>北京3月初开学不实</t>
  </si>
  <si>
    <t>['北京', '3', '月初', '开学', '不', '实']</t>
  </si>
  <si>
    <t>中储粮谈鄂粮食库存</t>
  </si>
  <si>
    <t>['中', '储粮', '谈', '鄂', '粮食', '库存']</t>
  </si>
  <si>
    <t>武汉非肺炎救治医院</t>
  </si>
  <si>
    <t>['武汉', '非', '肺炎', '救治', '医院']</t>
  </si>
  <si>
    <t>曾伟权被曝患肺癌</t>
  </si>
  <si>
    <t>['曾伟权', '被', '曝患', '肺癌']</t>
  </si>
  <si>
    <t>霍尊打哈欠下巴脱臼</t>
  </si>
  <si>
    <t>['霍尊', '打哈', '哈欠', '打哈欠', '下巴', '脱臼']</t>
  </si>
  <si>
    <t>2020/02/20</t>
  </si>
  <si>
    <t>鄂州回应派出所事件</t>
  </si>
  <si>
    <t>['鄂州', '回应', '派出', '派出所', '事件']</t>
  </si>
  <si>
    <t>病毒或与人长期共存</t>
  </si>
  <si>
    <t>['病毒', '或', '与', '人', '长期', '共存', '长期共存']</t>
  </si>
  <si>
    <t>孙小果被执行死刑</t>
  </si>
  <si>
    <t>['小果', '孙小果', '被', '执行', '死刑']</t>
  </si>
  <si>
    <t>加拿大200辆车相撞</t>
  </si>
  <si>
    <t>['加拿', '加拿大', '200', '辆车', '相撞']</t>
  </si>
  <si>
    <t>中方向日本紧急捐赠</t>
  </si>
  <si>
    <t>['中', '方向', '日本', '紧急', '捐赠']</t>
  </si>
  <si>
    <t>湖北新增降至三位数</t>
  </si>
  <si>
    <t>['湖北', '新增', '降', '至', '三位', '位数', '三位数']</t>
  </si>
  <si>
    <t>广州将分三批开学</t>
  </si>
  <si>
    <t>['广州', '将分', '三批', '开学']</t>
  </si>
  <si>
    <t>安徽研发新冠疫苗</t>
  </si>
  <si>
    <t>['安徽', '研发', '新冠', '疫苗']</t>
  </si>
  <si>
    <t>京东回应神舟起诉</t>
  </si>
  <si>
    <t>['京东', '回应', '神舟', '起诉']</t>
  </si>
  <si>
    <t>中央指导组哀悼逝者</t>
  </si>
  <si>
    <t>['中央', '指导', '指导组', '哀悼', '逝者']</t>
  </si>
  <si>
    <t>走私穿山甲中现病毒</t>
  </si>
  <si>
    <t>['走私', '山甲', '穿山甲', '中现', '病毒']</t>
  </si>
  <si>
    <t>新冠病毒来自动物界</t>
  </si>
  <si>
    <t>['新冠', '病毒', '来自', '动物', '动物界']</t>
  </si>
  <si>
    <t>新世界结局金海没死</t>
  </si>
  <si>
    <t>['世界', '新世界', '结局', '金海', '没', '死']</t>
  </si>
  <si>
    <t>日本全民将放假3天</t>
  </si>
  <si>
    <t>['日本', '全民', '将', '放假', '3', '天']</t>
  </si>
  <si>
    <t>中央指导组批湖北</t>
  </si>
  <si>
    <t>['中央', '指导', '指导组', '批', '湖北']</t>
  </si>
  <si>
    <t>河南3月1日后开学</t>
  </si>
  <si>
    <t>['河南', '3', '月', '1', '日后', '开学']</t>
  </si>
  <si>
    <t>宁桓宇宣布结婚</t>
  </si>
  <si>
    <t>['宁桓宇', '宣布', '结婚']</t>
  </si>
  <si>
    <t>武汉疫情仍十分严峻</t>
  </si>
  <si>
    <t>['武汉', '疫情', '仍', '十分', '严峻']</t>
  </si>
  <si>
    <t>武汉要求签责任状</t>
  </si>
  <si>
    <t>['武汉', '要求', '签', '责任', '责任状']</t>
  </si>
  <si>
    <t>日本告发者道歉</t>
  </si>
  <si>
    <t>['日本', '告发', '者', '道歉']</t>
  </si>
  <si>
    <t>湖北累计出院数过万</t>
  </si>
  <si>
    <t>['湖北', '累计', '出院', '数过', '万']</t>
  </si>
  <si>
    <t>浙江首个死亡病例</t>
  </si>
  <si>
    <t>['浙江', '首个', '死亡', '病例']</t>
  </si>
  <si>
    <t>湖南省教育厅发通知</t>
  </si>
  <si>
    <t>['湖南', '湖南省', '教育', '教育厅', '发', '通知']</t>
  </si>
  <si>
    <t>武汉15个区交卷</t>
  </si>
  <si>
    <t>['武汉', '15', '个区', '交卷']</t>
  </si>
  <si>
    <t>山东济南3.1级地震</t>
  </si>
  <si>
    <t>['山东', '济南', '3.1', '级', '地震']</t>
  </si>
  <si>
    <t>部分小区出入证取消</t>
  </si>
  <si>
    <t>['部分', '小区', '出入', '出入证', '取消']</t>
  </si>
  <si>
    <t>沈腾回应杨幂传闻</t>
  </si>
  <si>
    <t>['沈腾', '回应', '杨幂', '传闻']</t>
  </si>
  <si>
    <t>李兰娟进ICU问诊</t>
  </si>
  <si>
    <t>['李兰娟', '进', 'ICU', '问诊']</t>
  </si>
  <si>
    <t>金钟大发文道歉</t>
  </si>
  <si>
    <t>['金钟', '大', '发文', '道歉']</t>
  </si>
  <si>
    <t>卢伟冰被寄律师函</t>
  </si>
  <si>
    <t>['卢伟冰', '被', '寄', '律师', '律师函']</t>
  </si>
  <si>
    <t>钟南山联手哈佛大学</t>
  </si>
  <si>
    <t>['南山', '钟南山', '联手', '哈佛', '大学', '哈佛大学']</t>
  </si>
  <si>
    <t>日本教授录告发视频</t>
  </si>
  <si>
    <t>['日本', '教授', '录', '告发', '视频']</t>
  </si>
  <si>
    <t>央行宣布LPR下调</t>
  </si>
  <si>
    <t>['央行', '宣布', 'LPR', '下调']</t>
  </si>
  <si>
    <t>非湖北新增连降16日</t>
  </si>
  <si>
    <t>['非', '湖北', '新增', '连降', '16', '日']</t>
  </si>
  <si>
    <t>2020/02/21</t>
  </si>
  <si>
    <t>湖北复工时间通知</t>
  </si>
  <si>
    <t>['湖北', '复工', '时间', '通知']</t>
  </si>
  <si>
    <t>医生彭银华感染去世</t>
  </si>
  <si>
    <t>['医生', '彭银华', '感染', '去世']</t>
  </si>
  <si>
    <t>司马3忌将申请复议</t>
  </si>
  <si>
    <t>['司马', '3', '忌', '将', '申请', '复议']</t>
  </si>
  <si>
    <t>餐饮大王肺炎病逝</t>
  </si>
  <si>
    <t>['餐饮', '大王', '肺炎', '病逝']</t>
  </si>
  <si>
    <t>非湖北新增出现反弹</t>
  </si>
  <si>
    <t>['非', '湖北', '新增', '出现', '反弹']</t>
  </si>
  <si>
    <t>重庆调血浆增援湖北</t>
  </si>
  <si>
    <t>['重庆', '调', '血浆', '增援', '湖北']</t>
  </si>
  <si>
    <t>西班牙人0-4狼队</t>
  </si>
  <si>
    <t>['西班牙', '西班牙人', '0', '-', '4', '狼队']</t>
  </si>
  <si>
    <t>湖北订正新冠数据</t>
  </si>
  <si>
    <t>['湖北', '订正', '新冠', '数据']</t>
  </si>
  <si>
    <t>无端训斥医护被停职</t>
  </si>
  <si>
    <t>['无端', '训斥', '医护', '被', '停职']</t>
  </si>
  <si>
    <t>武汉拟再建方舱医院</t>
  </si>
  <si>
    <t>['武汉', '拟', '再', '建', '方舱', '医院']</t>
  </si>
  <si>
    <t>武汉出现床等人现象</t>
  </si>
  <si>
    <t>['武汉', '出现', '床', '等', '人', '现象']</t>
  </si>
  <si>
    <t>官方回应揭阳巨响</t>
  </si>
  <si>
    <t>['官方', '回应', '揭阳', '巨响']</t>
  </si>
  <si>
    <t>政治局会议谈及拐点</t>
  </si>
  <si>
    <t>['政治', '政治局', '会议', '谈及', '拐点']</t>
  </si>
  <si>
    <t>山东一监狱发生疫情</t>
  </si>
  <si>
    <t>['山东', '一', '监狱', '发生', '疫情']</t>
  </si>
  <si>
    <t>山东浙江多人被免职</t>
  </si>
  <si>
    <t>['山东', '浙江', '多人', '被', '免职']</t>
  </si>
  <si>
    <t>甘肃省三级应急响应</t>
  </si>
  <si>
    <t>['甘肃', '甘肃省', '三级', '应急', '响应']</t>
  </si>
  <si>
    <t>33名社区工作者殉职</t>
  </si>
  <si>
    <t>['33', '名', '社区', '工作', '作者', '工作者', '殉职']</t>
  </si>
  <si>
    <t>治愈10日复检出阳性</t>
  </si>
  <si>
    <t>['治愈', '10', '日', '复检', '出', '阳性']</t>
  </si>
  <si>
    <t>员工复工9天后确诊</t>
  </si>
  <si>
    <t>['员工', '复工', '9', '天后', '确诊']</t>
  </si>
  <si>
    <t>日本将进口中国口罩</t>
  </si>
  <si>
    <t>['日本', '将', '进口', '中国', '口罩']</t>
  </si>
  <si>
    <t>武汉启用游船酒店</t>
  </si>
  <si>
    <t>['武汉', '启用', '游船', '酒店']</t>
  </si>
  <si>
    <t>胜利将于3月6日入伍</t>
  </si>
  <si>
    <t>['胜利', '将', '于', '3', '月', '6', '日', '入伍']</t>
  </si>
  <si>
    <t>曝刘真已平安苏醒</t>
  </si>
  <si>
    <t>['曝刘真', '已', '平安', '苏醒']</t>
  </si>
  <si>
    <t>迁安近30人感染详情</t>
  </si>
  <si>
    <t>['迁安', '近', '30', '人', '感染', '详情']</t>
  </si>
  <si>
    <t>威少被驱逐</t>
  </si>
  <si>
    <t>['威少', '被', '驱逐']</t>
  </si>
  <si>
    <t>布冯向中国球迷道歉</t>
  </si>
  <si>
    <t>['布', '冯向', '中国', '球迷', '道歉']</t>
  </si>
  <si>
    <t>韩国疑现超级传播者</t>
  </si>
  <si>
    <t>['韩国', '疑现', '超级', '传播', '传播者']</t>
  </si>
  <si>
    <t>浙江监狱确诊34例</t>
  </si>
  <si>
    <t>['浙江', '监狱', '确诊', '34', '例']</t>
  </si>
  <si>
    <t>全国13地新增为零</t>
  </si>
  <si>
    <t>['全国', '13', '地', '新增', '为', '零']</t>
  </si>
  <si>
    <t>向佐自曝还没领证</t>
  </si>
  <si>
    <t>['向佐自', '曝', '还', '没', '领证']</t>
  </si>
  <si>
    <t>丽江旅游行业营业</t>
  </si>
  <si>
    <t>['丽江', '旅游', '行业', '营业']</t>
  </si>
  <si>
    <t>王宝强离婚内幕疑曝</t>
  </si>
  <si>
    <t>['王宝强', '离婚', '内幕', '疑', '曝']</t>
  </si>
  <si>
    <t>日本不强制取消活动</t>
  </si>
  <si>
    <t>['日本', '不', '强制', '取消', '活动']</t>
  </si>
  <si>
    <t>未戴口罩交谈被感染</t>
  </si>
  <si>
    <t>['未戴', '口罩', '交谈', '被', '感染']</t>
  </si>
  <si>
    <t>方舱单日出院破百</t>
  </si>
  <si>
    <t>['方舱', '单日', '出院', '破百']</t>
  </si>
  <si>
    <t>疫苗开发关键靶点</t>
  </si>
  <si>
    <t>['疫苗', '开发', '关键', '靶点']</t>
  </si>
  <si>
    <t>2020/02/22</t>
  </si>
  <si>
    <t>济南2.4级地震</t>
  </si>
  <si>
    <t>['济南', '2.4', '级', '地震']</t>
  </si>
  <si>
    <t>9国限制前往日本</t>
  </si>
  <si>
    <t>['9', '国', '限制', '前往', '日本']</t>
  </si>
  <si>
    <t>新疆伽师5.1级地震</t>
  </si>
  <si>
    <t>['新疆', '伽师', '5.1', '级', '地震']</t>
  </si>
  <si>
    <t>孙俪演技引争议</t>
  </si>
  <si>
    <t>['孙俪', '演技', '引', '争议']</t>
  </si>
  <si>
    <t>彭银华医生妻子发声</t>
  </si>
  <si>
    <t>['彭银华', '医生', '妻子', '发声']</t>
  </si>
  <si>
    <t>专家谈疫情何时归零</t>
  </si>
  <si>
    <t>['专家', '谈', '疫情', '何时', '归零']</t>
  </si>
  <si>
    <t>辽宁省三级应急响应</t>
  </si>
  <si>
    <t>['辽宁', '辽宁省', '三级', '应急', '响应']</t>
  </si>
  <si>
    <t>武汉问责620人</t>
  </si>
  <si>
    <t>['武汉', '问责', '620', '人']</t>
  </si>
  <si>
    <t>浓眉哥意外受伤</t>
  </si>
  <si>
    <t>['浓眉', '哥', '意外', '受伤']</t>
  </si>
  <si>
    <t>窦靖童妹妹官宣恋情</t>
  </si>
  <si>
    <t>['窦靖童', '妹妹', '官宣', '恋情']</t>
  </si>
  <si>
    <t>62岁出院者被刑拘</t>
  </si>
  <si>
    <t>['62', '岁', '出院', '者', '被', '刑拘']</t>
  </si>
  <si>
    <t>苹果新专利被曝</t>
  </si>
  <si>
    <t>['苹果', '新', '专利', '被', '曝']</t>
  </si>
  <si>
    <t>武汉检测存量清零</t>
  </si>
  <si>
    <t>['武汉', '检测', '存量', '清零']</t>
  </si>
  <si>
    <t>曝湖人将裁考辛斯</t>
  </si>
  <si>
    <t>['曝湖', '人', '将', '裁考', '辛斯']</t>
  </si>
  <si>
    <t>尿液中分离新冠病毒</t>
  </si>
  <si>
    <t>['尿液', '中', '分离', '新冠', '病毒']</t>
  </si>
  <si>
    <t>新增确诊潜伏期27天</t>
  </si>
  <si>
    <t>['新增', '确诊', '潜伏', '潜伏期', '27', '天']</t>
  </si>
  <si>
    <t>线上看草莓音乐节</t>
  </si>
  <si>
    <t>['线上', '看', '草莓', '音乐', '音乐节']</t>
  </si>
  <si>
    <t>4万只杀人蜂袭美</t>
  </si>
  <si>
    <t>['4', '万', '只', '杀人', '杀人蜂', '袭美']</t>
  </si>
  <si>
    <t>华南海鲜市场非源头</t>
  </si>
  <si>
    <t>['华南', '海鲜', '市场', '非', '源头']</t>
  </si>
  <si>
    <t>釜山行导演后悔剧本</t>
  </si>
  <si>
    <t>['釜山', '行', '导演', '后悔', '剧本']</t>
  </si>
  <si>
    <t>民众呼吁取消东奥</t>
  </si>
  <si>
    <t>['民众', '呼吁', '取消', '东奥']</t>
  </si>
  <si>
    <t>所罗门群岛向华求助</t>
  </si>
  <si>
    <t>['群岛', '所罗门', '所罗门群岛', '向华', '求助']</t>
  </si>
  <si>
    <t>确诊乘务员活动轨迹</t>
  </si>
  <si>
    <t>['确诊', '乘务', '乘务员', '活动', '轨迹']</t>
  </si>
  <si>
    <t>浙江疫苗已产生抗体</t>
  </si>
  <si>
    <t>['浙江', '疫苗', '已', '产生', '抗体']</t>
  </si>
  <si>
    <t>新冠病毒或全美蔓延</t>
  </si>
  <si>
    <t>['新冠', '病毒', '或', '全美', '蔓延']</t>
  </si>
  <si>
    <t>山东矿井地压事故</t>
  </si>
  <si>
    <t>['山东', '矿井', '地压', '事故']</t>
  </si>
  <si>
    <t>梅西谈科比遇难</t>
  </si>
  <si>
    <t>['梅西谈', '科比', '遇难']</t>
  </si>
  <si>
    <t>科比追悼会主题披露</t>
  </si>
  <si>
    <t>['科比', '追悼', '追悼会', '主题', '披露']</t>
  </si>
  <si>
    <t>京东再回应神舟起诉</t>
  </si>
  <si>
    <t>['京东', '再', '回应', '神舟', '起诉']</t>
  </si>
  <si>
    <t>世卫专家团前往武汉</t>
  </si>
  <si>
    <t>['世卫', '专家', '专家团', '前往', '武汉']</t>
  </si>
  <si>
    <t>不想上班称妻女确诊</t>
  </si>
  <si>
    <t>['不想', '上班', '称', '妻女', '确诊']</t>
  </si>
  <si>
    <t>广元市民卸口罩喝茶</t>
  </si>
  <si>
    <t>['广元', '市民', '卸', '口罩', '喝茶']</t>
  </si>
  <si>
    <t>24城复工率超80%</t>
  </si>
  <si>
    <t>['24', '城', '复工', '率超', '80%']</t>
  </si>
  <si>
    <t>王思聪晒高档日料</t>
  </si>
  <si>
    <t>['王思聪', '晒', '高档', '日料']</t>
  </si>
  <si>
    <t>全国20地新增为0</t>
  </si>
  <si>
    <t>['全国', '20', '地', '新增', '为', '0']</t>
  </si>
  <si>
    <t>2020/02/23</t>
  </si>
  <si>
    <t>鄂员工向黄晓明辞职</t>
  </si>
  <si>
    <t>['鄂', '员工', '向', '黄晓明', '辞职']</t>
  </si>
  <si>
    <t>河北平山3.0级地震</t>
  </si>
  <si>
    <t>['河北', '平山', '3.0', '级', '地震']</t>
  </si>
  <si>
    <t>日本邮轮漏检23人</t>
  </si>
  <si>
    <t>['日本', '邮轮', '漏检', '23', '人']</t>
  </si>
  <si>
    <t>可重复使用口罩上市</t>
  </si>
  <si>
    <t>['可', '重复', '使用', '重复使用', '口罩', '上市']</t>
  </si>
  <si>
    <t>非湖北确诊仅增18例</t>
  </si>
  <si>
    <t>['非', '湖北', '确诊', '仅增', '18', '例']</t>
  </si>
  <si>
    <t>官方谈何时能去理发</t>
  </si>
  <si>
    <t>['官方', '谈', '何时', '何时能', '去', '理发']</t>
  </si>
  <si>
    <t>武汉战疫数据日志</t>
  </si>
  <si>
    <t>['武汉', '战疫', '数据', '日志']</t>
  </si>
  <si>
    <t>仅有一位旅客游黄山</t>
  </si>
  <si>
    <t>['仅', '有', '一位', '旅客', '游', '黄山']</t>
  </si>
  <si>
    <t>四川监狱战时状态</t>
  </si>
  <si>
    <t>['四川', '监狱', '战时', '状态']</t>
  </si>
  <si>
    <t>钟南山谈黑龙江疫情</t>
  </si>
  <si>
    <t>['南山', '钟南山', '谈', '龙江', '黑龙江', '疫情']</t>
  </si>
  <si>
    <t>同时患登革热和新冠</t>
  </si>
  <si>
    <t>['同时', '患', '登革热', '和', '新冠']</t>
  </si>
  <si>
    <t>意大利多城市封城</t>
  </si>
  <si>
    <t>['大利', '意大利', '多', '城市', '封城']</t>
  </si>
  <si>
    <t>电影院复工准备</t>
  </si>
  <si>
    <t>['电影', '影院', '电影院', '复工', '准备']</t>
  </si>
  <si>
    <t>蝙蝠或直接感染人</t>
  </si>
  <si>
    <t>['蝙蝠', '或', '直接', '感染', '人']</t>
  </si>
  <si>
    <t>湖北一线医务提薪</t>
  </si>
  <si>
    <t>['湖北', '一线', '医务', '提薪']</t>
  </si>
  <si>
    <t>宅草莓不只有音乐</t>
  </si>
  <si>
    <t>['宅', '草莓', '不', '只有', '音乐']</t>
  </si>
  <si>
    <t>宋丹丹儿子发文道歉</t>
  </si>
  <si>
    <t>['丹丹', '宋丹丹', '儿子', '发文', '道歉']</t>
  </si>
  <si>
    <t>烤串店一天卖6千串</t>
  </si>
  <si>
    <t>['烤串', '店', '一天', '卖', '6', '千串']</t>
  </si>
  <si>
    <t>监狱人员隔离期外逃</t>
  </si>
  <si>
    <t>['监狱', '人员', '隔离', '期', '外逃']</t>
  </si>
  <si>
    <t>美疾控中心回应传言</t>
  </si>
  <si>
    <t>['美', '中心', '疾控中心', '回应', '传言']</t>
  </si>
  <si>
    <t>美国发现彩虹蛇</t>
  </si>
  <si>
    <t>['美国', '发现', '彩虹', '蛇']</t>
  </si>
  <si>
    <t>韩国新增确诊87例</t>
  </si>
  <si>
    <t>['韩国', '新增', '确诊', '87', '例']</t>
  </si>
  <si>
    <t>韩国新增患者123例</t>
  </si>
  <si>
    <t>['韩国', '新增', '患者', '123', '例']</t>
  </si>
  <si>
    <t>世卫回应蚊子传播</t>
  </si>
  <si>
    <t>['世卫', '回应', '蚊子', '传播']</t>
  </si>
  <si>
    <t>韩国一天激增229例</t>
  </si>
  <si>
    <t>['韩国', '一天', '激增', '229', '例']</t>
  </si>
  <si>
    <t>梅西大四喜</t>
  </si>
  <si>
    <t>['梅西', '大四', '四喜', '大四喜']</t>
  </si>
  <si>
    <t>隔离期逃回家吃面</t>
  </si>
  <si>
    <t>['隔离', '期逃', '回家', '吃面']</t>
  </si>
  <si>
    <t>不要对居室全面消毒</t>
  </si>
  <si>
    <t>['不要', '对', '居室', '全面', '消毒']</t>
  </si>
  <si>
    <t>宋慧乔亮相米兰</t>
  </si>
  <si>
    <t>['宋慧乔', '亮相', '米兰']</t>
  </si>
  <si>
    <t>6岁哥哥开导4岁弟弟</t>
  </si>
  <si>
    <t>['6', '岁', '哥哥', '开导', '4', '岁', '弟弟']</t>
  </si>
  <si>
    <t>山西医护人手一瓶醋</t>
  </si>
  <si>
    <t>['山西', '医护', '人手', '一瓶', '醋']</t>
  </si>
  <si>
    <t>吴海军喊话刘强东</t>
  </si>
  <si>
    <t>['海军', '吴海军', '喊话', '刘强', '东']</t>
  </si>
  <si>
    <t>在线看草莓音乐节</t>
  </si>
  <si>
    <t>['在线', '在线看', '草莓', '音乐', '音乐节']</t>
  </si>
  <si>
    <t>窦唯前妻高原近照</t>
  </si>
  <si>
    <t>['窦唯', '前妻', '高原', '近照']</t>
  </si>
  <si>
    <t>2020/02/24</t>
  </si>
  <si>
    <t>科比追悼会</t>
  </si>
  <si>
    <t>['科比', '追悼', '追悼会']</t>
  </si>
  <si>
    <t>钟南山谈当务之急</t>
  </si>
  <si>
    <t>['南山', '钟南山', '谈', '当务之急']</t>
  </si>
  <si>
    <t>武功山发紧急通告</t>
  </si>
  <si>
    <t>['武功', '武功山', '发', '紧急', '通告']</t>
  </si>
  <si>
    <t>李咏女儿晒近照</t>
  </si>
  <si>
    <t>['李咏', '女儿', '晒', '近照']</t>
  </si>
  <si>
    <t>深圳拉响粤战疫警报</t>
  </si>
  <si>
    <t>['深圳', '拉响', '粤', '战疫', '警报']</t>
  </si>
  <si>
    <t>大理市委书记被免</t>
  </si>
  <si>
    <t>['大理', '市委', '书记', '市委书记', '被免']</t>
  </si>
  <si>
    <t>安东尼32分创纪录</t>
  </si>
  <si>
    <t>['安东', '安东尼', '32', '分', '纪录', '创纪录']</t>
  </si>
  <si>
    <t>南医大林伶案告破</t>
  </si>
  <si>
    <t>['南', '医大', '林伶案', '告破']</t>
  </si>
  <si>
    <t>武汉第17号通告</t>
  </si>
  <si>
    <t>['武汉', '第', '17', '号', '通告']</t>
  </si>
  <si>
    <t>马来西亚总理辞职</t>
  </si>
  <si>
    <t>['马来', '西亚', '马来西亚', '总理', '辞职']</t>
  </si>
  <si>
    <t>黄晓明起诉多位网友</t>
  </si>
  <si>
    <t>['黄晓明', '起诉', '多位', '网友']</t>
  </si>
  <si>
    <t>湖北退休官员被处分</t>
  </si>
  <si>
    <t>['湖北', '退休', '官员', '被', '处分']</t>
  </si>
  <si>
    <t>向太谈向佐夫妇领证</t>
  </si>
  <si>
    <t>['向', '太谈', '向', '佐', '夫妇', '领证']</t>
  </si>
  <si>
    <t>人大常委会两项决定</t>
  </si>
  <si>
    <t>['人大', '常委', '委会', '常委会', '人大常委会', '两项', '决定']</t>
  </si>
  <si>
    <t>钟南山谈重新感染</t>
  </si>
  <si>
    <t>['南山', '钟南山', '谈', '重新', '感染']</t>
  </si>
  <si>
    <t>全球出现爆发式疫情</t>
  </si>
  <si>
    <t>['全球', '出现', '爆发', '发式', '爆发式', '疫情']</t>
  </si>
  <si>
    <t>李英爱遭韩网友攻击</t>
  </si>
  <si>
    <t>['李英爱', '遭韩', '网友', '攻击']</t>
  </si>
  <si>
    <t>北极现数百万甲烷点</t>
  </si>
  <si>
    <t>['北极', '现', '数百', '百万', '数百万', '甲烷', '点']</t>
  </si>
  <si>
    <t>曝美国感染或超千人</t>
  </si>
  <si>
    <t>['曝', '美国', '感染', '或', '超千人']</t>
  </si>
  <si>
    <t>广东调整为二级响应</t>
  </si>
  <si>
    <t>['广东', '调整', '为', '二级', '响应']</t>
  </si>
  <si>
    <t>湖北6市零新增</t>
  </si>
  <si>
    <t>['湖北', '6', '市零', '新增']</t>
  </si>
  <si>
    <t>官方呼吁银行帮企业</t>
  </si>
  <si>
    <t>['官方', '呼吁', '银行', '帮', '企业']</t>
  </si>
  <si>
    <t>谢娜疑似怀二胎</t>
  </si>
  <si>
    <t>['谢娜', '疑似', '怀', '二胎']</t>
  </si>
  <si>
    <t>百事收购百草味</t>
  </si>
  <si>
    <t>['百事', '收购', '百草', '味']</t>
  </si>
  <si>
    <t>王一博模仿河南村长</t>
  </si>
  <si>
    <t>['王一博', '模仿', '河南', '村长']</t>
  </si>
  <si>
    <t>天文学泰斗感染肺炎</t>
  </si>
  <si>
    <t>['天文', '文学', '天文学', '泰斗', '感染', '肺炎']</t>
  </si>
  <si>
    <t>陕西省全面恢复交通</t>
  </si>
  <si>
    <t>['陕西', '陕西省', '全面', '恢复', '交通']</t>
  </si>
  <si>
    <t>湖北拟提拔4名干部</t>
  </si>
  <si>
    <t>['湖北', '拟提', '提拔', '拟提拔', '4', '名', '干部']</t>
  </si>
  <si>
    <t>意大利肺炎疫情加剧</t>
  </si>
  <si>
    <t>['大利', '意大利', '肺炎', '疫情', '加剧']</t>
  </si>
  <si>
    <t>二月二理发别扎堆</t>
  </si>
  <si>
    <t>['二月', '二', '理发', '别', '扎堆']</t>
  </si>
  <si>
    <t>2020/02/25</t>
  </si>
  <si>
    <t>新冠病毒或有季节性</t>
  </si>
  <si>
    <t>['新冠', '病毒', '或', '有', '季节', '季节性']</t>
  </si>
  <si>
    <t>郭碧婷回应领证</t>
  </si>
  <si>
    <t>['郭碧婷', '回应', '领证']</t>
  </si>
  <si>
    <t>南医大案抓捕现场</t>
  </si>
  <si>
    <t>['南医', '大案', '抓捕', '现场']</t>
  </si>
  <si>
    <t>詹姆斯发文悼念科比</t>
  </si>
  <si>
    <t>['詹姆斯', '发文', '悼念', '科比']</t>
  </si>
  <si>
    <t>世卫专家谈武汉拐点</t>
  </si>
  <si>
    <t>['世卫', '专家', '谈', '武汉', '拐点']</t>
  </si>
  <si>
    <t>钟南山谈复检呈阳性</t>
  </si>
  <si>
    <t>['南山', '钟南山', '谈', '复检', '呈', '阳性']</t>
  </si>
  <si>
    <t>遗体解剖有重要发现</t>
  </si>
  <si>
    <t>['遗体', '解剖', '有', '重要', '发现']</t>
  </si>
  <si>
    <t>瓦妮莎起诉租赁公司</t>
  </si>
  <si>
    <t>['瓦妮', '莎', '起诉', '租赁', '公司']</t>
  </si>
  <si>
    <t>严控离汉离鄂通道</t>
  </si>
  <si>
    <t>['严控', '离汉离', '鄂', '通道']</t>
  </si>
  <si>
    <t>吴昕照顾父亲显憔悴</t>
  </si>
  <si>
    <t>['吴昕', '照顾', '父亲', '显', '憔悴']</t>
  </si>
  <si>
    <t>新冠病毒口服疫苗</t>
  </si>
  <si>
    <t>['新冠', '病毒', '口服', '疫苗']</t>
  </si>
  <si>
    <t>韩国来吉林发热4人</t>
  </si>
  <si>
    <t>['韩国', '来', '吉林', '发热', '4', '人']</t>
  </si>
  <si>
    <t>大韩航空1乘务确诊</t>
  </si>
  <si>
    <t>['大', '韩', '航空', '1', '乘务', '确诊']</t>
  </si>
  <si>
    <t>湖北咸宁突发山火</t>
  </si>
  <si>
    <t>['湖北', '咸宁', '突发', '山火']</t>
  </si>
  <si>
    <t>韩媒误报一夜60人亡</t>
  </si>
  <si>
    <t>['韩媒', '误报', '一夜', '60', '人亡']</t>
  </si>
  <si>
    <t>韩国牧师全光勋被拘</t>
  </si>
  <si>
    <t>['韩国', '牧师', '全光勋', '被', '拘']</t>
  </si>
  <si>
    <t>四川威远县发生地震</t>
  </si>
  <si>
    <t>['四川', '威远', '威远县', '发生', '地震']</t>
  </si>
  <si>
    <t>4台ECMO设备抵武汉</t>
  </si>
  <si>
    <t>['4', '台', 'ECMO', '设备', '抵', '武汉']</t>
  </si>
  <si>
    <t>广州13例出院后复阳</t>
  </si>
  <si>
    <t>['广州', '13', '例', '出院', '后', '复阳']</t>
  </si>
  <si>
    <t>台湾宜兰县发生地震</t>
  </si>
  <si>
    <t>['台湾', '宜兰', '宜兰县', '发生', '地震']</t>
  </si>
  <si>
    <t>泄露疫情信息被查</t>
  </si>
  <si>
    <t>['泄露', '疫情', '信息', '被查']</t>
  </si>
  <si>
    <t>伊朗卫生副部长感染</t>
  </si>
  <si>
    <t>['伊朗', '卫生', '副', '部长', '感染']</t>
  </si>
  <si>
    <t>核酸8次阴性后确诊</t>
  </si>
  <si>
    <t>['核酸', '8', '次', '阴性', '后', '确诊']</t>
  </si>
  <si>
    <t>27省恢复客运班线</t>
  </si>
  <si>
    <t>['27', '省', '恢复', '客运', '班线']</t>
  </si>
  <si>
    <t>宅草莓</t>
  </si>
  <si>
    <t>['宅', '草莓']</t>
  </si>
  <si>
    <t>0病例省需观察28天</t>
  </si>
  <si>
    <t>['0', '病例', '省', '需', '观察', '28', '天']</t>
  </si>
  <si>
    <t>FBI歧视华人被调查</t>
  </si>
  <si>
    <t>['FBI', '歧视', '华人', '被', '调查']</t>
  </si>
  <si>
    <t>沈阳防境外疫情输入</t>
  </si>
  <si>
    <t>['沈阳', '防', '境外', '疫情', '输入']</t>
  </si>
  <si>
    <t>章子怡给儿子剃头</t>
  </si>
  <si>
    <t>['章子', '章子怡', '给', '儿子', '剃头']</t>
  </si>
  <si>
    <t>多国赞赏中国抗疫</t>
  </si>
  <si>
    <t>['多', '国', '赞赏', '中国', '抗疫']</t>
  </si>
  <si>
    <t>湖北5市新增为0</t>
  </si>
  <si>
    <t>['湖北', '5', '市', '新增', '为', '0']</t>
  </si>
  <si>
    <t>以色列空袭两国家</t>
  </si>
  <si>
    <t>['以色列', '空袭', '两', '国家']</t>
  </si>
  <si>
    <t>宁夏大学再回应核分</t>
  </si>
  <si>
    <t>['宁夏', '大学', '宁夏大学', '再', '回应', '核分']</t>
  </si>
  <si>
    <t>韩国27岁狱警确诊</t>
  </si>
  <si>
    <t>['韩国', '27', '岁', '狱警', '确诊']</t>
  </si>
  <si>
    <t>华尔街日报员工发声</t>
  </si>
  <si>
    <t>['日报', '华尔街', '华尔街日报', '员工', '发声']</t>
  </si>
  <si>
    <t>陈赫工作室发声明</t>
  </si>
  <si>
    <t>['陈赫', '工作', '工作室', '发声', '声明', '发声明']</t>
  </si>
  <si>
    <t>2020/02/26</t>
  </si>
  <si>
    <t>富士康聘请钟南山</t>
  </si>
  <si>
    <t>['富士', '富士康', '聘请', '南山', '钟南山']</t>
  </si>
  <si>
    <t>到市场买鱼后感染</t>
  </si>
  <si>
    <t>['到', '市场', '买鱼', '后', '感染']</t>
  </si>
  <si>
    <t>首尔飞南京94人隔离</t>
  </si>
  <si>
    <t>['首尔', '飞', '南京', '94', '人', '隔离']</t>
  </si>
  <si>
    <t>外交部回应窃取成果</t>
  </si>
  <si>
    <t>['外交', '外交部', '回应', '窃取', '成果']</t>
  </si>
  <si>
    <t>官方辟谣千人进长沙</t>
  </si>
  <si>
    <t>['官方', '辟谣', '千人进', '长沙']</t>
  </si>
  <si>
    <t>非湖北新增确诊5例</t>
  </si>
  <si>
    <t>['非', '湖北', '新增', '确诊', '5', '例']</t>
  </si>
  <si>
    <t>科比最后心愿达成</t>
  </si>
  <si>
    <t>['科比', '最后', '心愿', '达成']</t>
  </si>
  <si>
    <t>日本回应或取消奥运</t>
  </si>
  <si>
    <t>['日本', '回应', '或', '取消', '奥运']</t>
  </si>
  <si>
    <t>东城现武汉来京病例</t>
  </si>
  <si>
    <t>['东城', '现', '武汉', '来京', '病例']</t>
  </si>
  <si>
    <t>佛堂跪毯测出病毒</t>
  </si>
  <si>
    <t>['佛堂', '跪毯', '测出', '病毒']</t>
  </si>
  <si>
    <t>商务部谈武汉餐饮业</t>
  </si>
  <si>
    <t>['商务', '商务部', '谈', '武汉', '餐饮', '餐饮业']</t>
  </si>
  <si>
    <t>韩国飞威海5人发热</t>
  </si>
  <si>
    <t>['韩国', '飞', '威海', '5', '人', '发热']</t>
  </si>
  <si>
    <t>东京奥运会可能取消</t>
  </si>
  <si>
    <t>['东京', '奥运', '奥运会', '可能', '取消']</t>
  </si>
  <si>
    <t>武汉最早患者详情</t>
  </si>
  <si>
    <t>['武汉', '最早', '患者', '详情']</t>
  </si>
  <si>
    <t>荆门书记市长被诫勉</t>
  </si>
  <si>
    <t>['荆门', '书记', '市长', '被', '诫勉']</t>
  </si>
  <si>
    <t>网曝娜扎张翰疑复合</t>
  </si>
  <si>
    <t>['网', '曝娜', '扎', '张翰疑', '复合']</t>
  </si>
  <si>
    <t>宅草莓黄旭变身大厨</t>
  </si>
  <si>
    <t>['宅', '草莓', '黄旭', '变身', '大厨']</t>
  </si>
  <si>
    <t>北斗卫星接入系统</t>
  </si>
  <si>
    <t>['北斗', '卫星', '接入', '系统']</t>
  </si>
  <si>
    <t>非湖北死亡新增为零</t>
  </si>
  <si>
    <t>['非', '湖北', '死亡', '新增', '为', '零']</t>
  </si>
  <si>
    <t>驻韩美军确诊新冠</t>
  </si>
  <si>
    <t>['驻', '韩美', '美军', '韩美军', '确诊', '新冠']</t>
  </si>
  <si>
    <t>韩国第12例死亡病例</t>
  </si>
  <si>
    <t>['韩国', '第', '12', '例', '死亡', '病例']</t>
  </si>
  <si>
    <t>刘亦菲晒健身照</t>
  </si>
  <si>
    <t>['刘亦菲', '晒', '健身', '照']</t>
  </si>
  <si>
    <t>口罩的10个最新问题</t>
  </si>
  <si>
    <t>['口罩', '的', '10', '个', '最新', '问题']</t>
  </si>
  <si>
    <t>湖北404民辅警染病</t>
  </si>
  <si>
    <t>['湖北', '404', '民辅警', '染病']</t>
  </si>
  <si>
    <t>上海正全力筹办S10</t>
  </si>
  <si>
    <t>['上海', '正', '全力', '筹办', 'S10']</t>
  </si>
  <si>
    <t>95后辅警抗疫牺牲</t>
  </si>
  <si>
    <t>['95', '后', '辅警', '抗疫', '牺牲']</t>
  </si>
  <si>
    <t>韩又一教会牧师确诊</t>
  </si>
  <si>
    <t>['韩', '又', '一', '教会', '牧师', '确诊']</t>
  </si>
  <si>
    <t>朝鲜暂停赴朝旅游</t>
  </si>
  <si>
    <t>['朝鲜', '暂停', '赴', '朝', '旅游']</t>
  </si>
  <si>
    <t>阳澄湖螃蟹大量滞销</t>
  </si>
  <si>
    <t>['阳澄湖', '螃蟹', '大量', '滞销']</t>
  </si>
  <si>
    <t>联合国发蝗灾警告</t>
  </si>
  <si>
    <t>['联合', '联合国', '发', '蝗灾', '警告']</t>
  </si>
  <si>
    <t>潘长江女儿霸气回怼</t>
  </si>
  <si>
    <t>['长江', '潘长江', '女儿', '霸气', '回怼']</t>
  </si>
  <si>
    <t>美国口罩出现缺口</t>
  </si>
  <si>
    <t>['美国', '口罩', '出现', '缺口']</t>
  </si>
  <si>
    <t>中组部谈党员捐款</t>
  </si>
  <si>
    <t>['中组部', '谈', '党员', '捐款']</t>
  </si>
  <si>
    <t>曝韩红基金会购物单</t>
  </si>
  <si>
    <t>['曝韩红', '基金', '基金会', '购物', '购物单']</t>
  </si>
  <si>
    <t>京严格入境健康管理</t>
  </si>
  <si>
    <t>['京', '严格', '入境', '健康', '管理']</t>
  </si>
  <si>
    <t>2020/02/27</t>
  </si>
  <si>
    <t>王思聪现身泰国</t>
  </si>
  <si>
    <t>['王思聪', '现身', '泰国']</t>
  </si>
  <si>
    <t>孙俪晒与妹妹合照</t>
  </si>
  <si>
    <t>['孙俪', '晒', '与', '妹妹', '合照']</t>
  </si>
  <si>
    <t>援鄂护士暂解限高令</t>
  </si>
  <si>
    <t>['援鄂', '护士', '暂解', '限高', '令']</t>
  </si>
  <si>
    <t>白岩松谈返京女子</t>
  </si>
  <si>
    <t>['白岩松', '谈', '返京', '女子']</t>
  </si>
  <si>
    <t>监狱回应离汉抵京</t>
  </si>
  <si>
    <t>['监狱', '回应', '离汉', '抵京']</t>
  </si>
  <si>
    <t>鄂彻查女子离汉抵京</t>
  </si>
  <si>
    <t>['鄂', '彻查', '女子', '离汉', '抵京']</t>
  </si>
  <si>
    <t>新天地礼拜禁戴口罩</t>
  </si>
  <si>
    <t>['天地', '新天地', '礼拜', '禁戴', '口罩']</t>
  </si>
  <si>
    <t>汪小菲发布律师声明</t>
  </si>
  <si>
    <t>['汪小菲', '发布', '律师', '声明']</t>
  </si>
  <si>
    <t>浙江鸭子将出征灭蝗</t>
  </si>
  <si>
    <t>['浙江', '鸭子', '将', '出征', '灭蝗']</t>
  </si>
  <si>
    <t>北京新增聚集性疫情</t>
  </si>
  <si>
    <t>['北京', '新增', '聚集', '性', '疫情']</t>
  </si>
  <si>
    <t>华春莹向美提出交涉</t>
  </si>
  <si>
    <t>['华春莹', '向', '美', '提出', '交涉']</t>
  </si>
  <si>
    <t>宋仲基捐款57万</t>
  </si>
  <si>
    <t>['宋仲基', '捐款', '57', '万']</t>
  </si>
  <si>
    <t>张天爱被曝修改年龄</t>
  </si>
  <si>
    <t>['张天爱', '被', '曝', '修改', '年龄']</t>
  </si>
  <si>
    <t>监狱集中感染原因</t>
  </si>
  <si>
    <t>['监狱', '集中', '感染', '原因']</t>
  </si>
  <si>
    <t>央行择机定向降准</t>
  </si>
  <si>
    <t>['央行', '择机', '定向', '降准']</t>
  </si>
  <si>
    <t>蝗虫席卷20多个国家</t>
  </si>
  <si>
    <t>['蝗虫', '席卷', '20', '多个', '国家']</t>
  </si>
  <si>
    <t>美国密尔沃基枪击案</t>
  </si>
  <si>
    <t>['美国', '密尔沃基', '枪击', '枪击案']</t>
  </si>
  <si>
    <t>16省下调响应级别</t>
  </si>
  <si>
    <t>['16', '省', '下调', '响应', '级别']</t>
  </si>
  <si>
    <t>返京女子减刑书被曝</t>
  </si>
  <si>
    <t>['返京', '女子', '减刑', '书', '被', '曝']</t>
  </si>
  <si>
    <t>日研发测病毒新方法</t>
  </si>
  <si>
    <t>['日', '研发', '测', '病毒', '新', '方法']</t>
  </si>
  <si>
    <t>离汉抵京者女儿发声</t>
  </si>
  <si>
    <t>['离汉', '抵京', '者', '女儿', '发声']</t>
  </si>
  <si>
    <t>十万鸭子灭蝗真相</t>
  </si>
  <si>
    <t>['十万', '鸭子', '灭蝗', '真相']</t>
  </si>
  <si>
    <t>治愈患者肺受损严重</t>
  </si>
  <si>
    <t>['治愈', '患者', '肺', '受损', '严重']</t>
  </si>
  <si>
    <t>台湾578名学生发烧</t>
  </si>
  <si>
    <t>['台湾', '578', '名', '学生', '发烧']</t>
  </si>
  <si>
    <t>曝肖战旧社交账号</t>
  </si>
  <si>
    <t>['曝肖战', '旧', '社交', '账号']</t>
  </si>
  <si>
    <t>原则上继续推迟开学</t>
  </si>
  <si>
    <t>['原则', '原则上', '继续', '推迟', '开学']</t>
  </si>
  <si>
    <t>口罩要戴1到2个月</t>
  </si>
  <si>
    <t>['口罩', '要', '戴', '1', '到', '2', '个', '月']</t>
  </si>
  <si>
    <t>导演曝悬疑片潜规则</t>
  </si>
  <si>
    <t>['导演', '曝', '悬疑', '悬疑片', '规则', '潜规则']</t>
  </si>
  <si>
    <t>中国向日本提供物资</t>
  </si>
  <si>
    <t>['中国', '向', '日本', '提供', '物资']</t>
  </si>
  <si>
    <t>海莉发文声援亚洲人</t>
  </si>
  <si>
    <t>['海莉', '发文', '声援', '亚洲', '人']</t>
  </si>
  <si>
    <t>谷歌希望与华为合作</t>
  </si>
  <si>
    <t>['谷歌', '希望', '与', '华为', '合作']</t>
  </si>
  <si>
    <t>四川审慎开学时间</t>
  </si>
  <si>
    <t>['四川', '审慎', '开学', '时间']</t>
  </si>
  <si>
    <t>非湖北新增确诊24例</t>
  </si>
  <si>
    <t>['非', '湖北', '新增', '确诊', '24', '例']</t>
  </si>
  <si>
    <t>桥本爱实宣布怀孕</t>
  </si>
  <si>
    <t>['桥本', '爱实', '宣布', '怀孕']</t>
  </si>
  <si>
    <t>上海将加强入境管理</t>
  </si>
  <si>
    <t>['上海', '将', '加强', '入境', '管理']</t>
  </si>
  <si>
    <t>青头潜鸭现身云南</t>
  </si>
  <si>
    <t>['青头', '潜鸭', '现身', '云南']</t>
  </si>
  <si>
    <t>日本垃圾堆惊现巨款</t>
  </si>
  <si>
    <t>['日本', '垃圾', '垃圾堆', '惊现', '巨款']</t>
  </si>
  <si>
    <t>钟南山谈复工</t>
  </si>
  <si>
    <t>['南山', '钟南山', '谈', '复工']</t>
  </si>
  <si>
    <t>2020/02/28</t>
  </si>
  <si>
    <t>专家研判新冠源头</t>
  </si>
  <si>
    <t>['专家', '研判', '新冠', '源头']</t>
  </si>
  <si>
    <t>韩单日确诊首超中国</t>
  </si>
  <si>
    <t>['韩', '单日', '确诊', '首超', '中国']</t>
  </si>
  <si>
    <t>蒙古国赠送3万只羊</t>
  </si>
  <si>
    <t>['蒙古', '古国', '蒙古国', '赠送', '3', '万', '只', '羊']</t>
  </si>
  <si>
    <t>曝武汉女子监狱画面</t>
  </si>
  <si>
    <t>['曝', '武汉', '女子', '监狱', '女子监狱', '画面']</t>
  </si>
  <si>
    <t>北京发布六条新规</t>
  </si>
  <si>
    <t>['北京', '发布', '六条', '新规']</t>
  </si>
  <si>
    <t>黄晓明为baby庆生</t>
  </si>
  <si>
    <t>['黄晓明', '为', 'baby', '庆生']</t>
  </si>
  <si>
    <t>辛龙发文谈刘真病情</t>
  </si>
  <si>
    <t>['辛龙', '发文', '谈', '刘真', '病情']</t>
  </si>
  <si>
    <t>科比姐姐晒新纹身</t>
  </si>
  <si>
    <t>['科比', '姐姐', '晒', '新', '纹身']</t>
  </si>
  <si>
    <t>南极出现西瓜雪</t>
  </si>
  <si>
    <t>['南极', '出现', '西瓜', '雪']</t>
  </si>
  <si>
    <t>4900名中医驰援湖北</t>
  </si>
  <si>
    <t>['4900', '名', '中医', '驰援', '湖北']</t>
  </si>
  <si>
    <t>宠物狗检测呈弱阳性</t>
  </si>
  <si>
    <t>['宠物', '宠物狗', '检测', '呈', '阳性', '弱阳性']</t>
  </si>
  <si>
    <t>教育部谈高考推迟</t>
  </si>
  <si>
    <t>['教育', '教育部', '谈', '高考', '推迟']</t>
  </si>
  <si>
    <t>新冠遗体解剖报告</t>
  </si>
  <si>
    <t>['新冠', '遗体', '解剖', '报告']</t>
  </si>
  <si>
    <t>韩国近万军人被隔离</t>
  </si>
  <si>
    <t>['韩国', '近万', '军人', '被', '隔离']</t>
  </si>
  <si>
    <t>龟类或为潜在宿主</t>
  </si>
  <si>
    <t>['龟类', '或', '为', '潜在', '宿主']</t>
  </si>
  <si>
    <t>高云翔案女方现漏洞</t>
  </si>
  <si>
    <t>['高云', '翔案', '女方', '现', '漏洞']</t>
  </si>
  <si>
    <t>周慧敏晒护士照</t>
  </si>
  <si>
    <t>['周慧敏', '晒', '护士', '照']</t>
  </si>
  <si>
    <t>戈登回应韦德</t>
  </si>
  <si>
    <t>['戈登', '回应', '韦德']</t>
  </si>
  <si>
    <t>伊朗女国脚肺炎去世</t>
  </si>
  <si>
    <t>['伊朗', '女', '国脚', '肺炎', '去世']</t>
  </si>
  <si>
    <t>眼泪中检出新冠病毒</t>
  </si>
  <si>
    <t>['眼泪', '中', '检出', '新冠', '病毒']</t>
  </si>
  <si>
    <t>西安338人被问责</t>
  </si>
  <si>
    <t>['西安', '338', '人', '被', '问责']</t>
  </si>
  <si>
    <t>孙杨被禁赛8年</t>
  </si>
  <si>
    <t>['孙杨', '被', '禁赛', '8', '年']</t>
  </si>
  <si>
    <t>湖北以外新增个位数</t>
  </si>
  <si>
    <t>['湖北', '以外', '新增', '个位', '位数', '个位数']</t>
  </si>
  <si>
    <t>徐州患者出院又确诊</t>
  </si>
  <si>
    <t>['徐州', '患者', '出院', '又', '确诊']</t>
  </si>
  <si>
    <t>加州33人检测阳性</t>
  </si>
  <si>
    <t>['加州', '33', '人', '检测', '阳性']</t>
  </si>
  <si>
    <t>爱奇艺成被执行人</t>
  </si>
  <si>
    <t>['爱奇', '艺成', '执行', '行人', '被执行人']</t>
  </si>
  <si>
    <t>科比部分遗物将拍卖</t>
  </si>
  <si>
    <t>['科比', '部分', '遗物', '将', '拍卖']</t>
  </si>
  <si>
    <t>青岛啤酒总裁被免职</t>
  </si>
  <si>
    <t>['青岛', '啤酒', '总裁', '被', '免职']</t>
  </si>
  <si>
    <t>泳协回应孙杨禁赛</t>
  </si>
  <si>
    <t>['泳协', '回应', '孙杨', '禁赛']</t>
  </si>
  <si>
    <t>张艺兴为韩国捐款</t>
  </si>
  <si>
    <t>['张艺兴', '为', '韩国', '捐款']</t>
  </si>
  <si>
    <t>孙杨回应遭禁赛8年</t>
  </si>
  <si>
    <t>['孙杨', '回应', '遭', '禁赛', '8', '年']</t>
  </si>
  <si>
    <t>澳洲现罕见下击暴流</t>
  </si>
  <si>
    <t>['澳洲', '现', '罕见', '下击', '暴流']</t>
  </si>
  <si>
    <t>复工致反弹严肃处理</t>
  </si>
  <si>
    <t>['复', '工致', '反弹', '严肃', '处理', '严肃处理']</t>
  </si>
  <si>
    <t>卫健委谈疫情拐点</t>
  </si>
  <si>
    <t>['卫健委谈', '疫情', '拐点']</t>
  </si>
  <si>
    <t>叙军炸死33名士兵</t>
  </si>
  <si>
    <t>['叙军', '炸死', '33', '名', '士兵']</t>
  </si>
  <si>
    <t>真实版楚门的世界</t>
  </si>
  <si>
    <t>['真实', '版楚门', '的', '世界']</t>
  </si>
  <si>
    <t>林伶案凶手逃走细节</t>
  </si>
  <si>
    <t>['林伶案', '凶手', '逃走', '细节']</t>
  </si>
  <si>
    <t>荆门书记市长表态</t>
  </si>
  <si>
    <t>['荆门', '书记', '市长', '表态']</t>
  </si>
  <si>
    <t>湖北12地零新增</t>
  </si>
  <si>
    <t>['湖北', '12', '地零', '新增']</t>
  </si>
  <si>
    <t>2020/02/29</t>
  </si>
  <si>
    <t>美国N95口罩涨价5倍</t>
  </si>
  <si>
    <t>['美国', 'N95', '口罩', '涨价', '5', '倍']</t>
  </si>
  <si>
    <t>中国向伊朗派专家组</t>
  </si>
  <si>
    <t>['中国', '向', '伊朗', '派', '专家', '专家组']</t>
  </si>
  <si>
    <t>美国土安全部发预警</t>
  </si>
  <si>
    <t>['美国', '土', '安全', '全部', '安全部', '发', '预警']</t>
  </si>
  <si>
    <t>伊朗疫情高峰期将至</t>
  </si>
  <si>
    <t>['伊朗', '疫情', '高峰', '高峰期', '将', '至']</t>
  </si>
  <si>
    <t>全国新增确诊427例</t>
  </si>
  <si>
    <t>['全国', '新增', '确诊', '427', '例']</t>
  </si>
  <si>
    <t>全军暂缓部分活动</t>
  </si>
  <si>
    <t>['全军', '暂缓', '部分', '活动']</t>
  </si>
  <si>
    <t>韩国艺人被曝隔离</t>
  </si>
  <si>
    <t>['韩国', '艺人', '被', '曝', '隔离']</t>
  </si>
  <si>
    <t>盖茨发文谈新冠肺炎</t>
  </si>
  <si>
    <t>['盖茨', '发文', '谈新冠', '肺炎']</t>
  </si>
  <si>
    <t>特朗普称疫情被夸大</t>
  </si>
  <si>
    <t>['特朗普', '称', '疫情', '被', '夸大']</t>
  </si>
  <si>
    <t>多地抢FF中国落地权</t>
  </si>
  <si>
    <t>['多地', '抢', 'FF', '中国', '落地', '权']</t>
  </si>
  <si>
    <t>韩国现患者二次感染</t>
  </si>
  <si>
    <t>['韩国', '现', '患者', '二次', '感染']</t>
  </si>
  <si>
    <t>台湾新增确诊5例</t>
  </si>
  <si>
    <t>['台湾', '新增', '确诊', '5', '例']</t>
  </si>
  <si>
    <t>新冠疫情全球风险</t>
  </si>
  <si>
    <t>['新冠', '疫情', '全球', '风险']</t>
  </si>
  <si>
    <t>韩国1天新增813例</t>
  </si>
  <si>
    <t>['韩国', '1', '天', '新增', '813', '例']</t>
  </si>
  <si>
    <t>京提出3个不得擅自</t>
  </si>
  <si>
    <t>['京', '提出', '3', '个', '不得', '擅自']</t>
  </si>
  <si>
    <t>川高三复课全省同步</t>
  </si>
  <si>
    <t>['川', '高三', '复课', '全省', '同步']</t>
  </si>
  <si>
    <t>股市1周蒸发6万亿</t>
  </si>
  <si>
    <t>['股市', '1', '周', '蒸发', '6', '万亿']</t>
  </si>
  <si>
    <t>大学生自我隔离38天</t>
  </si>
  <si>
    <t>['大学', '学生', '大学生', '自我', '隔离', '38', '天']</t>
  </si>
  <si>
    <t>3月影响生活的新规</t>
  </si>
  <si>
    <t>['3', '月', '影响', '生活', '的', '新规']</t>
  </si>
  <si>
    <t>京儿童医院确诊1例</t>
  </si>
  <si>
    <t>['京', '儿童', '医院', '儿童医院', '确诊', '1', '例']</t>
  </si>
  <si>
    <t>云南省教育厅通知</t>
  </si>
  <si>
    <t>['云南', '云南省', '教育', '教育厅', '通知']</t>
  </si>
  <si>
    <t>谷歌一员工确诊</t>
  </si>
  <si>
    <t>['谷歌', '一', '员工', '确诊']</t>
  </si>
  <si>
    <t>教育部谈高三开学</t>
  </si>
  <si>
    <t>['教育', '教育部', '谈', '高三', '开学']</t>
  </si>
  <si>
    <t>新疆4.6级地震</t>
  </si>
  <si>
    <t>['新疆', '4.6', '级', '地震']</t>
  </si>
  <si>
    <t>宅草莓收官放大招</t>
  </si>
  <si>
    <t>['宅', '草莓', '收官', '放大', '招']</t>
  </si>
  <si>
    <t>黄金期货大幅下跌</t>
  </si>
  <si>
    <t>['黄金', '期货', '大幅', '下跌']</t>
  </si>
  <si>
    <t>北京12条通告防疫情</t>
  </si>
  <si>
    <t>['北京', '12', '条', '通告', '防疫', '情']</t>
  </si>
  <si>
    <t>韩国新增病例594例</t>
  </si>
  <si>
    <t>['韩国', '新增', '病例', '594', '例']</t>
  </si>
  <si>
    <t>11例解剖结果将发布</t>
  </si>
  <si>
    <t>['11', '例', '解剖', '结果', '将', '发布']</t>
  </si>
  <si>
    <t>安徽全省退出高风险</t>
  </si>
  <si>
    <t>['安徽', '全省', '退出', '风险', '高风险']</t>
  </si>
  <si>
    <t>英国首例境内感染者</t>
  </si>
  <si>
    <t>['英国', '首例', '境内', '感染', '感染者']</t>
  </si>
  <si>
    <t>邻居谈黄女士</t>
  </si>
  <si>
    <t>['邻居', '谈黄', '女士']</t>
  </si>
  <si>
    <t>湖北除武汉新增3例</t>
  </si>
  <si>
    <t>['湖北', '除', '武汉', '新增', '3', '例']</t>
  </si>
  <si>
    <t>驻港公署正告美议员</t>
  </si>
  <si>
    <t>['驻港', '公署', '正告', '美', '议员']</t>
  </si>
  <si>
    <t>美国普通口罩涨11倍</t>
  </si>
  <si>
    <t>['美国', '普通', '口罩', '涨', '11', '倍']</t>
  </si>
  <si>
    <t>卫健人士中的逃兵</t>
  </si>
  <si>
    <t>['卫健', '人士', '中', '的', '逃兵']</t>
  </si>
  <si>
    <t>林允王大陆好甜</t>
  </si>
  <si>
    <t>['林允王', '大陆', '好', '甜']</t>
  </si>
  <si>
    <t>意大利调整确诊标准</t>
  </si>
  <si>
    <t>['大利', '意大利', '调整', '确诊', '标准']</t>
  </si>
  <si>
    <t>意大利版火神山医院</t>
  </si>
  <si>
    <t>['大利', '意大利', '版', '火神', '山', '医院']</t>
  </si>
  <si>
    <t>中国罕见病人数</t>
  </si>
  <si>
    <t>['中国', '罕见', '病人', '人数', '病人数']</t>
  </si>
  <si>
    <t>郑爽王牌对王牌预告</t>
  </si>
  <si>
    <t>['郑爽', '王牌', '对', '王牌', '预告']</t>
  </si>
  <si>
    <t>2020/03/01</t>
  </si>
  <si>
    <t>30000只羊是假视频</t>
  </si>
  <si>
    <t>['30000', '只羊', '是', '假', '视频']</t>
  </si>
  <si>
    <t>北京现假小区出入证</t>
  </si>
  <si>
    <t>['北京', '现假', '小区', '出入', '出入证']</t>
  </si>
  <si>
    <t>全国新增573例病例</t>
  </si>
  <si>
    <t>['全国', '新增', '573', '例', '病例']</t>
  </si>
  <si>
    <t>京新增2例境外输入</t>
  </si>
  <si>
    <t>['京', '新增', '2', '例', '境外', '输入']</t>
  </si>
  <si>
    <t>华谊兄弟亏损近40亿</t>
  </si>
  <si>
    <t>['华谊', '兄弟', '亏损', '近', '40', '亿']</t>
  </si>
  <si>
    <t>英国首相宣布订婚</t>
  </si>
  <si>
    <t>['英国', '首相', '英国首相', '宣布', '订婚']</t>
  </si>
  <si>
    <t>湖北累计治愈超3万</t>
  </si>
  <si>
    <t>['湖北', '累计', '治愈', '超', '3', '万']</t>
  </si>
  <si>
    <t>韩专家预测最坏情况</t>
  </si>
  <si>
    <t>['韩', '专家', '预测', '最坏', '情况']</t>
  </si>
  <si>
    <t>华南市场或二次传播</t>
  </si>
  <si>
    <t>['华南', '市场', '或', '二次', '传播']</t>
  </si>
  <si>
    <t>湖北22人疑集体中毒</t>
  </si>
  <si>
    <t>['湖北', '22', '人疑', '集体', '中毒']</t>
  </si>
  <si>
    <t>云南一煤矿发生事故</t>
  </si>
  <si>
    <t>['云南', '一', '煤矿', '发生', '事故']</t>
  </si>
  <si>
    <t>特朗普弄错逝者性别</t>
  </si>
  <si>
    <t>['特朗普', '弄错', '逝者', '性别']</t>
  </si>
  <si>
    <t>90后黑恶团伙覆灭</t>
  </si>
  <si>
    <t>['90', '后', '黑恶', '团伙', '覆灭']</t>
  </si>
  <si>
    <t>特朗普赞扬中国抗疫</t>
  </si>
  <si>
    <t>['特朗普', '赞扬', '中国', '抗疫']</t>
  </si>
  <si>
    <t>确诊患者私自出院</t>
  </si>
  <si>
    <t>['确诊', '患者', '私自', '出院']</t>
  </si>
  <si>
    <t>多地机票卖出白菜价</t>
  </si>
  <si>
    <t>['多地', '机票', '卖出', '白菜', '菜价', '白菜价']</t>
  </si>
  <si>
    <t>肖战方发道歉声明</t>
  </si>
  <si>
    <t>['肖战方发', '道歉', '声明']</t>
  </si>
  <si>
    <t>辽宁新增1例病例</t>
  </si>
  <si>
    <t>['辽宁', '新增', '1', '例', '病例']</t>
  </si>
  <si>
    <t>乔欣疑自曝3亿豪宅</t>
  </si>
  <si>
    <t>['乔欣疑', '自', '曝', '3', '亿', '豪宅']</t>
  </si>
  <si>
    <t>韩用集装箱收治患者</t>
  </si>
  <si>
    <t>['韩用', '集装', '装箱', '集装箱', '收治', '患者']</t>
  </si>
  <si>
    <t>谢霆锋王菲被曝同行</t>
  </si>
  <si>
    <t>['谢霆锋', '王菲', '被', '曝', '同行']</t>
  </si>
  <si>
    <t>韩国累计确诊3526例</t>
  </si>
  <si>
    <t>['韩国', '累计', '确诊', '3526', '例']</t>
  </si>
  <si>
    <t>德国狂欢节60人感染</t>
  </si>
  <si>
    <t>['德国', '狂欢', '狂欢节', '60', '人', '感染']</t>
  </si>
  <si>
    <t>巴黎半马因疫情取消</t>
  </si>
  <si>
    <t>['巴黎', '半马因', '疫情', '取消']</t>
  </si>
  <si>
    <t>专家回应病毒源头</t>
  </si>
  <si>
    <t>['专家', '回应', '病毒', '源头']</t>
  </si>
  <si>
    <t>美国不明来源患者</t>
  </si>
  <si>
    <t>['美国', '不明', '来源', '患者']</t>
  </si>
  <si>
    <t>郎平向武汉捐赠物资</t>
  </si>
  <si>
    <t>['郎平', '向', '武汉', '捐赠', '物资']</t>
  </si>
  <si>
    <t>武汉首家方舱休舱</t>
  </si>
  <si>
    <t>['武汉', '首家', '方舱', '休舱']</t>
  </si>
  <si>
    <t>阿丘发文引争议</t>
  </si>
  <si>
    <t>['阿丘', '发文', '引', '争议']</t>
  </si>
  <si>
    <t>柯文哲疑似感染诺如</t>
  </si>
  <si>
    <t>['柯文', '哲', '疑似', '感染', '诺如']</t>
  </si>
  <si>
    <t>意民众拒口罩要自由</t>
  </si>
  <si>
    <t>['意', '民众', '拒', '口罩', '要', '自由']</t>
  </si>
  <si>
    <t>京津冀健康码将互通</t>
  </si>
  <si>
    <t>['京津', '京津冀', '健康', '码', '将', '互通']</t>
  </si>
  <si>
    <t>联合国秘书长发声明</t>
  </si>
  <si>
    <t>['联合', '联合国', '秘书', '秘书长', '发声', '声明', '发声明']</t>
  </si>
  <si>
    <t>禁网络暴力人肉搜索</t>
  </si>
  <si>
    <t>['禁', '网络', '暴力', '人', '肉', '搜索']</t>
  </si>
  <si>
    <t>武汉外卖快递先返岗</t>
  </si>
  <si>
    <t>['武汉', '外卖', '快递', '先', '返岗']</t>
  </si>
  <si>
    <t>猪瘟疫苗创制成功</t>
  </si>
  <si>
    <t>['猪瘟', '疫苗', '创制', '成功']</t>
  </si>
  <si>
    <t>2020/03/02</t>
  </si>
  <si>
    <t>韩调整新冠治疗体系</t>
  </si>
  <si>
    <t>['韩', '调整', '新冠', '治疗', '体系']</t>
  </si>
  <si>
    <t>深圳新增输入病例</t>
  </si>
  <si>
    <t>['深圳', '新增', '输入', '病例']</t>
  </si>
  <si>
    <t>武汉数百新增来源</t>
  </si>
  <si>
    <t>['武汉', '数百', '新增', '来源']</t>
  </si>
  <si>
    <t>意大利议员怒摔话筒</t>
  </si>
  <si>
    <t>['大利', '意大利', '议员', '怒', '摔', '话筒']</t>
  </si>
  <si>
    <t>王思聪逛街不戴口罩</t>
  </si>
  <si>
    <t>['王思聪', '逛街', '不戴', '口罩']</t>
  </si>
  <si>
    <t>被滞留吃光3头猪</t>
  </si>
  <si>
    <t>['被', '滞留', '吃光', '3', '头猪']</t>
  </si>
  <si>
    <t>皇马战胜巴萨</t>
  </si>
  <si>
    <t>['皇马', '战胜', '巴萨']</t>
  </si>
  <si>
    <t>太原步行街游客爆满</t>
  </si>
  <si>
    <t>['太原', '步行', '步行街', '游客', '爆满']</t>
  </si>
  <si>
    <t>新天地会长跪地道歉</t>
  </si>
  <si>
    <t>['新', '天地', '天地会', '长跪', '地', '道歉']</t>
  </si>
  <si>
    <t>伊朗领袖顾问去世</t>
  </si>
  <si>
    <t>['伊朗', '领袖', '顾问', '去世']</t>
  </si>
  <si>
    <t>韩16名护士集体辞职</t>
  </si>
  <si>
    <t>['韩', '16', '名', '护士', '集体', '辞职']</t>
  </si>
  <si>
    <t>孙杨公布完整血样瓶</t>
  </si>
  <si>
    <t>['孙杨', '公布', '完整', '血样', '瓶']</t>
  </si>
  <si>
    <t>福州桥梁发生倒塌</t>
  </si>
  <si>
    <t>['福州', '桥梁', '发生', '倒塌']</t>
  </si>
  <si>
    <t>科比遇难现场遭泄露</t>
  </si>
  <si>
    <t>['科比', '遇难', '现场', '遭', '泄露']</t>
  </si>
  <si>
    <t>浙江调整应急响应</t>
  </si>
  <si>
    <t>['浙江', '调整', '应急', '响应']</t>
  </si>
  <si>
    <t>武磊造对手乌龙</t>
  </si>
  <si>
    <t>['武磊造', '对手', '乌龙']</t>
  </si>
  <si>
    <t>哈文评肖战粉丝事件</t>
  </si>
  <si>
    <t>['哈文评', '肖战', '粉丝', '事件']</t>
  </si>
  <si>
    <t>薛佳凝疑曝新恋情</t>
  </si>
  <si>
    <t>['薛佳凝', '疑', '曝新', '恋情']</t>
  </si>
  <si>
    <t>马云回赠日本口罩</t>
  </si>
  <si>
    <t>['马云', '回赠', '日本', '口罩']</t>
  </si>
  <si>
    <t>汤唯女儿近照被曝</t>
  </si>
  <si>
    <t>['汤', '唯', '女儿', '近照', '被', '曝']</t>
  </si>
  <si>
    <t>韩居家隔离患者去世</t>
  </si>
  <si>
    <t>['韩', '居家', '隔离', '患者', '去世']</t>
  </si>
  <si>
    <t>王思聪深夜点赞</t>
  </si>
  <si>
    <t>['王思聪', '深夜', '点赞']</t>
  </si>
  <si>
    <t>湖人裁掉丹尼尔斯</t>
  </si>
  <si>
    <t>['湖人裁', '掉', '丹尼', '尼尔', '尔斯', '丹尼尔', '尼尔斯', '丹尼尔斯']</t>
  </si>
  <si>
    <t>埃塞俄比亚X疾病</t>
  </si>
  <si>
    <t>['比亚', '埃塞俄比亚', 'X', '疾病']</t>
  </si>
  <si>
    <t>胡定欣送外卖当月嫂</t>
  </si>
  <si>
    <t>['胡定欣', '送', '外卖', '当月', '嫂']</t>
  </si>
  <si>
    <t>离汉抵京调查结果</t>
  </si>
  <si>
    <t>['离汉', '抵京', '调查', '查结', '结果', '调查结果']</t>
  </si>
  <si>
    <t>曝关晓彤去发热门诊</t>
  </si>
  <si>
    <t>['曝关晓彤', '去', '发热', '门诊']</t>
  </si>
  <si>
    <t>离汉离鄂网约车新规</t>
  </si>
  <si>
    <t>['离汉离', '鄂', '网约车', '新规']</t>
  </si>
  <si>
    <t>布达拉宫开放直播</t>
  </si>
  <si>
    <t>['达拉', '布达拉', '布达拉宫', '开放', '直播']</t>
  </si>
  <si>
    <t>土叙空中交火</t>
  </si>
  <si>
    <t>['土叙', '空中', '交火']</t>
  </si>
  <si>
    <t>肖战后援会再发文</t>
  </si>
  <si>
    <t>['肖战', '后援', '后援会', '再', '发文']</t>
  </si>
  <si>
    <t>2020/03/03</t>
  </si>
  <si>
    <t>28个省份恢复客运</t>
  </si>
  <si>
    <t>['28', '个', '省份', '恢复', '客运']</t>
  </si>
  <si>
    <t>武汉形势现5大转变</t>
  </si>
  <si>
    <t>['武汉', '形势', '现', '5', '大', '转变']</t>
  </si>
  <si>
    <t>北京疾控多人被问责</t>
  </si>
  <si>
    <t>['北京', '疾控', '多', '人', '被', '问责']</t>
  </si>
  <si>
    <t>16个新职业发布</t>
  </si>
  <si>
    <t>['16', '个', '新', '职业', '发布']</t>
  </si>
  <si>
    <t>辽宁民警孟宪龙牺牲</t>
  </si>
  <si>
    <t>['辽宁', '民警', '孟宪龙', '牺牲']</t>
  </si>
  <si>
    <t>肖战代言被集体抵制</t>
  </si>
  <si>
    <t>['肖战', '代言', '被', '集体', '抵制']</t>
  </si>
  <si>
    <t>李跃华回应被调查</t>
  </si>
  <si>
    <t>['李跃华', '回应', '被', '调查']</t>
  </si>
  <si>
    <t>科比遇难照调查结果</t>
  </si>
  <si>
    <t>['科比', '遇难', '照', '调查', '查结', '结果', '调查结果']</t>
  </si>
  <si>
    <t>南京鼓楼区发生地震</t>
  </si>
  <si>
    <t>['南京', '鼓楼', '楼区', '鼓楼区', '发生', '地震']</t>
  </si>
  <si>
    <t>浙现意大利输入病例</t>
  </si>
  <si>
    <t>['浙现', '大利', '意大利', '输入', '病例']</t>
  </si>
  <si>
    <t>飞书X36氪线上峰会</t>
  </si>
  <si>
    <t>['飞书', 'X36', '氪', '线', '上', '峰会']</t>
  </si>
  <si>
    <t>梅仲明医生去世</t>
  </si>
  <si>
    <t>['梅仲明', '医生', '去世']</t>
  </si>
  <si>
    <t>丹东23天零新增终止</t>
  </si>
  <si>
    <t>['丹东', '23', '天零', '新增', '终止']</t>
  </si>
  <si>
    <t>武汉滞留者可领补助</t>
  </si>
  <si>
    <t>['武汉', '滞留', '者', '可领', '补助']</t>
  </si>
  <si>
    <t>包机接伊朗华人回国</t>
  </si>
  <si>
    <t>['包机', '接', '伊朗', '华人', '回国']</t>
  </si>
  <si>
    <t>日本举国援华背后</t>
  </si>
  <si>
    <t>['日本', '举国', '援华', '背后']</t>
  </si>
  <si>
    <t>湖北将有序关停方舱</t>
  </si>
  <si>
    <t>['湖北', '将', '有序', '关停', '方舱']</t>
  </si>
  <si>
    <t>中国担任轮值主席国</t>
  </si>
  <si>
    <t>['中国', '担任', '轮值', '主席', '主席国']</t>
  </si>
  <si>
    <t>湖北以外新增现反弹</t>
  </si>
  <si>
    <t>['湖北', '以外', '新增', '现', '反弹']</t>
  </si>
  <si>
    <t>默克尔握手被拒</t>
  </si>
  <si>
    <t>['默克', '克尔', '默克尔', '握手', '被', '拒']</t>
  </si>
  <si>
    <t>湖北卫视现乌龙</t>
  </si>
  <si>
    <t>['湖北', '卫视', '现', '乌龙']</t>
  </si>
  <si>
    <t>日媒称新冠多能自愈</t>
  </si>
  <si>
    <t>['日媒称', '新冠多能', '自愈']</t>
  </si>
  <si>
    <t>日本口罩一只300元</t>
  </si>
  <si>
    <t>['日本', '口罩', '一只', '300', '元']</t>
  </si>
  <si>
    <t>库里被下放3小时</t>
  </si>
  <si>
    <t>['库里', '被', '下放', '3', '小时']</t>
  </si>
  <si>
    <t>小学生错上高中化学</t>
  </si>
  <si>
    <t>['小学', '学生', '小学生', '错上', '高中', '中化', '化学', '高中化学']</t>
  </si>
  <si>
    <t>LCK宣布无限期停赛</t>
  </si>
  <si>
    <t>['LCK', '宣布', '无限', '限期', '无限期', '停赛']</t>
  </si>
  <si>
    <t>张文宏谈复工</t>
  </si>
  <si>
    <t>['张文宏', '谈', '复工']</t>
  </si>
  <si>
    <t>黄冈感谢郑爽捐款</t>
  </si>
  <si>
    <t>['黄冈', '感谢', '郑爽', '捐款']</t>
  </si>
  <si>
    <t>发热6天父母不送医</t>
  </si>
  <si>
    <t>['发热', '6', '天', '父母', '不', '送医']</t>
  </si>
  <si>
    <t>伊朗23名议员确诊</t>
  </si>
  <si>
    <t>['伊朗', '23', '名', '议员', '确诊']</t>
  </si>
  <si>
    <t>汪峰大女儿发文</t>
  </si>
  <si>
    <t>['汪峰', '大', '女儿', '发文']</t>
  </si>
  <si>
    <t>高鑫去口罩厂做义工</t>
  </si>
  <si>
    <t>['高鑫', '去', '口罩', '厂', '做', '义工']</t>
  </si>
  <si>
    <t>曝章子怡17岁广告照</t>
  </si>
  <si>
    <t>['曝', '章子', '章子怡', '17', '岁', '广告', '照']</t>
  </si>
  <si>
    <t>诊疗方案译成波斯语</t>
  </si>
  <si>
    <t>['诊疗', '方案', '译成', '波斯', '波斯语']</t>
  </si>
  <si>
    <t>湖北现野猪猪瘟疫情</t>
  </si>
  <si>
    <t>['湖北', '现', '野猪', '猪瘟', '疫情']</t>
  </si>
  <si>
    <t>李小璐跳嘻哈舞</t>
  </si>
  <si>
    <t>['李小璐', '跳嘻哈舞']</t>
  </si>
  <si>
    <t>杨怡挺孕肚露面</t>
  </si>
  <si>
    <t>['杨怡', '挺', '孕肚', '露面']</t>
  </si>
  <si>
    <t>李小璐回应网红风</t>
  </si>
  <si>
    <t>['李小璐', '回应', '网红风']</t>
  </si>
  <si>
    <t>范冰冰海外杂志封面</t>
  </si>
  <si>
    <t>['冰冰', '范冰冰', '海外', '杂志', '封面']</t>
  </si>
  <si>
    <t>肖战风波全程回顾</t>
  </si>
  <si>
    <t>['肖战', '风波', '全程', '回顾']</t>
  </si>
  <si>
    <t>26名痊愈者复阳</t>
  </si>
  <si>
    <t>['26', '名', '痊愈', '者', '复阳']</t>
  </si>
  <si>
    <t>曝周杰伦会移居澳洲</t>
  </si>
  <si>
    <t>['曝', '周杰伦', '会', '移居', '澳洲']</t>
  </si>
  <si>
    <t>2020/03/04</t>
  </si>
  <si>
    <t>凤凰网十问肖战</t>
  </si>
  <si>
    <t>['凤凰', '凤凰网', '十问', '肖战']</t>
  </si>
  <si>
    <t>疫情态势出现新变化</t>
  </si>
  <si>
    <t>['疫情', '态势', '出现', '新', '变化']</t>
  </si>
  <si>
    <t>韩国乐天化学厂爆炸</t>
  </si>
  <si>
    <t>['韩国', '乐天', '化学', '厂', '爆炸']</t>
  </si>
  <si>
    <t>新冠有独一无二特性</t>
  </si>
  <si>
    <t>['新冠有', '独一', '独一无二', '特性']</t>
  </si>
  <si>
    <t>美联储宣布降息</t>
  </si>
  <si>
    <t>['联储', '美联储', '宣布', '降息']</t>
  </si>
  <si>
    <t>孝感疫情瞒报回应</t>
  </si>
  <si>
    <t>['孝感', '疫情', '瞒报', '回应']</t>
  </si>
  <si>
    <t>俄两万人同吃野韭菜</t>
  </si>
  <si>
    <t>['俄', '两万', '两万人', '同吃野', '韭菜']</t>
  </si>
  <si>
    <t>奥运会或将如期举办</t>
  </si>
  <si>
    <t>['奥运', '奥运会', '或', '将', '如期', '举办']</t>
  </si>
  <si>
    <t>德国游轮检测结果</t>
  </si>
  <si>
    <t>['德国', '游轮', '检测', '结果']</t>
  </si>
  <si>
    <t>新冠病毒已突变</t>
  </si>
  <si>
    <t>['新冠', '病毒', '已', '突变']</t>
  </si>
  <si>
    <t>任城监狱事件已查清</t>
  </si>
  <si>
    <t>['任城', '监狱', '事件', '已', '查清']</t>
  </si>
  <si>
    <t>郑爽嫂子在抗疫一线</t>
  </si>
  <si>
    <t>['郑爽', '嫂子', '在', '抗疫', '一线']</t>
  </si>
  <si>
    <t>第七版诊疗方案公布</t>
  </si>
  <si>
    <t>['第七', '第七版', '诊疗', '方案', '公布']</t>
  </si>
  <si>
    <t>教育部调整本科专业</t>
  </si>
  <si>
    <t>['教育', '教育部', '调整', '本科', '专业', '本科专业']</t>
  </si>
  <si>
    <t>甘薇放弃优先分配权</t>
  </si>
  <si>
    <t>['甘薇', '放弃', '优先', '分配', '分配权']</t>
  </si>
  <si>
    <t>日本网民疯抢花岗岩</t>
  </si>
  <si>
    <t>['日本', '网民', '疯', '抢', '花岗岩']</t>
  </si>
  <si>
    <t>瑞士议员戴口罩被逐</t>
  </si>
  <si>
    <t>['瑞士', '议员', '戴', '口罩', '被', '逐']</t>
  </si>
  <si>
    <t>孙杨赞助商集体观望</t>
  </si>
  <si>
    <t>['孙杨', '赞助', '赞助商', '集体', '观望']</t>
  </si>
  <si>
    <t>特朗普捐10万美元</t>
  </si>
  <si>
    <t>['特朗普', '捐', '10', '美元', '万美元']</t>
  </si>
  <si>
    <t>员工聚众暴力冲卡</t>
  </si>
  <si>
    <t>['员工', '聚众', '暴力', '冲卡']</t>
  </si>
  <si>
    <t>韩国发现病毒抗体</t>
  </si>
  <si>
    <t>['韩国', '发现', '病毒', '抗体']</t>
  </si>
  <si>
    <t>全球新冠确诊破9万</t>
  </si>
  <si>
    <t>['全球', '新冠', '确诊', '破', '9', '万']</t>
  </si>
  <si>
    <t>意大利多起医护感染</t>
  </si>
  <si>
    <t>['大利', '意大利', '多', '起', '医护', '感染']</t>
  </si>
  <si>
    <t>黑龙江应急响应调整</t>
  </si>
  <si>
    <t>['龙江', '黑龙江', '应急', '响应', '调整']</t>
  </si>
  <si>
    <t>papi酱宣布生子</t>
  </si>
  <si>
    <t>['papi', '酱', '宣布', '生子']</t>
  </si>
  <si>
    <t>中专生骗取34亿元</t>
  </si>
  <si>
    <t>['中专', '中专生', '骗取', '34', '亿元']</t>
  </si>
  <si>
    <t>北京地铁预约进站</t>
  </si>
  <si>
    <t>['北京', '地铁', '北京地铁', '预约', '进站']</t>
  </si>
  <si>
    <t>柳岩晒健身照</t>
  </si>
  <si>
    <t>['柳岩', '晒', '健身', '照']</t>
  </si>
  <si>
    <t>巴西基因测序现不同</t>
  </si>
  <si>
    <t>['巴西', '基因', '测序', '现', '不同']</t>
  </si>
  <si>
    <t>邢晓瑶发文否认出轨</t>
  </si>
  <si>
    <t>['邢晓瑶', '发文', '否认', '出轨']</t>
  </si>
  <si>
    <t>邓肯执教首胜</t>
  </si>
  <si>
    <t>['邓肯', '执教', '首胜']</t>
  </si>
  <si>
    <t>酸奶在日本成万能药</t>
  </si>
  <si>
    <t>['酸奶', '在', '日本', '成', '万能', '药']</t>
  </si>
  <si>
    <t>英政府做出最坏打算</t>
  </si>
  <si>
    <t>['政府', '英政府', '做出', '最坏', '打算']</t>
  </si>
  <si>
    <t>医院领导补助超一线</t>
  </si>
  <si>
    <t>['医院', '领导', '补助', '超', '一线']</t>
  </si>
  <si>
    <t>孙杨金牌或判给霍顿</t>
  </si>
  <si>
    <t>['孙杨', '金牌', '或判', '给', '霍顿']</t>
  </si>
  <si>
    <t>阿丘被央视封杀</t>
  </si>
  <si>
    <t>['阿丘', '被', '央视', '封杀']</t>
  </si>
  <si>
    <t>薛凯琪致歉江一燕</t>
  </si>
  <si>
    <t>['薛凯琪', '致歉', '江一燕']</t>
  </si>
  <si>
    <t>楼市成交量降八成</t>
  </si>
  <si>
    <t>['楼市', '成交', '成交量', '降', '八成']</t>
  </si>
  <si>
    <t>46岁辅警黄玉怀牺牲</t>
  </si>
  <si>
    <t>['46', '岁', '辅警', '黄玉', '怀', '牺牲']</t>
  </si>
  <si>
    <t>安徽黄山发现新物种</t>
  </si>
  <si>
    <t>['安徽', '黄山', '发现', '新', '物种']</t>
  </si>
  <si>
    <t>鄂3月极端天气增多</t>
  </si>
  <si>
    <t>['鄂', '3', '月', '极端', '天气', '增多']</t>
  </si>
  <si>
    <t>2020/03/05</t>
  </si>
  <si>
    <t>4128万党员捐款47亿</t>
  </si>
  <si>
    <t>['4128', '万', '党员', '捐款', '47', '亿']</t>
  </si>
  <si>
    <t>美国停止公布确诊数</t>
  </si>
  <si>
    <t>['美国', '停止', '公布', '确诊', '数']</t>
  </si>
  <si>
    <t>香港确诊狗感染病毒</t>
  </si>
  <si>
    <t>['香港', '确诊', '狗', '感染', '病毒']</t>
  </si>
  <si>
    <t>美国女子疫情求救帖</t>
  </si>
  <si>
    <t>['美国', '女子', '疫情', '求救', '帖']</t>
  </si>
  <si>
    <t>意大利确诊超三千</t>
  </si>
  <si>
    <t>['大利', '意大利', '确诊', '超', '三千']</t>
  </si>
  <si>
    <t>曝老师让学生挺肖战</t>
  </si>
  <si>
    <t>['曝', '老师', '让', '学生', '挺', '肖战']</t>
  </si>
  <si>
    <t>北京加油站开卖口罩</t>
  </si>
  <si>
    <t>['北京', '加油', '加油站', '开卖', '口罩']</t>
  </si>
  <si>
    <t>逾30起命案逃犯落网</t>
  </si>
  <si>
    <t>['逾', '30', '起', '命案', '逃犯', '落网']</t>
  </si>
  <si>
    <t>又一载华侨航班抵杭</t>
  </si>
  <si>
    <t>['又', '一载', '华侨', '航班', '抵杭']</t>
  </si>
  <si>
    <t>奥巴马谈新冠预防</t>
  </si>
  <si>
    <t>['奥巴', '巴马', '奥巴马', '谈新冠', '预防']</t>
  </si>
  <si>
    <t>追授李文亮先进个人</t>
  </si>
  <si>
    <t>['追授', '李文亮', '先进', '个人', '先进个人']</t>
  </si>
  <si>
    <t>黄子佼孟耿如领证</t>
  </si>
  <si>
    <t>['黄子佼', '孟耿如', '领证']</t>
  </si>
  <si>
    <t>多省市发布开学通知</t>
  </si>
  <si>
    <t>['多', '省市', '发布', '开学', '通知']</t>
  </si>
  <si>
    <t>孙杨删除晒出的证据</t>
  </si>
  <si>
    <t>['孙杨', '删除', '晒出', '的', '证据']</t>
  </si>
  <si>
    <t>韩国再现超级传播者</t>
  </si>
  <si>
    <t>['韩国', '再现', '超级', '传播', '传播者']</t>
  </si>
  <si>
    <t>NASA公布火星高清图</t>
  </si>
  <si>
    <t>['NASA', '公布', '火星', '高清', '图']</t>
  </si>
  <si>
    <t>方舱暂停办理出院</t>
  </si>
  <si>
    <t>['方舱', '暂停', '办理', '出院']</t>
  </si>
  <si>
    <t>陈乔恩艾伦国外度假</t>
  </si>
  <si>
    <t>['陈乔恩', '艾伦', '国外', '度假']</t>
  </si>
  <si>
    <t>武汉有望新增清零</t>
  </si>
  <si>
    <t>['武汉', '有望', '新增', '清零']</t>
  </si>
  <si>
    <t>新冠患者出院后死亡</t>
  </si>
  <si>
    <t>['新冠', '患者', '出院', '后', '死亡']</t>
  </si>
  <si>
    <t>乔布斯遗孀将裸捐</t>
  </si>
  <si>
    <t>['乔布', '布斯', '乔布斯', '遗孀', '将', '裸', '捐']</t>
  </si>
  <si>
    <t>中方考虑向世卫捐款</t>
  </si>
  <si>
    <t>['中方', '考虑', '世卫', '向世卫', '捐款']</t>
  </si>
  <si>
    <t>广西三月三假期取消</t>
  </si>
  <si>
    <t>['广西', '三月', '三', '假期', '取消']</t>
  </si>
  <si>
    <t>小区楼道出现白狐</t>
  </si>
  <si>
    <t>['小区', '楼道', '出现', '白狐']</t>
  </si>
  <si>
    <t>喻佳丽宣布结婚</t>
  </si>
  <si>
    <t>['喻', '佳丽', '宣布', '结婚']</t>
  </si>
  <si>
    <t>曝新冠攻击中枢神经</t>
  </si>
  <si>
    <t>['曝新冠', '攻击', '中枢', '神经', '中枢神经']</t>
  </si>
  <si>
    <t>全球多国现抢购潮</t>
  </si>
  <si>
    <t>['全球', '多国', '多国现', '抢购', '抢购潮']</t>
  </si>
  <si>
    <t>CAS公布仲裁报告</t>
  </si>
  <si>
    <t>['CAS', '公布', '仲裁', '报告']</t>
  </si>
  <si>
    <t>华为发布鲲鹏云手机</t>
  </si>
  <si>
    <t>['华为', '发布', '鲲鹏', '云', '手机']</t>
  </si>
  <si>
    <t>专家谈蚊子传播新冠</t>
  </si>
  <si>
    <t>['专家', '谈', '蚊子', '传播', '新冠']</t>
  </si>
  <si>
    <t>电影007推迟上映</t>
  </si>
  <si>
    <t>['电影', '007', '推迟', '上映']</t>
  </si>
  <si>
    <t>中石化霸气喊话刷屏</t>
  </si>
  <si>
    <t>['中石', '石化', '中石化', '霸气', '喊话', '刷屏']</t>
  </si>
  <si>
    <t>赌博总赢钱遭殴打</t>
  </si>
  <si>
    <t>['赌博', '总', '赢钱', '遭', '殴打']</t>
  </si>
  <si>
    <t>湖北可免费看网剧</t>
  </si>
  <si>
    <t>['湖北', '可', '免费', '看', '网剧']</t>
  </si>
  <si>
    <t>伊朗政坛成重灾区</t>
  </si>
  <si>
    <t>['伊朗', '政坛', '成', '重灾', '灾区', '重灾区']</t>
  </si>
  <si>
    <t>2020/03/06</t>
  </si>
  <si>
    <t>天鹅北迁途中又返回</t>
  </si>
  <si>
    <t>['天鹅', '北迁', '途中', '又', '返回']</t>
  </si>
  <si>
    <t>甘肃增11例境外输入</t>
  </si>
  <si>
    <t>['甘肃', '增', '11', '例', '境外', '输入']</t>
  </si>
  <si>
    <t>874万大学生将毕业</t>
  </si>
  <si>
    <t>['874', '万', '大学', '学生', '大学生', '将', '毕业']</t>
  </si>
  <si>
    <t>新冠遭到英王子嘲笑</t>
  </si>
  <si>
    <t>['新冠', '遭到', '英', '王子', '嘲笑']</t>
  </si>
  <si>
    <t>美国芝加哥发生枪战</t>
  </si>
  <si>
    <t>['美国', '芝加哥', '发生', '枪战']</t>
  </si>
  <si>
    <t>病毒或向流感样演变</t>
  </si>
  <si>
    <t>['病毒', '或', '向', '流感', '样', '演变']</t>
  </si>
  <si>
    <t>特朗普不信病死率</t>
  </si>
  <si>
    <t>['特朗普', '不', '信', '病死', '病死率']</t>
  </si>
  <si>
    <t>四川青川县发生地震</t>
  </si>
  <si>
    <t>['四川', '青川', '青川县', '发生', '地震']</t>
  </si>
  <si>
    <t>任正非小女儿登杂志</t>
  </si>
  <si>
    <t>['任正非', '小女', '女儿', '小女儿', '登', '杂志']</t>
  </si>
  <si>
    <t>滞留武汉40天现状</t>
  </si>
  <si>
    <t>['滞留', '武汉', '40', '天', '现状']</t>
  </si>
  <si>
    <t>院领导补助高被问责</t>
  </si>
  <si>
    <t>['院', '领导', '补助', '高', '被', '问责']</t>
  </si>
  <si>
    <t>全国新增确诊143例</t>
  </si>
  <si>
    <t>['全国', '新增', '确诊', '143', '例']</t>
  </si>
  <si>
    <t>湖北超三千医护感染</t>
  </si>
  <si>
    <t>['湖北', '超', '三千', '医护', '感染']</t>
  </si>
  <si>
    <t>李冰冰发律师声明</t>
  </si>
  <si>
    <t>['李冰', '冰冰', '李冰冰', '发', '律师', '声明']</t>
  </si>
  <si>
    <t>医院辟谣刘真去世</t>
  </si>
  <si>
    <t>['医院', '辟谣', '刘真', '去世']</t>
  </si>
  <si>
    <t>专家回应病毒变异</t>
  </si>
  <si>
    <t>['专家', '回应', '病毒', '变异']</t>
  </si>
  <si>
    <t>马云为伊朗筹集口罩</t>
  </si>
  <si>
    <t>['马云为', '伊朗', '筹集', '口罩']</t>
  </si>
  <si>
    <t>大批白唇鹿现身雪山</t>
  </si>
  <si>
    <t>['大批', '白唇鹿', '现身', '雪山']</t>
  </si>
  <si>
    <t>西安离婚预约爆满</t>
  </si>
  <si>
    <t>['西安', '离婚', '预约', '爆满']</t>
  </si>
  <si>
    <t>安家向公馆原型被曝</t>
  </si>
  <si>
    <t>['安家', '向', '公馆', '原型', '被', '曝']</t>
  </si>
  <si>
    <t>全智贤晋升总裁夫人</t>
  </si>
  <si>
    <t>['全智贤', '晋升', '总裁', '夫人']</t>
  </si>
  <si>
    <t>物业回应居民检举</t>
  </si>
  <si>
    <t>['物业', '回应', '居民', '检举']</t>
  </si>
  <si>
    <t>土耳其向美国要军火</t>
  </si>
  <si>
    <t>['土耳其', '向', '美国', '要', '军火']</t>
  </si>
  <si>
    <t>新增16例输入病例</t>
  </si>
  <si>
    <t>['新增', '16', '例', '输入', '病例']</t>
  </si>
  <si>
    <t>26省份新增病例为0</t>
  </si>
  <si>
    <t>['26', '省份', '新增', '病例', '为', '0']</t>
  </si>
  <si>
    <t>意单日新增病例最高</t>
  </si>
  <si>
    <t>['意', '单日', '新增', '病例', '最高']</t>
  </si>
  <si>
    <t>范冰冰跳手指舞</t>
  </si>
  <si>
    <t>['冰冰', '范冰冰', '跳', '手指', '舞']</t>
  </si>
  <si>
    <t>全美80名护士隔离</t>
  </si>
  <si>
    <t>['全美', '80', '名', '护士', '隔离']</t>
  </si>
  <si>
    <t>吴尊林丽吟16岁合照</t>
  </si>
  <si>
    <t>['吴尊', '林丽吟', '16', '岁', '合照']</t>
  </si>
  <si>
    <t>迪拜王妃带女儿出逃</t>
  </si>
  <si>
    <t>['迪拜', '王妃', '带', '女儿', '出逃']</t>
  </si>
  <si>
    <t>隔窗向指导组检举</t>
  </si>
  <si>
    <t>['隔窗', '向', '指导', '指导组', '检举']</t>
  </si>
  <si>
    <t>灭活新冠病毒形貌</t>
  </si>
  <si>
    <t>['灭活', '新冠', '病毒', '形貌']</t>
  </si>
  <si>
    <t>曝房天下集体降薪</t>
  </si>
  <si>
    <t>['曝房', '天下', '集体', '降薪']</t>
  </si>
  <si>
    <t>大S替汪小菲道歉</t>
  </si>
  <si>
    <t>['大S', '替', '汪小菲', '道歉']</t>
  </si>
  <si>
    <t>张文宏谈病毒消失</t>
  </si>
  <si>
    <t>['张文宏', '谈', '病毒', '消失']</t>
  </si>
  <si>
    <t>编造往返信息被免</t>
  </si>
  <si>
    <t>['编造', '往返', '信息', '被免']</t>
  </si>
  <si>
    <t>西藏下调应急响应</t>
  </si>
  <si>
    <t>['西藏', '下调', '应急', '响应']</t>
  </si>
  <si>
    <t>2020/03/07</t>
  </si>
  <si>
    <t>普京为会面迟到致歉</t>
  </si>
  <si>
    <t>['普京', '为', '会面', '迟到', '致歉']</t>
  </si>
  <si>
    <t>梅姨案申聪已找到</t>
  </si>
  <si>
    <t>['梅姨案', '申聪', '已', '找到']</t>
  </si>
  <si>
    <t>韩国集体感染病例</t>
  </si>
  <si>
    <t>['韩国', '集体', '感染', '病例']</t>
  </si>
  <si>
    <t>湖北外新增病例25例</t>
  </si>
  <si>
    <t>['湖北', '外', '新增', '病例', '25', '例']</t>
  </si>
  <si>
    <t>新蝙蝠冠状病毒</t>
  </si>
  <si>
    <t>['新', '蝙蝠', '冠状', '病毒', '冠状病毒']</t>
  </si>
  <si>
    <t>何洁自拍没开滤镜</t>
  </si>
  <si>
    <t>['何洁', '自拍', '没开', '滤镜']</t>
  </si>
  <si>
    <t>检察日报评孙杨案</t>
  </si>
  <si>
    <t>['检察', '日报', '评孙', '杨案']</t>
  </si>
  <si>
    <t>钟南山给小朋友回信</t>
  </si>
  <si>
    <t>['南山', '钟南山', '给', '朋友', '小朋友', '回信']</t>
  </si>
  <si>
    <t>66人因聚众赌博被查</t>
  </si>
  <si>
    <t>['66', '人因', '聚众', '赌博', '聚众赌博', '被查']</t>
  </si>
  <si>
    <t>胡红梅抄袭处理结果</t>
  </si>
  <si>
    <t>['胡', '红梅', '抄袭', '处理', '结果', '处理结果']</t>
  </si>
  <si>
    <t>美25个州现确诊病例</t>
  </si>
  <si>
    <t>['美', '25', '个州现', '确诊', '病例']</t>
  </si>
  <si>
    <t>9省14天无新增病例</t>
  </si>
  <si>
    <t>['9', '省', '14', '天无', '新增', '病例']</t>
  </si>
  <si>
    <t>世卫谈新冠传染力</t>
  </si>
  <si>
    <t>['世卫', '谈新冠', '传染', '力']</t>
  </si>
  <si>
    <t>江启臣任国民党主席</t>
  </si>
  <si>
    <t>['江启臣', '任', '国民', '民党', '国民党', '主席']</t>
  </si>
  <si>
    <t>美豁免中国口罩关税</t>
  </si>
  <si>
    <t>['美', '豁免', '中国', '口罩', '关税']</t>
  </si>
  <si>
    <t>全国新增确诊99例</t>
  </si>
  <si>
    <t>['全国', '新增', '确诊', '99', '例']</t>
  </si>
  <si>
    <t>泉州一酒店突然倒塌</t>
  </si>
  <si>
    <t>['泉州', '一', '酒店', '突然', '倒塌']</t>
  </si>
  <si>
    <t>凌晨4点的武汉</t>
  </si>
  <si>
    <t>['凌晨', '4', '点', '的', '武汉']</t>
  </si>
  <si>
    <t>贝尔出演雷神4反派</t>
  </si>
  <si>
    <t>['贝尔', '出演', '雷神', '4', '反派']</t>
  </si>
  <si>
    <t>詹姆斯达到34000分</t>
  </si>
  <si>
    <t>['詹姆斯', '达到', '34000', '分']</t>
  </si>
  <si>
    <t>火神山援建者被收费</t>
  </si>
  <si>
    <t>['火神', '山', '援建', '者', '被', '收费']</t>
  </si>
  <si>
    <t>马天宇cos敖丙</t>
  </si>
  <si>
    <t>['马', '天宇', 'cos', '敖丙']</t>
  </si>
  <si>
    <t>突尼斯发生爆炸袭击</t>
  </si>
  <si>
    <t>['尼斯', '突尼斯', '发生', '爆炸', '发生爆炸', '袭击']</t>
  </si>
  <si>
    <t>武汉无疫情小区社区</t>
  </si>
  <si>
    <t>['武汉', '无', '疫情', '小区', '社区']</t>
  </si>
  <si>
    <t>武汉新增确诊74例</t>
  </si>
  <si>
    <t>['武汉', '新增', '确诊', '74', '例']</t>
  </si>
  <si>
    <t>法媒对恶搞致歉</t>
  </si>
  <si>
    <t>['法媒', '对', '恶搞', '致歉']</t>
  </si>
  <si>
    <t>美女与野兽将拍前传</t>
  </si>
  <si>
    <t>['美女', '与', '野兽', '将', '拍', '前', '传']</t>
  </si>
  <si>
    <t>普京被美女当众求婚</t>
  </si>
  <si>
    <t>['普京', '被', '美女', '当众', '求婚']</t>
  </si>
  <si>
    <t>记协回应美驱逐记者</t>
  </si>
  <si>
    <t>['记协', '回应', '美', '驱逐', '记者']</t>
  </si>
  <si>
    <t>洪秀柱期许新主席</t>
  </si>
  <si>
    <t>['洪秀柱', '期许', '新', '主席']</t>
  </si>
  <si>
    <t>钟南山50天的行程</t>
  </si>
  <si>
    <t>['南山', '钟南山', '50', '天', '的', '行程']</t>
  </si>
  <si>
    <t>高福参加疫情交流会</t>
  </si>
  <si>
    <t>['高福', '参加', '疫情', '交流', '流会', '交流会']</t>
  </si>
  <si>
    <t>官方谈健康码未统一</t>
  </si>
  <si>
    <t>['官方', '谈', '健康', '码未', '统一']</t>
  </si>
  <si>
    <t>无证据证明梅姨存在</t>
  </si>
  <si>
    <t>['无证', '证据', '无证据', '证明', '梅姨', '存在']</t>
  </si>
  <si>
    <t>两代人的抗疫接力</t>
  </si>
  <si>
    <t>['两代', '人', '的', '抗疫', '接力']</t>
  </si>
  <si>
    <t>2020/03/08</t>
  </si>
  <si>
    <t>坍塌酒店救出一婴儿</t>
  </si>
  <si>
    <t>['坍塌', '酒店', '救出', '一', '婴儿']</t>
  </si>
  <si>
    <t>库里患甲型流感</t>
  </si>
  <si>
    <t>['库里', '患', '甲型', '流感']</t>
  </si>
  <si>
    <t>目击者讲述酒店坍塌</t>
  </si>
  <si>
    <t>['目击', '目击者', '讲述', '酒店', '坍塌']</t>
  </si>
  <si>
    <t>叙利亚发生严重车祸</t>
  </si>
  <si>
    <t>['利亚', '叙利亚', '发生', '严重', '车祸']</t>
  </si>
  <si>
    <t>孙杨外教丹尼斯出走</t>
  </si>
  <si>
    <t>['孙杨', '外教', '丹尼', '尼斯', '丹尼斯', '出走']</t>
  </si>
  <si>
    <t>辛芷蕾香水文案翻车</t>
  </si>
  <si>
    <t>['辛芷蕾', '香水', '文案', '翻车']</t>
  </si>
  <si>
    <t>UFC张伟丽成功卫冕</t>
  </si>
  <si>
    <t>['UFC', '张伟丽', '成功', '卫冕']</t>
  </si>
  <si>
    <t>范冰冰证件照曝出</t>
  </si>
  <si>
    <t>['冰冰', '范冰冰', '证件', '证件照', '曝出']</t>
  </si>
  <si>
    <t>孟美岐回应抄袭画作</t>
  </si>
  <si>
    <t>['孟美岐', '回应', '抄袭', '画作']</t>
  </si>
  <si>
    <t>杨超越疑意外曝吸烟</t>
  </si>
  <si>
    <t>['杨', '超越', '疑', '意外', '曝', '吸烟']</t>
  </si>
  <si>
    <t>伊朗新增病例数暴涨</t>
  </si>
  <si>
    <t>['伊朗', '新增', '病例', '数', '暴涨']</t>
  </si>
  <si>
    <t>71岁潘迎紫近照曝出</t>
  </si>
  <si>
    <t>['71', '岁', '潘迎紫', '近照', '曝出']</t>
  </si>
  <si>
    <t>日邮轮港籍乘客身亡</t>
  </si>
  <si>
    <t>['日', '邮轮', '港籍', '乘客', '身亡']</t>
  </si>
  <si>
    <t>柏林上演千人游行</t>
  </si>
  <si>
    <t>['柏林', '上演', '千人', '游行']</t>
  </si>
  <si>
    <t>卫健委回应院长补贴</t>
  </si>
  <si>
    <t>['卫健委', '回应', '院长', '补贴']</t>
  </si>
  <si>
    <t>央视多档节目传猫叫</t>
  </si>
  <si>
    <t>['央视', '多档', '节目', '传', '猫叫']</t>
  </si>
  <si>
    <t>钟南山公布研究成果</t>
  </si>
  <si>
    <t>['南山', '钟南山', '公布', '研究', '成果', '研究成果']</t>
  </si>
  <si>
    <t>德国拦截瑞士口罩</t>
  </si>
  <si>
    <t>['德国', '拦截', '瑞士', '口罩']</t>
  </si>
  <si>
    <t>西班牙葬礼60人确诊</t>
  </si>
  <si>
    <t>['西班牙', '葬礼', '60', '人', '确诊']</t>
  </si>
  <si>
    <t>马航MH370失联6周年</t>
  </si>
  <si>
    <t>['马航', 'MH370', '失联', '6', '周年']</t>
  </si>
  <si>
    <t>坍塌酒店消杀救援</t>
  </si>
  <si>
    <t>['坍塌', '酒店', '消杀', '救援']</t>
  </si>
  <si>
    <t>土豪戴口罩排队抢房</t>
  </si>
  <si>
    <t>['土豪', '戴', '口罩', '排队', '抢房']</t>
  </si>
  <si>
    <t>沙特股市大跌超7%</t>
  </si>
  <si>
    <t>['沙特', '股市', '大跌', '超', '7%']</t>
  </si>
  <si>
    <t>韩星朴宰范被扇耳光</t>
  </si>
  <si>
    <t>['韩星朴', '宰范', '被', '扇', '耳光']</t>
  </si>
  <si>
    <t>湖北发放第一批绿码</t>
  </si>
  <si>
    <t>['湖北', '发放', '第一', '一批', '第一批', '绿码']</t>
  </si>
  <si>
    <t>新疆调整为三级响应</t>
  </si>
  <si>
    <t>['新疆', '调整', '为', '三级', '响应']</t>
  </si>
  <si>
    <t>高铁上拉下口罩确诊</t>
  </si>
  <si>
    <t>['高铁', '拉下', '上拉下', '口罩', '确诊']</t>
  </si>
  <si>
    <t>中方决定向世卫捐款</t>
  </si>
  <si>
    <t>['中方', '决定', '世卫', '向世卫', '捐款']</t>
  </si>
  <si>
    <t>范冰冰霸气回怼网友</t>
  </si>
  <si>
    <t>['冰冰', '范冰冰', '霸气', '回怼', '网友']</t>
  </si>
  <si>
    <t>最神秘潜艇意外曝出</t>
  </si>
  <si>
    <t>['最', '神秘', '潜艇', '意外', '曝出']</t>
  </si>
  <si>
    <t>专家谈成都不明飞鸟</t>
  </si>
  <si>
    <t>['专家', '谈', '成都', '不明', '飞鸟']</t>
  </si>
  <si>
    <t>猫失踪11年后被找到</t>
  </si>
  <si>
    <t>['猫', '失踪', '11', '年', '后', '被', '找到']</t>
  </si>
  <si>
    <t>马云给女医护送礼物</t>
  </si>
  <si>
    <t>['马云', '给', '女', '医护', '送礼', '礼物', '送礼物']</t>
  </si>
  <si>
    <t>酒店倒塌70人被困</t>
  </si>
  <si>
    <t>['酒店', '倒塌', '70', '人', '被困']</t>
  </si>
  <si>
    <t>吴尊工作室发布声明</t>
  </si>
  <si>
    <t>['吴尊', '工作', '工作室', '发布', '声明']</t>
  </si>
  <si>
    <t>法国67省受疫情波及</t>
  </si>
  <si>
    <t>['法国', '67', '省受', '疫情', '波及']</t>
  </si>
  <si>
    <t>韩网评韩国十大美女</t>
  </si>
  <si>
    <t>['韩网评', '韩国', '十大', '美女']</t>
  </si>
  <si>
    <t>申军良父子已团聚</t>
  </si>
  <si>
    <t>['申军良', '父子', '已', '团聚']</t>
  </si>
  <si>
    <t>4人自意回京后确诊</t>
  </si>
  <si>
    <t>['4', '人自意', '回京', '后', '确诊']</t>
  </si>
  <si>
    <t>刘亦菲穿旗袍登杂志</t>
  </si>
  <si>
    <t>['刘亦菲', '穿', '旗袍', '登', '杂志']</t>
  </si>
  <si>
    <t>特朗普参会有人确诊</t>
  </si>
  <si>
    <t>['特朗普', '参会', '有人', '确诊']</t>
  </si>
  <si>
    <t>福建确诊全部清零</t>
  </si>
  <si>
    <t>['福建', '确诊', '全部', '清零']</t>
  </si>
  <si>
    <t>坍塌酒店房主被控制</t>
  </si>
  <si>
    <t>['坍塌', '酒店', '房主', '被', '控制']</t>
  </si>
  <si>
    <t>科学家亲试新冠疫苗</t>
  </si>
  <si>
    <t>['科学', '学家', '科学家', '亲试', '新冠', '疫苗']</t>
  </si>
  <si>
    <t>2020/03/09</t>
  </si>
  <si>
    <t>高圆圆一家五口亮相</t>
  </si>
  <si>
    <t>['圆圆', '高圆圆', '一家', '五口', '亮相']</t>
  </si>
  <si>
    <t>宁静否认改国籍</t>
  </si>
  <si>
    <t>['宁静', '否认', '改', '国籍']</t>
  </si>
  <si>
    <t>常州一公司发生火灾</t>
  </si>
  <si>
    <t>['常州', '一', '公司', '发生', '火灾']</t>
  </si>
  <si>
    <t>韩美娟曝被威胁</t>
  </si>
  <si>
    <t>['韩美', '娟', '曝', '被', '威胁']</t>
  </si>
  <si>
    <t>31省份新增确诊40例</t>
  </si>
  <si>
    <t>['31', '省份', '新增', '确诊', '40', '例']</t>
  </si>
  <si>
    <t>印度经济遭疫情冲击</t>
  </si>
  <si>
    <t>['印度', '经济', '遭', '疫情', '冲击']</t>
  </si>
  <si>
    <t>患者乘公交13人感染</t>
  </si>
  <si>
    <t>['患者', '乘', '公交', '13', '人', '感染']</t>
  </si>
  <si>
    <t>53位社区工作者殉职</t>
  </si>
  <si>
    <t>['53', '位', '社区', '工作', '作者', '工作者', '殉职']</t>
  </si>
  <si>
    <t>科比大女儿现身</t>
  </si>
  <si>
    <t>['科比', '大', '女儿', '现身']</t>
  </si>
  <si>
    <t>格力自产口罩开售</t>
  </si>
  <si>
    <t>['格力', '自', '产', '口罩', '开售']</t>
  </si>
  <si>
    <t>美国多州入紧急状态</t>
  </si>
  <si>
    <t>['美国', '多州入', '紧急', '状态', '紧急状态']</t>
  </si>
  <si>
    <t>杨幂魏大勋被传同居</t>
  </si>
  <si>
    <t>['杨幂', '魏大勋', '被', '传', '同居']</t>
  </si>
  <si>
    <t>全国高速将统一限速</t>
  </si>
  <si>
    <t>['全国', '高速', '将', '统一', '限速']</t>
  </si>
  <si>
    <t>伊朗释放7万囚犯</t>
  </si>
  <si>
    <t>['伊朗', '释放', '7', '万', '囚犯']</t>
  </si>
  <si>
    <t>河南开学后出入办法</t>
  </si>
  <si>
    <t>['河南', '开学', '后', '出入', '办法']</t>
  </si>
  <si>
    <t>满足三个条件可开学</t>
  </si>
  <si>
    <t>['满足', '三个', '条件', '可', '开学']</t>
  </si>
  <si>
    <t>王子文变样被疑整容</t>
  </si>
  <si>
    <t>['王子', '文', '变样', '被疑', '整容']</t>
  </si>
  <si>
    <t>中方将向韩出口口罩</t>
  </si>
  <si>
    <t>['中方', '将', '向', '韩', '出口', '口罩']</t>
  </si>
  <si>
    <t>董洁否认再婚产女</t>
  </si>
  <si>
    <t>['董洁', '否认', '再婚', '产女']</t>
  </si>
  <si>
    <t>意国殡仪馆硬核标语</t>
  </si>
  <si>
    <t>['意国', '殡仪', '殡仪馆', '硬核', '标语']</t>
  </si>
  <si>
    <t>京防控实施一人一策</t>
  </si>
  <si>
    <t>['京', '防控', '实施', '一人', '一策']</t>
  </si>
  <si>
    <t>纽约州长怼联邦政府</t>
  </si>
  <si>
    <t>['纽约', '纽约州', '长', '怼', '联邦', '政府', '邦政府', '联邦政府']</t>
  </si>
  <si>
    <t>中国货轮遭海盗袭击</t>
  </si>
  <si>
    <t>['中国', '货轮', '遭', '海盗', '袭击']</t>
  </si>
  <si>
    <t>葡萄牙总统接受隔离</t>
  </si>
  <si>
    <t>['葡萄', '葡萄牙', '总统', '接受', '隔离']</t>
  </si>
  <si>
    <t>韩国患者确诊前献血</t>
  </si>
  <si>
    <t>['韩国', '患者', '确诊', '前', '献血']</t>
  </si>
  <si>
    <t>上海宝钢突发火灾</t>
  </si>
  <si>
    <t>['上海', '宝钢', '突发', '火灾']</t>
  </si>
  <si>
    <t>邻居复阳单元再被封</t>
  </si>
  <si>
    <t>['邻居', '复阳', '单元', '再', '被', '封']</t>
  </si>
  <si>
    <t>彩票市场将开市</t>
  </si>
  <si>
    <t>['彩票', '市场', '将', '开市']</t>
  </si>
  <si>
    <t>湖北推进分区分级</t>
  </si>
  <si>
    <t>['湖北', '推进', '分区', '分级']</t>
  </si>
  <si>
    <t>全球股市集体暴跌</t>
  </si>
  <si>
    <t>['全球', '股市', '全球股市', '集体', '暴跌']</t>
  </si>
  <si>
    <t>李佳琦回应照片合体</t>
  </si>
  <si>
    <t>['李佳琦', '回应', '照片', '合体']</t>
  </si>
  <si>
    <t>奚梦瑶分享新婚生活</t>
  </si>
  <si>
    <t>['奚梦瑶', '分享', '新婚', '生活']</t>
  </si>
  <si>
    <t>武汉天河机场回应</t>
  </si>
  <si>
    <t>['武汉', '天河', '机场', '天河机场', '回应']</t>
  </si>
  <si>
    <t>现有确诊2万以下</t>
  </si>
  <si>
    <t>['现有', '确诊', '2', '万', '以下']</t>
  </si>
  <si>
    <t>杨紫穿防护造型现身</t>
  </si>
  <si>
    <t>['杨紫穿', '防护', '造型', '现身']</t>
  </si>
  <si>
    <t>2020/03/10</t>
  </si>
  <si>
    <t>意大利封城民众逃离</t>
  </si>
  <si>
    <t>['大利', '意大利', '封城', '民众', '逃离']</t>
  </si>
  <si>
    <t>RNG战胜TES</t>
  </si>
  <si>
    <t>['RNG', '战胜', 'TES']</t>
  </si>
  <si>
    <t>油价30年最大跌幅</t>
  </si>
  <si>
    <t>['油价', '30', '年', '最大', '跌幅']</t>
  </si>
  <si>
    <t>油价有望重返5元</t>
  </si>
  <si>
    <t>['油价', '有望', '重返', '5', '元']</t>
  </si>
  <si>
    <t>日本紧急状态法案</t>
  </si>
  <si>
    <t>['日本', '紧急', '状态', '紧急状态', '法案']</t>
  </si>
  <si>
    <t>郑恺苗苗现身医院</t>
  </si>
  <si>
    <t>['郑恺', '苗苗', '现身', '医院']</t>
  </si>
  <si>
    <t>石家庄一化工园燃爆</t>
  </si>
  <si>
    <t>['石家', '家庄', '石家庄', '一', '化工', '园', '燃爆']</t>
  </si>
  <si>
    <t>美股触发熔断机制</t>
  </si>
  <si>
    <t>['美股', '触发', '熔断', '机制']</t>
  </si>
  <si>
    <t>全球性流行病威胁</t>
  </si>
  <si>
    <t>['全球', '全球性', '流行', '流行病', '威胁']</t>
  </si>
  <si>
    <t>住海鲜市场未感染</t>
  </si>
  <si>
    <t>['住', '海鲜', '市场', '感染', '未感染']</t>
  </si>
  <si>
    <t>鄂部分人可全省通行</t>
  </si>
  <si>
    <t>['鄂', '部分', '人', '可', '全省', '通行']</t>
  </si>
  <si>
    <t>何雯娜孕肚婚纱照</t>
  </si>
  <si>
    <t>['何雯娜', '孕肚', '婚纱', '婚纱照']</t>
  </si>
  <si>
    <t>多省学校开学时间表</t>
  </si>
  <si>
    <t>['多省', '学校', '开学', '时间', '时间表']</t>
  </si>
  <si>
    <t>坍塌酒店已救出59人</t>
  </si>
  <si>
    <t>['坍塌', '酒店', '已', '救出', '59', '人']</t>
  </si>
  <si>
    <t>武汉方舱全部休舱</t>
  </si>
  <si>
    <t>['武汉', '方舱', '全部', '休舱']</t>
  </si>
  <si>
    <t>工信部约谈特斯拉</t>
  </si>
  <si>
    <t>['工信部', '约', '谈', '特斯', '斯拉', '特斯拉']</t>
  </si>
  <si>
    <t>泉州酒店遇难者名单</t>
  </si>
  <si>
    <t>['泉州', '酒店', '遇难', '难者', '遇难者', '名单']</t>
  </si>
  <si>
    <t>世卫谈中国疫情</t>
  </si>
  <si>
    <t>['世卫', '谈', '中国', '疫情']</t>
  </si>
  <si>
    <t>坍塌68小时男子获救</t>
  </si>
  <si>
    <t>['坍塌', '68', '小时', '男子', '获救']</t>
  </si>
  <si>
    <t>韩国办公楼27人感染</t>
  </si>
  <si>
    <t>['韩国', '办公', '办公楼', '27', '人', '感染']</t>
  </si>
  <si>
    <t>曝张柏芝被赶下飞机</t>
  </si>
  <si>
    <t>['曝', '张柏芝', '被', '赶下', '飞机']</t>
  </si>
  <si>
    <t>搜救犬贝贝四肢感染</t>
  </si>
  <si>
    <t>['搜救', '犬贝贝', '四肢', '感染']</t>
  </si>
  <si>
    <t>韩国64人集体感染</t>
  </si>
  <si>
    <t>['韩国', '64', '人', '集体', '感染']</t>
  </si>
  <si>
    <t>张伟丽感谢马布里</t>
  </si>
  <si>
    <t>['张伟丽', '感谢', '布里', '马布里']</t>
  </si>
  <si>
    <t>第54颗北斗卫星发射</t>
  </si>
  <si>
    <t>['第', '54', '颗', '北斗', '卫星', '发射']</t>
  </si>
  <si>
    <t>意大利20人越狱</t>
  </si>
  <si>
    <t>['大利', '意大利', '20', '人', '越狱']</t>
  </si>
  <si>
    <t>华为将遇首次负增长</t>
  </si>
  <si>
    <t>['华为', '将', '遇', '首次', '增长', '负增长']</t>
  </si>
  <si>
    <t>越南新冠卷土重来</t>
  </si>
  <si>
    <t>['越南', '新冠', '重来', '卷土重来']</t>
  </si>
  <si>
    <t>SOHO中国宣布暂停牌</t>
  </si>
  <si>
    <t>['SOHO', '中国', '宣布', '暂停', '牌']</t>
  </si>
  <si>
    <t>张伟丽谈乔安娜现状</t>
  </si>
  <si>
    <t>['张伟丽', '谈乔', '安娜', '现状']</t>
  </si>
  <si>
    <t>曝刘耀文被装追踪器</t>
  </si>
  <si>
    <t>['曝', '刘耀文', '被装', '追踪', '器']</t>
  </si>
  <si>
    <t>意大利全国封城</t>
  </si>
  <si>
    <t>['大利', '意大利', '全国', '封城']</t>
  </si>
  <si>
    <t>母子被困52小时获救</t>
  </si>
  <si>
    <t>['母子', '被困', '52', '小时', '获救']</t>
  </si>
  <si>
    <t>北京延长供暖期</t>
  </si>
  <si>
    <t>['北京', '延长', '供暖', '期']</t>
  </si>
  <si>
    <t>福建酒店坍塌致18死</t>
  </si>
  <si>
    <t>['福建', '酒店', '坍塌', '致', '18', '死']</t>
  </si>
  <si>
    <t>孙杨原计划海外训练</t>
  </si>
  <si>
    <t>['孙杨原', '计划', '海外', '训练']</t>
  </si>
  <si>
    <t>9次到湖北接人被拘</t>
  </si>
  <si>
    <t>['9', '次到', '湖北', '接人', '被', '拘']</t>
  </si>
  <si>
    <t>巴黎机场总裁确诊</t>
  </si>
  <si>
    <t>['巴黎', '机场', '总裁', '确诊']</t>
  </si>
  <si>
    <t>沪新增境外输入2例</t>
  </si>
  <si>
    <t>['沪', '新增', '境外', '输入', '2', '例']</t>
  </si>
  <si>
    <t>马云重登亚洲首富</t>
  </si>
  <si>
    <t>['马云', '重登', '亚洲', '首富']</t>
  </si>
  <si>
    <t>2020/03/11</t>
  </si>
  <si>
    <t>6人入境瞒报被立案</t>
  </si>
  <si>
    <t>['6', '人', '入境', '瞒报', '被', '立案']</t>
  </si>
  <si>
    <t>重庆应急响应调整</t>
  </si>
  <si>
    <t>['重庆', '应急', '响应', '调整']</t>
  </si>
  <si>
    <t>意大利ICU内部画面</t>
  </si>
  <si>
    <t>['大利', '意大利', 'ICU', '内部', '画面']</t>
  </si>
  <si>
    <t>梅西出手救小罗出狱</t>
  </si>
  <si>
    <t>['梅西', '出手', '救小罗', '出狱']</t>
  </si>
  <si>
    <t>第2例HIV治愈案例</t>
  </si>
  <si>
    <t>['第', '2', '例', 'HIV', '治愈', '案例']</t>
  </si>
  <si>
    <t>七千多万名党员捐款</t>
  </si>
  <si>
    <t>['七千', '千多', '多万', '七千多万', '名', '党员', '捐款']</t>
  </si>
  <si>
    <t>肖战设计疑侵权</t>
  </si>
  <si>
    <t>['肖战', '设计', '疑', '侵权']</t>
  </si>
  <si>
    <t>意大利紧急求助中国</t>
  </si>
  <si>
    <t>['大利', '意大利', '紧急', '求助', '中国']</t>
  </si>
  <si>
    <t>山东最严开学条件</t>
  </si>
  <si>
    <t>['山东', '最严', '开学', '条件']</t>
  </si>
  <si>
    <t>一家人在坍塌中遇难</t>
  </si>
  <si>
    <t>['一家', '家人', '一家人', '在', '坍塌', '中', '遇难']</t>
  </si>
  <si>
    <t>厦门中学生砍伤父母</t>
  </si>
  <si>
    <t>['厦门', '中学', '学生', '中学生', '砍伤', '父母']</t>
  </si>
  <si>
    <t>郑州确诊男母亲致歉</t>
  </si>
  <si>
    <t>['郑州', '确诊', '男', '母亲', '致歉']</t>
  </si>
  <si>
    <t>美官方数据严重滞后</t>
  </si>
  <si>
    <t>['美', '官方', '数据', '严重', '滞后']</t>
  </si>
  <si>
    <t>刘真老公再发文</t>
  </si>
  <si>
    <t>['刘真', '老公', '再', '发文']</t>
  </si>
  <si>
    <t>印度烧新冠怪物塑像</t>
  </si>
  <si>
    <t>['印度', '烧新冠', '怪物', '塑像']</t>
  </si>
  <si>
    <t>英国卫生部长确诊</t>
  </si>
  <si>
    <t>['英国', '卫生', '部长', '卫生部', '卫生部长', '确诊']</t>
  </si>
  <si>
    <t>日本发现特殊病例</t>
  </si>
  <si>
    <t>['日本', '发现', '特殊', '病例']</t>
  </si>
  <si>
    <t>山西发掘晋国大墓</t>
  </si>
  <si>
    <t>['山西', '发掘', '晋国', '大墓']</t>
  </si>
  <si>
    <t>伊朗建方舱医院</t>
  </si>
  <si>
    <t>['伊朗', '建', '方舱', '医院']</t>
  </si>
  <si>
    <t>捐款13万退回12万</t>
  </si>
  <si>
    <t>['捐款', '13', '万', '退回', '12', '万']</t>
  </si>
  <si>
    <t>勇士拒绝取消比赛</t>
  </si>
  <si>
    <t>['勇士', '拒绝', '取消', '比赛']</t>
  </si>
  <si>
    <t>沈梦辰被拍成1米1</t>
  </si>
  <si>
    <t>['沈梦辰', '被', '拍成', '1', '米', '1']</t>
  </si>
  <si>
    <t>创造营2020官宣</t>
  </si>
  <si>
    <t>['创造', '营', '2020', '官宣']</t>
  </si>
  <si>
    <t>日本爆发群体感染</t>
  </si>
  <si>
    <t>['日本', '爆发', '群体', '感染']</t>
  </si>
  <si>
    <t>吴亦凡接受隔离观察</t>
  </si>
  <si>
    <t>['吴亦凡', '接受', '隔离', '观察']</t>
  </si>
  <si>
    <t>湖北继续延迟开学</t>
  </si>
  <si>
    <t>['湖北', '继续', '延迟', '开学']</t>
  </si>
  <si>
    <t>军方驱离擅闯美舰</t>
  </si>
  <si>
    <t>['军方', '驱离', '擅闯', '美舰']</t>
  </si>
  <si>
    <t>美国延长华为许可证</t>
  </si>
  <si>
    <t>['美国', '延长', '华为', '许可', '许可证']</t>
  </si>
  <si>
    <t>法国民众支持封城</t>
  </si>
  <si>
    <t>['法国', '民众', '支持', '封城']</t>
  </si>
  <si>
    <t>中国境外确诊破3万</t>
  </si>
  <si>
    <t>['中国', '境外', '确诊', '破', '3', '万']</t>
  </si>
  <si>
    <t>京严格入境进京管理</t>
  </si>
  <si>
    <t>['京', '严格', '入境', '进京', '管理']</t>
  </si>
  <si>
    <t>默克尔发出疫情警告</t>
  </si>
  <si>
    <t>['默克', '克尔', '默克尔', '发出', '疫情', '警告']</t>
  </si>
  <si>
    <t>美国确诊超过900例</t>
  </si>
  <si>
    <t>['美国', '确诊', '超过', '900', '例']</t>
  </si>
  <si>
    <t>曝iOS14新功能</t>
  </si>
  <si>
    <t>['曝', 'iOS14', '新', '功能']</t>
  </si>
  <si>
    <t>巴基斯坦战斗机坠毁</t>
  </si>
  <si>
    <t>['巴基', '基斯', '巴基斯', '基斯坦', '巴基斯坦', '战斗', '战斗机', '坠毁']</t>
  </si>
  <si>
    <t>特朗普谈美疫情风险</t>
  </si>
  <si>
    <t>['特朗普', '谈美', '疫情', '风险']</t>
  </si>
  <si>
    <t>浙全面实行公民同招</t>
  </si>
  <si>
    <t>['浙', '全面', '实行', '公民', '同招']</t>
  </si>
  <si>
    <t>打赏主播40万后续</t>
  </si>
  <si>
    <t>['打赏', '主播', '40', '万', '后续']</t>
  </si>
  <si>
    <t>刘亦菲首映礼蹲地上</t>
  </si>
  <si>
    <t>['刘亦菲', '首映', '首映礼', '蹲', '地上']</t>
  </si>
  <si>
    <t>坍塌酒店现大量现金</t>
  </si>
  <si>
    <t>['坍塌', '酒店', '现', '大量', '现金']</t>
  </si>
  <si>
    <t>雷神山医护写的诗</t>
  </si>
  <si>
    <t>['雷', '神山', '医护', '写', '的', '诗']</t>
  </si>
  <si>
    <t>福建酒店坍塌致26死</t>
  </si>
  <si>
    <t>['福建', '酒店', '坍塌', '致', '26', '死']</t>
  </si>
  <si>
    <t>2020/03/12</t>
  </si>
  <si>
    <t>北京4月开学系谣言</t>
  </si>
  <si>
    <t>['北京', '4', '月', '开学', '系', '谣言']</t>
  </si>
  <si>
    <t>于正曝女演员被勒索</t>
  </si>
  <si>
    <t>['于', '正', '曝', '演员', '女演员', '被', '勒索']</t>
  </si>
  <si>
    <t>张伟丽强制医疗两月</t>
  </si>
  <si>
    <t>['张伟丽', '强制', '医疗', '两月']</t>
  </si>
  <si>
    <t>意大利外长感谢中国</t>
  </si>
  <si>
    <t>['大利', '意大利', '外长', '感谢', '中国']</t>
  </si>
  <si>
    <t>湖北新增降至个位数</t>
  </si>
  <si>
    <t>['湖北', '新增', '降', '至', '个位', '位数', '个位数']</t>
  </si>
  <si>
    <t>意大利大使吐槽欧盟</t>
  </si>
  <si>
    <t>['大利', '意大利', '大使', '吐槽', '欧盟']</t>
  </si>
  <si>
    <t>特朗普发表全国讲话</t>
  </si>
  <si>
    <t>['特朗普', '发表', '全国', '讲话']</t>
  </si>
  <si>
    <t>汤姆汉克斯儿子发声</t>
  </si>
  <si>
    <t>['汤姆', '克斯', '汉克斯', '儿子', '发声']</t>
  </si>
  <si>
    <t>泰国发生聚集性感染</t>
  </si>
  <si>
    <t>['泰国', '发生', '聚集', '性', '感染']</t>
  </si>
  <si>
    <t>纳指期货触发熔断</t>
  </si>
  <si>
    <t>['纳指', '期货', '触发', '熔断']</t>
  </si>
  <si>
    <t>悉尼上空现洗手字样</t>
  </si>
  <si>
    <t>['悉尼', '上空', '现', '洗手', '字样']</t>
  </si>
  <si>
    <t>湖北四地复工通告</t>
  </si>
  <si>
    <t>['湖北', '四地', '复工', '通告']</t>
  </si>
  <si>
    <t>泉州酒店剩1人被困</t>
  </si>
  <si>
    <t>['泉州', '酒店', '剩', '1', '人', '被困']</t>
  </si>
  <si>
    <t>王鸥被质疑整容</t>
  </si>
  <si>
    <t>['王鸥', '被', '质疑', '整容']</t>
  </si>
  <si>
    <t>海底捞将恢复营业</t>
  </si>
  <si>
    <t>['海底', '捞', '将', '恢复', '营业']</t>
  </si>
  <si>
    <t>意护士用床单做口罩</t>
  </si>
  <si>
    <t>['意', '护士', '用', '床单', '做', '口罩']</t>
  </si>
  <si>
    <t>汤姆汉克斯夫妇感染</t>
  </si>
  <si>
    <t>['汤姆', '克斯', '汉克斯', '夫妇', '感染']</t>
  </si>
  <si>
    <t>钟南山分享中国经验</t>
  </si>
  <si>
    <t>['南山', '钟南山', '分享', '中国', '经验']</t>
  </si>
  <si>
    <t>NBA停赛</t>
  </si>
  <si>
    <t>['NBA', '停赛']</t>
  </si>
  <si>
    <t>papi酱产后晒全家福</t>
  </si>
  <si>
    <t>['papi', '酱', '产后', '晒', '全家', '全家福']</t>
  </si>
  <si>
    <t>北极科考团成员感染</t>
  </si>
  <si>
    <t>['北极', '科考', '团', '成员', '感染']</t>
  </si>
  <si>
    <t>意护士累趴照片走红</t>
  </si>
  <si>
    <t>['意', '护士', '累', '趴', '照片', '走红']</t>
  </si>
  <si>
    <t>琼瑶发长文宣布小别</t>
  </si>
  <si>
    <t>['琼瑶', '发', '长文', '宣布', '小', '别']</t>
  </si>
  <si>
    <t>穆迪埃确诊新冠肺炎</t>
  </si>
  <si>
    <t>['穆迪', '埃', '确诊', '新冠', '肺炎']</t>
  </si>
  <si>
    <t>巴菲特谈美股暴跌</t>
  </si>
  <si>
    <t>['巴菲', '菲特', '巴菲特', '谈美股', '暴跌']</t>
  </si>
  <si>
    <t>C罗将接受新冠检测</t>
  </si>
  <si>
    <t>['C', '罗将', '接受', '新冠', '检测']</t>
  </si>
  <si>
    <t>传染病专家警告美国</t>
  </si>
  <si>
    <t>['传染', '染病', '传染病', '专家', '警告', '美国']</t>
  </si>
  <si>
    <t>Soul合伙人被批捕</t>
  </si>
  <si>
    <t>['Soul', '合伙', '合伙人', '被', '批捕']</t>
  </si>
  <si>
    <t>网曝罗玉凤感染新冠</t>
  </si>
  <si>
    <t>['网', '曝罗玉凤', '感染', '新冠']</t>
  </si>
  <si>
    <t>钟南山出席发布会</t>
  </si>
  <si>
    <t>['南山', '钟南山', '出席', '发布', '发布会']</t>
  </si>
  <si>
    <t>爵士雷霆比赛被叫停</t>
  </si>
  <si>
    <t>['爵士', '雷霆', '比赛', '被', '叫停']</t>
  </si>
  <si>
    <t>美飞中航线推迟复航</t>
  </si>
  <si>
    <t>['美飞', '中', '航线', '推迟', '复航']</t>
  </si>
  <si>
    <t>法取消英国口罩订单</t>
  </si>
  <si>
    <t>['法', '取消', '英国', '口罩', '订单']</t>
  </si>
  <si>
    <t>停赛后詹姆斯首发声</t>
  </si>
  <si>
    <t>['停赛', '后', '詹姆斯', '首发', '声']</t>
  </si>
  <si>
    <t>瑞士医疗物资又被截</t>
  </si>
  <si>
    <t>['瑞士', '医疗', '物资', '又', '被', '截']</t>
  </si>
  <si>
    <t>青山区副区长被审查</t>
  </si>
  <si>
    <t>['青山', '山区', '青山区', '区长', '副区长', '被', '审查']</t>
  </si>
  <si>
    <t>尤文球员确诊新冠</t>
  </si>
  <si>
    <t>['尤文', '球员', '确诊', '新冠']</t>
  </si>
  <si>
    <t>周扬青小号感谢粉丝</t>
  </si>
  <si>
    <t>['周扬青', '小号', '感谢', '粉丝']</t>
  </si>
  <si>
    <t>丹麦封城</t>
  </si>
  <si>
    <t>['丹麦', '封城']</t>
  </si>
  <si>
    <t>蓝月亮总裁录音外流</t>
  </si>
  <si>
    <t>['月亮', '蓝月亮', '总裁', '录音', '外流']</t>
  </si>
  <si>
    <t>2020/03/13</t>
  </si>
  <si>
    <t>钟南山谈疫情结束</t>
  </si>
  <si>
    <t>['南山', '钟南山', '谈', '疫情', '结束']</t>
  </si>
  <si>
    <t>欧洲杯推迟至2021年</t>
  </si>
  <si>
    <t>['欧洲', '欧洲杯', '推迟', '至', '2021', '年']</t>
  </si>
  <si>
    <t>江奶奶立遗嘱后离世</t>
  </si>
  <si>
    <t>['江', '奶奶', '遗嘱', '立遗嘱', '后', '离世']</t>
  </si>
  <si>
    <t>美国人请来钟南山</t>
  </si>
  <si>
    <t>['美国', '人', '请来', '南山', '钟南山']</t>
  </si>
  <si>
    <t>欧洲股市全线暴跌</t>
  </si>
  <si>
    <t>['欧洲', '股市', '全线', '暴跌']</t>
  </si>
  <si>
    <t>全国新增确诊8例</t>
  </si>
  <si>
    <t>['全国', '新增', '确诊', '8', '例']</t>
  </si>
  <si>
    <t>林丹不敌谌龙</t>
  </si>
  <si>
    <t>['林丹', '不敌', '谌龙']</t>
  </si>
  <si>
    <t>劳动节放假5天</t>
  </si>
  <si>
    <t>['劳动', '劳动节', '放假', '5', '天']</t>
  </si>
  <si>
    <t>曝特朗普担心被感染</t>
  </si>
  <si>
    <t>['曝', '特朗普', '担心', '被', '感染']</t>
  </si>
  <si>
    <t>彭冠英方否认新恋情</t>
  </si>
  <si>
    <t>['彭', '冠英', '方', '否认', '新', '恋情']</t>
  </si>
  <si>
    <t>意大利爆发罢工潮</t>
  </si>
  <si>
    <t>['大利', '意大利', '爆发', '罢工', '潮']</t>
  </si>
  <si>
    <t>中国境外确诊逾4万</t>
  </si>
  <si>
    <t>['中国', '境外', '确诊', '逾', '4', '万']</t>
  </si>
  <si>
    <t>美军报复性空袭</t>
  </si>
  <si>
    <t>['美军', '报复', '复性', '报复性', '空袭']</t>
  </si>
  <si>
    <t>马云向美国捐赠物资</t>
  </si>
  <si>
    <t>['马云向', '美国', '捐赠', '物资']</t>
  </si>
  <si>
    <t>张文宏谈意大利疫情</t>
  </si>
  <si>
    <t>['张文宏', '谈', '大利', '意大利', '疫情']</t>
  </si>
  <si>
    <t>谭咏麟内地直播首秀</t>
  </si>
  <si>
    <t>['谭咏麟', '内地', '直播', '首秀']</t>
  </si>
  <si>
    <t>乔安娜将做整形手术</t>
  </si>
  <si>
    <t>['乔', '安娜', '将', '做', '整形', '手术', '整形手术']</t>
  </si>
  <si>
    <t>特朗普安倍紧急通话</t>
  </si>
  <si>
    <t>['特朗普', '安倍', '紧急', '通话']</t>
  </si>
  <si>
    <t>巴西总统确诊</t>
  </si>
  <si>
    <t>['巴西', '总统', '确诊']</t>
  </si>
  <si>
    <t>英国有意让国民感染</t>
  </si>
  <si>
    <t>['英国', '有意', '让', '国民', '感染']</t>
  </si>
  <si>
    <t>凤姐回应感染新冠</t>
  </si>
  <si>
    <t>['凤姐', '回应', '感染', '新冠']</t>
  </si>
  <si>
    <t>花木兰全球撤档</t>
  </si>
  <si>
    <t>['花木', '木兰', '花木兰', '全球', '撤档']</t>
  </si>
  <si>
    <t>印度股市狂跌</t>
  </si>
  <si>
    <t>['印度', '股市', '狂跌']</t>
  </si>
  <si>
    <t>特朗普与CNN又开撕</t>
  </si>
  <si>
    <t>['特朗普', '与', 'CNN', '又', '开', '撕']</t>
  </si>
  <si>
    <t>2020清明节放假安排</t>
  </si>
  <si>
    <t>['2020', '清明', '清明节', '放假', '安排']</t>
  </si>
  <si>
    <t>宋仲基欲推倒婚房</t>
  </si>
  <si>
    <t>['宋仲基', '欲', '推倒', '婚房']</t>
  </si>
  <si>
    <t>戈贝尔发文道歉</t>
  </si>
  <si>
    <t>['贝尔', '戈贝尔', '发文', '道歉']</t>
  </si>
  <si>
    <t>美联储救市举措</t>
  </si>
  <si>
    <t>['联储', '美联储', '救', '市', '举措']</t>
  </si>
  <si>
    <t>学生上网课辱骂老师</t>
  </si>
  <si>
    <t>['学生', '上网', '课', '辱骂', '老师']</t>
  </si>
  <si>
    <t>瞒父母游13国后发热</t>
  </si>
  <si>
    <t>['瞒', '父母', '游', '13', '国后', '发热']</t>
  </si>
  <si>
    <t>一省救援一国</t>
  </si>
  <si>
    <t>['一省', '救援', '一国']</t>
  </si>
  <si>
    <t>湖北荆州一SUV失控</t>
  </si>
  <si>
    <t>['湖北', '荆州', '一', 'SUV', '失控']</t>
  </si>
  <si>
    <t>马布里向美国捐款</t>
  </si>
  <si>
    <t>['布里', '马布里', '向', '美国', '捐款']</t>
  </si>
  <si>
    <t>许留山回应倒闭</t>
  </si>
  <si>
    <t>['许留山', '回应', '倒闭']</t>
  </si>
  <si>
    <t>美生化武器基地关停</t>
  </si>
  <si>
    <t>['美', '生化', '化武', '武器', '生化武器', '基地', '关停']</t>
  </si>
  <si>
    <t>美医师预测感染人数</t>
  </si>
  <si>
    <t>['美', '医师', '预测', '感染', '人数']</t>
  </si>
  <si>
    <t>王小利前妻近照曝出</t>
  </si>
  <si>
    <t>['王', '小利', '前妻', '近照', '曝出']</t>
  </si>
  <si>
    <t>河南通报郭某鹏案</t>
  </si>
  <si>
    <t>['河南', '通报', '郭', '某鹏案']</t>
  </si>
  <si>
    <t>韩庚从韩国回京</t>
  </si>
  <si>
    <t>['韩庚', '从', '韩国', '回京']</t>
  </si>
  <si>
    <t>河南通报涉疫情犯罪</t>
  </si>
  <si>
    <t>['河南', '通报', '涉', '疫情', '犯罪']</t>
  </si>
  <si>
    <t>钟南山呼吁公众献血</t>
  </si>
  <si>
    <t>['南山', '钟南山', '呼吁', '公众', '献血']</t>
  </si>
  <si>
    <t>加拿大总理自我隔离</t>
  </si>
  <si>
    <t>['加拿', '加拿大', '总理', '自我', '隔离']</t>
  </si>
  <si>
    <t>张文宏谈疫情结束</t>
  </si>
  <si>
    <t>['张文宏', '谈', '疫情', '结束']</t>
  </si>
  <si>
    <t>2020/03/14</t>
  </si>
  <si>
    <t>美新冠爆发范围失控</t>
  </si>
  <si>
    <t>['美新冠', '爆发', '范围', '失控']</t>
  </si>
  <si>
    <t>武汉女子家中遇害</t>
  </si>
  <si>
    <t>['武汉', '女子', '家中', '遇害']</t>
  </si>
  <si>
    <t>张乘乘孩子生父揭晓</t>
  </si>
  <si>
    <t>['张乘', '乘', '孩子', '生父', '揭晓']</t>
  </si>
  <si>
    <t>越南首富女儿确诊</t>
  </si>
  <si>
    <t>['越南', '首富', '女儿', '确诊']</t>
  </si>
  <si>
    <t>钟南山露出笑容</t>
  </si>
  <si>
    <t>['南山', '钟南山', '露出', '笑容']</t>
  </si>
  <si>
    <t>伊朗贷50亿美元抗疫</t>
  </si>
  <si>
    <t>['伊朗', '贷', '50', '美元', '亿美元', '抗疫']</t>
  </si>
  <si>
    <t>中方谈美国对委制裁</t>
  </si>
  <si>
    <t>['中方', '谈', '美国', '对委', '制裁']</t>
  </si>
  <si>
    <t>美股大涨</t>
  </si>
  <si>
    <t>['美股', '大涨']</t>
  </si>
  <si>
    <t>英国承认让国民感染</t>
  </si>
  <si>
    <t>['英国', '承认', '让', '国民', '感染']</t>
  </si>
  <si>
    <t>官方通报郭某鹏病情</t>
  </si>
  <si>
    <t>['官方', '通报', '郭', '某鹏', '病情']</t>
  </si>
  <si>
    <t>大学开学要继续后延</t>
  </si>
  <si>
    <t>['大学', '开学', '要', '继续', '后延']</t>
  </si>
  <si>
    <t>南京将发放消费券</t>
  </si>
  <si>
    <t>['南京', '将', '发放', '消费', '券']</t>
  </si>
  <si>
    <t>39岁范冰冰晒近照</t>
  </si>
  <si>
    <t>['39', '岁', '冰冰', '范冰冰', '晒', '近照']</t>
  </si>
  <si>
    <t>曝罗志祥分手原因</t>
  </si>
  <si>
    <t>['曝罗志祥', '分手', '原因']</t>
  </si>
  <si>
    <t>小罗监狱杯赛夺冠</t>
  </si>
  <si>
    <t>['小罗', '监狱', '杯赛', '夺冠']</t>
  </si>
  <si>
    <t>武汉市民发现车长草</t>
  </si>
  <si>
    <t>['武汉', '武汉市', '民', '发现', '车长', '草']</t>
  </si>
  <si>
    <t>特朗普称赞中国防控</t>
  </si>
  <si>
    <t>['特朗普', '称赞', '中国', '防控']</t>
  </si>
  <si>
    <t>意大利医务官去世</t>
  </si>
  <si>
    <t>['大利', '意大利', '医务', '官', '去世']</t>
  </si>
  <si>
    <t>湖南确诊全部清零</t>
  </si>
  <si>
    <t>['湖南', '确诊', '全部', '清零']</t>
  </si>
  <si>
    <t>郭某鹏同事被隔离</t>
  </si>
  <si>
    <t>['郭', '某鹏', '同事', '被', '隔离']</t>
  </si>
  <si>
    <t>粤援鄂医师车祸殉职</t>
  </si>
  <si>
    <t>['粤援', '鄂', '医师', '车祸', '殉职']</t>
  </si>
  <si>
    <t>宁波一楼盘塔吊倒塌</t>
  </si>
  <si>
    <t>['宁波', '一', '楼盘', '塔吊', '倒塌']</t>
  </si>
  <si>
    <t>永和豆浆被罚</t>
  </si>
  <si>
    <t>['永和', '豆浆', '被', '罚']</t>
  </si>
  <si>
    <t>南京发放3亿消费券</t>
  </si>
  <si>
    <t>['南京', '发放', '3', '亿', '消费', '券']</t>
  </si>
  <si>
    <t>赵本山女儿捐270万</t>
  </si>
  <si>
    <t>['本山', '赵本山', '女儿', '捐', '270', '万']</t>
  </si>
  <si>
    <t>唐山瞒报者自费治疗</t>
  </si>
  <si>
    <t>['唐山', '瞒报', '者', '自费', '治疗']</t>
  </si>
  <si>
    <t>四川一小学催缴学费</t>
  </si>
  <si>
    <t>['四川', '一', '小学', '催缴', '学费']</t>
  </si>
  <si>
    <t>周汶锜老公被曝出轨</t>
  </si>
  <si>
    <t>['周汶锜', '老公', '被', '曝', '出轨']</t>
  </si>
  <si>
    <t>中国以外超6万感染</t>
  </si>
  <si>
    <t>['中国', '以外', '超', '6', '万', '感染']</t>
  </si>
  <si>
    <t>湖北实施绿码乘车</t>
  </si>
  <si>
    <t>['湖北', '实施', '绿码', '乘车']</t>
  </si>
  <si>
    <t>多国奥委会放弃赴日</t>
  </si>
  <si>
    <t>['多', '国', '委会', '奥委会', '放弃', '赴', '日']</t>
  </si>
  <si>
    <t>周扬青回怼网友</t>
  </si>
  <si>
    <t>['周扬', '青回', '怼', '网友']</t>
  </si>
  <si>
    <t>多地暂停清明祭扫</t>
  </si>
  <si>
    <t>['多地', '暂停', '清明', '祭扫']</t>
  </si>
  <si>
    <t>杨颖和儿子对话</t>
  </si>
  <si>
    <t>['杨颖', '和', '儿子', '对话']</t>
  </si>
  <si>
    <t>美国进入紧急状态</t>
  </si>
  <si>
    <t>['美国', '进入', '紧急', '状态', '紧急状态']</t>
  </si>
  <si>
    <t>盖茨辞去微软董事</t>
  </si>
  <si>
    <t>['盖茨', '辞去', '微软', '董事']</t>
  </si>
  <si>
    <t>2020/03/15</t>
  </si>
  <si>
    <t>在美检测被拒后回国</t>
  </si>
  <si>
    <t>['在', '美', '检测', '被', '拒后', '回国']</t>
  </si>
  <si>
    <t>31省新确诊20例</t>
  </si>
  <si>
    <t>['31', '省新', '确诊', '20', '例']</t>
  </si>
  <si>
    <t>中美大量购低价原油</t>
  </si>
  <si>
    <t>['中', '美', '大量', '购', '低价', '原油']</t>
  </si>
  <si>
    <t>美国各地护士抗议</t>
  </si>
  <si>
    <t>['美国', '各地', '护士', '抗议']</t>
  </si>
  <si>
    <t>美国确诊超2600例</t>
  </si>
  <si>
    <t>['美国', '确诊', '超', '2600', '例']</t>
  </si>
  <si>
    <t>数千游客涌入迪士尼</t>
  </si>
  <si>
    <t>['数千', '游客', '涌入', '迪士尼']</t>
  </si>
  <si>
    <t>特朗普检测结果公布</t>
  </si>
  <si>
    <t>['特朗普', '检测', '结果', '公布']</t>
  </si>
  <si>
    <t>意大利或比湖北严重</t>
  </si>
  <si>
    <t>['大利', '意大利', '或', '比', '湖北', '严重']</t>
  </si>
  <si>
    <t>欧洲互相截留物资</t>
  </si>
  <si>
    <t>['欧洲', '互相', '截留', '物资']</t>
  </si>
  <si>
    <t>辛龙曝刘真病情</t>
  </si>
  <si>
    <t>['辛龙', '曝', '刘真', '病情']</t>
  </si>
  <si>
    <t>C罗捐出名下两酒店</t>
  </si>
  <si>
    <t>['C', '罗捐', '出名', '下', '两', '酒店']</t>
  </si>
  <si>
    <t>美国市民称赞中国</t>
  </si>
  <si>
    <t>['美国', '市民', '称赞', '中国']</t>
  </si>
  <si>
    <t>意大利切内市长病逝</t>
  </si>
  <si>
    <t>['大利', '意大利', '切内', '市长', '病逝']</t>
  </si>
  <si>
    <t>瑞典宣布放弃抵抗</t>
  </si>
  <si>
    <t>['瑞典', '宣布', '放弃', '抵抗']</t>
  </si>
  <si>
    <t>阿联酋再为中国亮灯</t>
  </si>
  <si>
    <t>['阿联', '阿联酋', '再', '为', '中国', '亮灯']</t>
  </si>
  <si>
    <t>中国护士登意大利报</t>
  </si>
  <si>
    <t>['中国', '护士', '中国护士', '登', '大利', '意大利', '报']</t>
  </si>
  <si>
    <t>津新冠确诊病例清零</t>
  </si>
  <si>
    <t>['津新冠', '确诊', '病例', '清零']</t>
  </si>
  <si>
    <t>美机场大量乘客滞留</t>
  </si>
  <si>
    <t>['美', '机场', '大量', '乘客', '滞留']</t>
  </si>
  <si>
    <t>宁津生院士逝世</t>
  </si>
  <si>
    <t>['宁津', '生', '院士', '逝世']</t>
  </si>
  <si>
    <t>罗马响起中国国歌</t>
  </si>
  <si>
    <t>['罗马', '响起', '中国', '国歌', '中国国歌']</t>
  </si>
  <si>
    <t>男子赴美航班上死亡</t>
  </si>
  <si>
    <t>['男子', '赴美', '航班', '上', '死亡']</t>
  </si>
  <si>
    <t>合作才是疫情终止键</t>
  </si>
  <si>
    <t>['合作', '才', '是', '疫情', '终止', '键']</t>
  </si>
  <si>
    <t>英女王离开白金汉宫</t>
  </si>
  <si>
    <t>['女王', '英女王', '离开', '白金', '汉宫', '白金汉', '白金汉宫']</t>
  </si>
  <si>
    <t>伊朗总统谴责美国</t>
  </si>
  <si>
    <t>['伊朗', '总统', '谴责', '美国']</t>
  </si>
  <si>
    <t>美国将免费检测新冠</t>
  </si>
  <si>
    <t>['美国', '将', '免费', '检测', '新冠']</t>
  </si>
  <si>
    <t>西班牙随时武力封城</t>
  </si>
  <si>
    <t>['西班牙', '随时', '武力', '封城']</t>
  </si>
  <si>
    <t>戴口罩晕倒无人敢扶</t>
  </si>
  <si>
    <t>['戴', '口罩', '晕倒', '无人', '敢', '扶']</t>
  </si>
  <si>
    <t>蔡依林黑色短裙造型</t>
  </si>
  <si>
    <t>['蔡依林', '黑色', '短裙', '造型']</t>
  </si>
  <si>
    <t>西班牙首相妻子确诊</t>
  </si>
  <si>
    <t>['西班牙', '首相', '妻子', '确诊']</t>
  </si>
  <si>
    <t>一汽夏利改名</t>
  </si>
  <si>
    <t>['一汽', '夏利', '改名']</t>
  </si>
  <si>
    <t>境外输入病例治疗费</t>
  </si>
  <si>
    <t>['境外', '输入', '病例', '治疗', '治疗费']</t>
  </si>
  <si>
    <t>筛查新冠查出肺癌</t>
  </si>
  <si>
    <t>['筛查', '新冠', '查出', '肺癌']</t>
  </si>
  <si>
    <t>洪金宝次子现身街头</t>
  </si>
  <si>
    <t>['洪金宝', '次子', '现身', '街头']</t>
  </si>
  <si>
    <t>德国宣布全国停课</t>
  </si>
  <si>
    <t>['德国', '宣布', '全国', '停课']</t>
  </si>
  <si>
    <t>罗马版雷神山正赶造</t>
  </si>
  <si>
    <t>['罗马', '版雷', '神山', '正', '赶造']</t>
  </si>
  <si>
    <t>2020/03/16</t>
  </si>
  <si>
    <t>仍有三千多重症患者</t>
  </si>
  <si>
    <t>['仍', '有', '三千', '千多', '三千多', '重症', '患者']</t>
  </si>
  <si>
    <t>吉林确诊病例清零</t>
  </si>
  <si>
    <t>['吉林', '确诊', '病例', '清零']</t>
  </si>
  <si>
    <t>古巨基宣布当爸爸</t>
  </si>
  <si>
    <t>['古巨基', '宣布', '当', '爸爸']</t>
  </si>
  <si>
    <t>英监狱百人出现症状</t>
  </si>
  <si>
    <t>['英', '监狱', '百', '人', '出现', '症状']</t>
  </si>
  <si>
    <t>西班牙单日增两千例</t>
  </si>
  <si>
    <t>['西班牙', '单', '日增', '两千', '例']</t>
  </si>
  <si>
    <t>新疆发生3.5级地震</t>
  </si>
  <si>
    <t>['新疆', '发生', '3.5', '级', '地震']</t>
  </si>
  <si>
    <t>央行1000亿MLF操作</t>
  </si>
  <si>
    <t>['央行', '1000', '亿', 'MLF', '操作']</t>
  </si>
  <si>
    <t>北京中介租房新规</t>
  </si>
  <si>
    <t>['北京', '中介', '租房', '新规']</t>
  </si>
  <si>
    <t>美疫苗临床试验开始</t>
  </si>
  <si>
    <t>['美', '疫苗', '临床', '试验', '临床试验', '开始']</t>
  </si>
  <si>
    <t>美国或有百万人感染</t>
  </si>
  <si>
    <t>['美国', '或', '有', '百万', '人', '感染']</t>
  </si>
  <si>
    <t>意大利报纸讣告增加</t>
  </si>
  <si>
    <t>['大利', '意大利', '报纸', '讣告', '增加']</t>
  </si>
  <si>
    <t>唐艺昕承认怀孕喜讯</t>
  </si>
  <si>
    <t>['唐艺昕', '承认', '怀孕', '喜讯']</t>
  </si>
  <si>
    <t>湖北籍舰艇集体出镜</t>
  </si>
  <si>
    <t>['湖北', '籍', '舰艇', '集体', '出镜']</t>
  </si>
  <si>
    <t>韩国再现集体感染</t>
  </si>
  <si>
    <t>['韩国', '再现', '集体', '感染']</t>
  </si>
  <si>
    <t>3国向中国求援</t>
  </si>
  <si>
    <t>['3', '国向', '中国', '求援']</t>
  </si>
  <si>
    <t>北京增6例境外输入</t>
  </si>
  <si>
    <t>['北京', '增', '6', '例', '境外', '输入']</t>
  </si>
  <si>
    <t>全国日均12万人入境</t>
  </si>
  <si>
    <t>['全国', '日均', '12', '万人', '入境']</t>
  </si>
  <si>
    <t>男孩熊抱医护妈妈</t>
  </si>
  <si>
    <t>['男孩', '熊抱', '医护', '妈妈']</t>
  </si>
  <si>
    <t>美股开盘熔断</t>
  </si>
  <si>
    <t>['美股', '开盘', '熔断']</t>
  </si>
  <si>
    <t>云南新增一输入病例</t>
  </si>
  <si>
    <t>['云南', '新增', '一', '输入', '病例']</t>
  </si>
  <si>
    <t>李泽楷女友节俭人设</t>
  </si>
  <si>
    <t>['李泽楷', '女友', '节俭', '人设']</t>
  </si>
  <si>
    <t>湖北外新增确诊12例</t>
  </si>
  <si>
    <t>['湖北', '外', '新增', '确诊', '12', '例']</t>
  </si>
  <si>
    <t>英国千人挤爆演唱会</t>
  </si>
  <si>
    <t>['英国', '千人', '挤爆', '演唱', '演唱会']</t>
  </si>
  <si>
    <t>邦女郎柯瑞兰寇确诊</t>
  </si>
  <si>
    <t>['邦', '女郎', '柯瑞兰寇', '确诊']</t>
  </si>
  <si>
    <t>特朗普回应机场混乱</t>
  </si>
  <si>
    <t>['特朗普', '回应', '机场', '混乱']</t>
  </si>
  <si>
    <t>法国民众最后狂欢</t>
  </si>
  <si>
    <t>['法国', '民众', '最后', '狂欢']</t>
  </si>
  <si>
    <t>意大利温州临时航班</t>
  </si>
  <si>
    <t>['大利', '意大利', '温州', '临时', '航班']</t>
  </si>
  <si>
    <t>专家谈疫情二次暴发</t>
  </si>
  <si>
    <t>['专家', '谈', '疫情', '二次', '暴发']</t>
  </si>
  <si>
    <t>美国不要世卫试剂盒</t>
  </si>
  <si>
    <t>['美国', '不要', '世卫', '试剂', '试剂盒']</t>
  </si>
  <si>
    <t>李兰娟谈群体免疫</t>
  </si>
  <si>
    <t>['李兰娟', '谈', '群体', '免疫']</t>
  </si>
  <si>
    <t>90后男护士被表白</t>
  </si>
  <si>
    <t>['90', '后', '护士', '男护士', '被', '表白']</t>
  </si>
  <si>
    <t>张伟丽滞留美国</t>
  </si>
  <si>
    <t>['张伟丽', '滞留', '美国']</t>
  </si>
  <si>
    <t>医护展示清零后病房</t>
  </si>
  <si>
    <t>['医护', '展示', '清零', '后', '病房']</t>
  </si>
  <si>
    <t>63位政要感染新冠</t>
  </si>
  <si>
    <t>['63', '位', '政要', '感染', '新冠']</t>
  </si>
  <si>
    <t>全球市场深陷恐慌</t>
  </si>
  <si>
    <t>['全球', '市场', '深陷', '恐慌']</t>
  </si>
  <si>
    <t>北欧航空大幅裁员</t>
  </si>
  <si>
    <t>['北欧', '航空', '大幅', '裁员']</t>
  </si>
  <si>
    <t>美降息至零利率区间</t>
  </si>
  <si>
    <t>['美', '降息', '至', '利率', '零利率', '区间']</t>
  </si>
  <si>
    <t>人和猴子无障碍交流</t>
  </si>
  <si>
    <t>['人', '和', '猴子', '障碍', '无障碍', '交流']</t>
  </si>
  <si>
    <t>袁弘谈武汉哽咽落泪</t>
  </si>
  <si>
    <t>['袁弘谈', '武汉', '哽咽', '落泪']</t>
  </si>
  <si>
    <t>进出口贸易现逆差</t>
  </si>
  <si>
    <t>['进出', '出口', '进出口', '贸易', '现', '逆差']</t>
  </si>
  <si>
    <t>2020/03/17</t>
  </si>
  <si>
    <t>特朗普发文求上帝</t>
  </si>
  <si>
    <t>['特朗普', '发文', '求', '上帝']</t>
  </si>
  <si>
    <t>疫情对经济运行影响</t>
  </si>
  <si>
    <t>['疫情', '对', '经济', '运行', '经济运行', '影响']</t>
  </si>
  <si>
    <t>美五角大楼37人感染</t>
  </si>
  <si>
    <t>['美', '五角', '大楼', '五角大楼', '37', '人', '感染']</t>
  </si>
  <si>
    <t>长七改中型发射失利</t>
  </si>
  <si>
    <t>['长七改', '中型', '发射', '失利']</t>
  </si>
  <si>
    <t>米切尔确诊却没症状</t>
  </si>
  <si>
    <t>['切尔', '米切尔', '确诊', '却', '没', '症状']</t>
  </si>
  <si>
    <t>8地增20例境外输入</t>
  </si>
  <si>
    <t>['8', '地增', '20', '例', '境外', '输入']</t>
  </si>
  <si>
    <t>全国新增确诊21例</t>
  </si>
  <si>
    <t>['全国', '新增', '确诊', '21', '例']</t>
  </si>
  <si>
    <t>英790万人或需入院</t>
  </si>
  <si>
    <t>['英', '790', '万人', '或', '需', '入院']</t>
  </si>
  <si>
    <t>美国欲买断新冠疫苗</t>
  </si>
  <si>
    <t>['美国', '欲', '买断', '新冠', '疫苗']</t>
  </si>
  <si>
    <t>三省区率先开学</t>
  </si>
  <si>
    <t>['三', '省区', '率先', '开学']</t>
  </si>
  <si>
    <t>钟南山评李文亮</t>
  </si>
  <si>
    <t>['南山', '钟南山', '评李文亮']</t>
  </si>
  <si>
    <t>轿车撞上故宫东华门</t>
  </si>
  <si>
    <t>['轿车', '撞', '上', '故宫', '东华', '东华门']</t>
  </si>
  <si>
    <t>归国华人嫌弃等待区</t>
  </si>
  <si>
    <t>['归国', '华人', '嫌弃', '等待', '区']</t>
  </si>
  <si>
    <t>李兰娟谈武汉解封</t>
  </si>
  <si>
    <t>['李兰娟', '谈', '武汉', '解封']</t>
  </si>
  <si>
    <t>艺人黄智博诈骗获刑</t>
  </si>
  <si>
    <t>['艺人', '黄智博', '诈骗', '获刑']</t>
  </si>
  <si>
    <t>意大利辱华市长道歉</t>
  </si>
  <si>
    <t>['大利', '意大利', '辱华', '市长', '道歉']</t>
  </si>
  <si>
    <t>四川首例输入型病例</t>
  </si>
  <si>
    <t>['四川', '首例', '输入', '型', '病例']</t>
  </si>
  <si>
    <t>澳籍华人返京拒隔离</t>
  </si>
  <si>
    <t>['澳籍', '华人', '返京', '拒', '隔离']</t>
  </si>
  <si>
    <t>中国援助塞尔维亚</t>
  </si>
  <si>
    <t>['中国', '援助', '塞尔', '维亚', '塞尔维', '塞尔维亚']</t>
  </si>
  <si>
    <t>中方回应特朗普言论</t>
  </si>
  <si>
    <t>['中方', '回应', '特朗普', '言论']</t>
  </si>
  <si>
    <t>伊朗释放8.5万囚犯</t>
  </si>
  <si>
    <t>['伊朗', '释放', '8.5', '万', '囚犯']</t>
  </si>
  <si>
    <t>高云翔案重审完结</t>
  </si>
  <si>
    <t>['高云', '翔案', '重审', '完结']</t>
  </si>
  <si>
    <t>汤姆汉克斯夫妇出院</t>
  </si>
  <si>
    <t>['汤姆', '克斯', '汉克斯', '夫妇', '出院']</t>
  </si>
  <si>
    <t>陈赫二胎得女</t>
  </si>
  <si>
    <t>['陈赫', '二胎', '得', '女']</t>
  </si>
  <si>
    <t>四川谈不戴口罩情况</t>
  </si>
  <si>
    <t>['四川', '谈不戴', '口罩', '情况']</t>
  </si>
  <si>
    <t>澳籍跑步女子被辞退</t>
  </si>
  <si>
    <t>['澳籍', '跑步', '女子', '被', '辞退']</t>
  </si>
  <si>
    <t>湖北快递将复工复产</t>
  </si>
  <si>
    <t>['湖北', '快递', '将', '复工', '复产']</t>
  </si>
  <si>
    <t>宁静晒户口本</t>
  </si>
  <si>
    <t>['宁静', '晒', '户口', '户口本']</t>
  </si>
  <si>
    <t>杨澜女儿罕见亮相</t>
  </si>
  <si>
    <t>['杨澜', '女儿', '罕见', '亮相']</t>
  </si>
  <si>
    <t>李小璐对镜热舞</t>
  </si>
  <si>
    <t>['李小璐', '对镜', '热舞']</t>
  </si>
  <si>
    <t>东京奥运或推迟2年</t>
  </si>
  <si>
    <t>['东京', '奥运', '或', '推迟', '2', '年']</t>
  </si>
  <si>
    <t>足球教练加西亚去世</t>
  </si>
  <si>
    <t>['足球', '教练', '西亚', '加西亚', '去世']</t>
  </si>
  <si>
    <t>吴尊老婆孤独婚纱照</t>
  </si>
  <si>
    <t>['吴尊', '老婆', '孤独', '婚纱', '婚纱照']</t>
  </si>
  <si>
    <t>江西滑翔机坠落</t>
  </si>
  <si>
    <t>['江西', '滑翔', '滑翔机', '坠落']</t>
  </si>
  <si>
    <t>英雄联盟停机维护</t>
  </si>
  <si>
    <t>['英雄', '联盟', '停机', '维护']</t>
  </si>
  <si>
    <t>周星驰捐医疗设备</t>
  </si>
  <si>
    <t>['星驰', '周星驰', '捐', '医疗', '设备']</t>
  </si>
  <si>
    <t>曝关晓彤解除隔离</t>
  </si>
  <si>
    <t>['曝关晓彤', '解除', '隔离']</t>
  </si>
  <si>
    <t>焦雅辉为医疗队送行</t>
  </si>
  <si>
    <t>['焦雅辉', '为', '医疗', '医疗队', '送行']</t>
  </si>
  <si>
    <t>中国口罩给世界补货</t>
  </si>
  <si>
    <t>['中国', '口罩', '给', '世界', '补货']</t>
  </si>
  <si>
    <t>菲律宾进入灾难状态</t>
  </si>
  <si>
    <t>['菲律宾', '进入', '灾难', '状态']</t>
  </si>
  <si>
    <t>入境瞒报纳入征信</t>
  </si>
  <si>
    <t>['入境', '瞒报', '纳入', '征信']</t>
  </si>
  <si>
    <t>2020/03/18</t>
  </si>
  <si>
    <t>女演员酒店隔离40天</t>
  </si>
  <si>
    <t>['演员', '女演员', '酒店', '隔离', '40', '天']</t>
  </si>
  <si>
    <t>杜兰特感染新冠病毒</t>
  </si>
  <si>
    <t>['兰特', '杜兰特', '感染', '新冠', '病毒']</t>
  </si>
  <si>
    <t>京新增11例境外输入</t>
  </si>
  <si>
    <t>['京', '新增', '11', '例', '境外', '输入']</t>
  </si>
  <si>
    <t>意大利死亡数暴涨</t>
  </si>
  <si>
    <t>['大利', '意大利', '死亡', '死亡数', '暴涨']</t>
  </si>
  <si>
    <t>蒋逸文被解聘</t>
  </si>
  <si>
    <t>['蒋', '逸文', '被', '解聘']</t>
  </si>
  <si>
    <t>钟南山谈集体免疫</t>
  </si>
  <si>
    <t>['南山', '钟南山', '谈', '集体', '免疫']</t>
  </si>
  <si>
    <t>桥水基金爆仓</t>
  </si>
  <si>
    <t>['桥水', '基金', '爆仓']</t>
  </si>
  <si>
    <t>钟南山谈肺炎治疗药</t>
  </si>
  <si>
    <t>['南山', '钟南山', '谈', '肺炎', '治疗', '药']</t>
  </si>
  <si>
    <t>刘韵杰发表不当言论</t>
  </si>
  <si>
    <t>['刘韵杰', '发表', '不当', '言论']</t>
  </si>
  <si>
    <t>定州现重大刑事案件</t>
  </si>
  <si>
    <t>['定州', '现', '重大', '刑事', '案件', '刑事案', '刑事案件']</t>
  </si>
  <si>
    <t>NASA出现确诊病例</t>
  </si>
  <si>
    <t>['NASA', '出现', '确诊', '病例']</t>
  </si>
  <si>
    <t>陕西公布开学时间</t>
  </si>
  <si>
    <t>['陕西', '公布', '开学', '时间']</t>
  </si>
  <si>
    <t>湖北就业专列发车</t>
  </si>
  <si>
    <t>['湖北', '就业', '专列', '发车']</t>
  </si>
  <si>
    <t>张萌向张檬道歉</t>
  </si>
  <si>
    <t>['张萌', '向', '张檬', '道歉']</t>
  </si>
  <si>
    <t>甘肃增3个中风险区</t>
  </si>
  <si>
    <t>['甘肃', '增', '3', '个', '中', '风险', '区']</t>
  </si>
  <si>
    <t>外交部回应中美关系</t>
  </si>
  <si>
    <t>['外交', '外交部', '回应', '中美', '关系', '中美关系']</t>
  </si>
  <si>
    <t>医疗队共唱红旗飘飘</t>
  </si>
  <si>
    <t>['医疗', '医疗队', '共唱', '红旗', '飘飘', '红旗飘飘']</t>
  </si>
  <si>
    <t>全球确诊病例近20万</t>
  </si>
  <si>
    <t>['全球', '确诊', '病例', '近', '20', '万']</t>
  </si>
  <si>
    <t>北京大风来袭</t>
  </si>
  <si>
    <t>['北京', '大风', '来袭']</t>
  </si>
  <si>
    <t>美国务院现多例确诊</t>
  </si>
  <si>
    <t>['美国', '国务', '国务院', '美国务院', '现', '多例', '确诊']</t>
  </si>
  <si>
    <t>金宇彬被曝确诊新冠</t>
  </si>
  <si>
    <t>['金宇彬', '被', '曝', '确诊', '新冠']</t>
  </si>
  <si>
    <t>北京延庆森林火灾</t>
  </si>
  <si>
    <t>['北京', '延庆', '森林', '火灾']</t>
  </si>
  <si>
    <t>感染新冠宠物狗死亡</t>
  </si>
  <si>
    <t>['感染', '新冠', '宠物', '宠物狗', '死亡']</t>
  </si>
  <si>
    <t>张檬回应张萌</t>
  </si>
  <si>
    <t>['张檬', '回应', '张萌']</t>
  </si>
  <si>
    <t>京东宣布回购股票</t>
  </si>
  <si>
    <t>['京东', '宣布', '回购', '股票']</t>
  </si>
  <si>
    <t>林书豪驳斥美国总统</t>
  </si>
  <si>
    <t>['书豪', '林书豪', '驳斥', '美国', '总统']</t>
  </si>
  <si>
    <t>纽约州长回怼特朗普</t>
  </si>
  <si>
    <t>['纽约', '纽约州', '长回', '怼', '特朗普']</t>
  </si>
  <si>
    <t>钟南山谈病毒源头</t>
  </si>
  <si>
    <t>['南山', '钟南山', '谈', '病毒', '源头']</t>
  </si>
  <si>
    <t>小朋友送钟南山礼物</t>
  </si>
  <si>
    <t>['朋友', '小朋友', '送', '南山', '钟南山', '礼物']</t>
  </si>
  <si>
    <t>河南调整应急响应</t>
  </si>
  <si>
    <t>['河南', '调整', '应急', '响应']</t>
  </si>
  <si>
    <t>伊朗完成千万人排查</t>
  </si>
  <si>
    <t>['伊朗', '完成', '千万', '人', '排查']</t>
  </si>
  <si>
    <t>台湾单日确诊创新高</t>
  </si>
  <si>
    <t>['台湾', '单日', '确诊', '创新', '高']</t>
  </si>
  <si>
    <t>谎称卖口罩诈骗90万</t>
  </si>
  <si>
    <t>['谎称', '卖', '口罩', '诈骗', '90', '万']</t>
  </si>
  <si>
    <t>美媒遭反制</t>
  </si>
  <si>
    <t>['美媒遭', '反制']</t>
  </si>
  <si>
    <t>贝加莫市12天死70人</t>
  </si>
  <si>
    <t>['贝加莫', '市', '12', '天死', '70', '人']</t>
  </si>
  <si>
    <t>男子确诊致千人隔离</t>
  </si>
  <si>
    <t>['男子', '确诊', '致千人', '隔离']</t>
  </si>
  <si>
    <t>2020/03/19</t>
  </si>
  <si>
    <t>北京平谷发生山火</t>
  </si>
  <si>
    <t>['北京', '平谷', '发生', '山火']</t>
  </si>
  <si>
    <t>纽交所关闭交易大厅</t>
  </si>
  <si>
    <t>['纽交所', '关闭', '交易', '大厅']</t>
  </si>
  <si>
    <t>回国拒隔离大闹医院</t>
  </si>
  <si>
    <t>['回国', '拒', '隔离', '大闹', '医院']</t>
  </si>
  <si>
    <t>京津冀多地突发火灾</t>
  </si>
  <si>
    <t>['京津', '京津冀', '多地', '突发', '火灾']</t>
  </si>
  <si>
    <t>美股第五次熔断</t>
  </si>
  <si>
    <t>['美股', '第五', '五次', '第五次', '熔断']</t>
  </si>
  <si>
    <t>高云翔案宣判</t>
  </si>
  <si>
    <t>['高云', '翔案', '宣判']</t>
  </si>
  <si>
    <t>中国渤海现大型油田</t>
  </si>
  <si>
    <t>['中国', '渤海', '现', '大型', '油田']</t>
  </si>
  <si>
    <t>希拉里评特朗普</t>
  </si>
  <si>
    <t>['希拉', '拉里', '希拉里', '评', '特朗普']</t>
  </si>
  <si>
    <t>官方谈开学不戴口罩</t>
  </si>
  <si>
    <t>['官方', '谈', '开学', '不戴', '口罩']</t>
  </si>
  <si>
    <t>女子撕出入证踹警察</t>
  </si>
  <si>
    <t>['女子', '撕', '出入', '出入证', '踹', '警察']</t>
  </si>
  <si>
    <t>意大利调军车运遗体</t>
  </si>
  <si>
    <t>['大利', '意大利', '调', '军车', '运', '遗体']</t>
  </si>
  <si>
    <t>李文亮调查结果公布</t>
  </si>
  <si>
    <t>['李文亮', '调查', '查结', '结果', '调查结果', '公布']</t>
  </si>
  <si>
    <t>多省明确开学时间</t>
  </si>
  <si>
    <t>['多省', '明确', '开学', '时间']</t>
  </si>
  <si>
    <t>苹果发布新款产品</t>
  </si>
  <si>
    <t>['苹果', '发布', '新款', '产品']</t>
  </si>
  <si>
    <t>安徽将解除封闭管理</t>
  </si>
  <si>
    <t>['安徽', '将', '解除', '封闭', '管理']</t>
  </si>
  <si>
    <t>警方通报东华门事件</t>
  </si>
  <si>
    <t>['警方', '通报', '东华', '东华门', '事件']</t>
  </si>
  <si>
    <t>疫情期大妈组团出国</t>
  </si>
  <si>
    <t>['疫情', '期', '大妈', '组团', '出国']</t>
  </si>
  <si>
    <t>王毅向丹麦致慰问电</t>
  </si>
  <si>
    <t>['王毅', '向', '丹麦', '致', '慰问', '慰问电']</t>
  </si>
  <si>
    <t>瓦妮莎修改科比基金</t>
  </si>
  <si>
    <t>['瓦妮', '莎', '修改', '科比', '基金']</t>
  </si>
  <si>
    <t>徐娇曝在美国情况</t>
  </si>
  <si>
    <t>['徐娇', '曝在', '美国', '情况']</t>
  </si>
  <si>
    <t>涂磊霸气晒国籍</t>
  </si>
  <si>
    <t>['涂磊', '霸气', '晒', '国籍']</t>
  </si>
  <si>
    <t>青岛崂山发生山火</t>
  </si>
  <si>
    <t>['青岛', '崂山', '发生', '山火']</t>
  </si>
  <si>
    <t>澳籍跑步女限期离境</t>
  </si>
  <si>
    <t>['澳籍', '跑步', '女', '限期', '离境']</t>
  </si>
  <si>
    <t>中国第一次疫苗试验</t>
  </si>
  <si>
    <t>['中国', '第一', '一次', '第一次', '疫苗', '试验']</t>
  </si>
  <si>
    <t>全国新增确诊34例</t>
  </si>
  <si>
    <t>['全国', '新增', '确诊', '34', '例']</t>
  </si>
  <si>
    <t>美国国会议员确诊</t>
  </si>
  <si>
    <t>['美国', '国会', '美国国会', '议员', '确诊']</t>
  </si>
  <si>
    <t>美从意运走检测拭子</t>
  </si>
  <si>
    <t>['美从意', '运走', '检测', '拭子']</t>
  </si>
  <si>
    <t>白宫一负责人辞职</t>
  </si>
  <si>
    <t>['白宫', '一', '负责', '责人', '负责人', '辞职']</t>
  </si>
  <si>
    <t>韩国疫情持续反弹</t>
  </si>
  <si>
    <t>['韩国', '疫情', '持续', '反弹']</t>
  </si>
  <si>
    <t>河北2人隐瞒旅居史</t>
  </si>
  <si>
    <t>['河北', '2', '人', '隐瞒', '旅居', '史']</t>
  </si>
  <si>
    <t>济南迎大风天气</t>
  </si>
  <si>
    <t>['济南', '迎', '大风', '天气']</t>
  </si>
  <si>
    <t>世卫回应中国病毒</t>
  </si>
  <si>
    <t>['世卫', '回应', '中国', '病毒']</t>
  </si>
  <si>
    <t>最高礼遇迎马云捐赠</t>
  </si>
  <si>
    <t>['最高', '礼遇', '迎马云', '捐赠']</t>
  </si>
  <si>
    <t>朱丹一家现身机场</t>
  </si>
  <si>
    <t>['朱丹', '一家', '现身', '机场']</t>
  </si>
  <si>
    <t>特朗普自称战时总统</t>
  </si>
  <si>
    <t>['特朗普', '自称', '战时', '总统']</t>
  </si>
  <si>
    <t>美发生多起狱内感染</t>
  </si>
  <si>
    <t>['美', '发生', '多', '起狱', '内', '感染']</t>
  </si>
  <si>
    <t>武汉双零不代表结束</t>
  </si>
  <si>
    <t>['武汉', '双零', '不', '代表', '结束']</t>
  </si>
  <si>
    <t>广西开学时间确定</t>
  </si>
  <si>
    <t>['广西', '开学', '时间', '确定']</t>
  </si>
  <si>
    <t>韩国一直升机坠毁</t>
  </si>
  <si>
    <t>['韩国', '一', '直升', '升机', '直升机', '坠毁']</t>
  </si>
  <si>
    <t>大赢家电影</t>
  </si>
  <si>
    <t>['赢家', '大赢家', '电影']</t>
  </si>
  <si>
    <t>全球11国已封国</t>
  </si>
  <si>
    <t>['全球', '11', '国已', '封国']</t>
  </si>
  <si>
    <t>钟南山呼吁各国行动</t>
  </si>
  <si>
    <t>['南山', '钟南山', '呼吁', '各国', '行动']</t>
  </si>
  <si>
    <t>发改委谈过度管控</t>
  </si>
  <si>
    <t>['发改委', '谈', '过度', '管控']</t>
  </si>
  <si>
    <t>2020/03/20</t>
  </si>
  <si>
    <t>外交部回应海地行径</t>
  </si>
  <si>
    <t>['外交', '外交部', '回应', '海地', '行径']</t>
  </si>
  <si>
    <t>韩国罕见新冠病例</t>
  </si>
  <si>
    <t>['韩国', '罕见', '新冠', '病例']</t>
  </si>
  <si>
    <t>高云翔庭外宣泄情绪</t>
  </si>
  <si>
    <t>['高云', '翔', '庭外', '宣泄', '情绪']</t>
  </si>
  <si>
    <t>伊朗超150万人发热</t>
  </si>
  <si>
    <t>['伊朗', '超', '150', '万人', '发热']</t>
  </si>
  <si>
    <t>意大利单日病例暴增</t>
  </si>
  <si>
    <t>['大利', '意大利', '单日', '病例', '暴增']</t>
  </si>
  <si>
    <t>特朗普发言稿被曝</t>
  </si>
  <si>
    <t>['特朗普', '发言', '发言稿', '被', '曝']</t>
  </si>
  <si>
    <t>苹果中国开启限购</t>
  </si>
  <si>
    <t>['苹果', '中国', '开启', '限购']</t>
  </si>
  <si>
    <t>蒙古发生5.9级地震</t>
  </si>
  <si>
    <t>['蒙古', '发生', '5.9', '级', '地震']</t>
  </si>
  <si>
    <t>西藏日喀则发生地震</t>
  </si>
  <si>
    <t>['西藏', '日喀则', '发生', '地震']</t>
  </si>
  <si>
    <t>刘励感染肺炎去世</t>
  </si>
  <si>
    <t>['刘励', '感染', '肺炎', '去世']</t>
  </si>
  <si>
    <t>德国扣押美国3M口罩</t>
  </si>
  <si>
    <t>['德国', '扣押', '美国', '3M', '口罩']</t>
  </si>
  <si>
    <t>大赢家免费看</t>
  </si>
  <si>
    <t>['赢家', '大赢家', '免费', '看']</t>
  </si>
  <si>
    <t>曝跑步女年薪超百万</t>
  </si>
  <si>
    <t>['曝', '跑步', '女', '年薪', '超', '百万']</t>
  </si>
  <si>
    <t>钟南山的无座车票</t>
  </si>
  <si>
    <t>['南山', '钟南山', '的', '无座', '车票']</t>
  </si>
  <si>
    <t>湖人两名球员确诊</t>
  </si>
  <si>
    <t>['湖人', '两名', '球员', '确诊']</t>
  </si>
  <si>
    <t>斯坦科维奇逝世</t>
  </si>
  <si>
    <t>['斯坦科', '维奇', '逝世']</t>
  </si>
  <si>
    <t>渤健年会致多人感染</t>
  </si>
  <si>
    <t>['渤健年', '会致', '多', '人', '感染']</t>
  </si>
  <si>
    <t>湖北快递将全面恢复</t>
  </si>
  <si>
    <t>['湖北', '快递', '将', '全面', '恢复']</t>
  </si>
  <si>
    <t>外交部谈美国援助</t>
  </si>
  <si>
    <t>['外交', '外交部', '谈', '美国', '援助']</t>
  </si>
  <si>
    <t>美国新增近4000例</t>
  </si>
  <si>
    <t>['美国', '新增', '近', '4000', '例']</t>
  </si>
  <si>
    <t>五台山森林大火</t>
  </si>
  <si>
    <t>['五台', '台山', '五台山', '森林', '大火']</t>
  </si>
  <si>
    <t>黄蜂女拒绝自我隔离</t>
  </si>
  <si>
    <t>['黄蜂', '女', '拒绝', '自我', '隔离']</t>
  </si>
  <si>
    <t>中国击剑队3人确诊</t>
  </si>
  <si>
    <t>['中国', '击剑', '击剑队', '3', '人', '确诊']</t>
  </si>
  <si>
    <t>山东现美国输入病例</t>
  </si>
  <si>
    <t>['山东', '现', '美国', '输入', '病例']</t>
  </si>
  <si>
    <t>广东新增14例输入型</t>
  </si>
  <si>
    <t>['广东', '新增', '14', '例', '输入', '型']</t>
  </si>
  <si>
    <t>疫情或有第二波流行</t>
  </si>
  <si>
    <t>['疫情', '或', '有', '第二', '波', '流行']</t>
  </si>
  <si>
    <t>辟谣84艘巨轮买原油</t>
  </si>
  <si>
    <t>['辟谣', '84', '艘', '巨轮', '买', '原油']</t>
  </si>
  <si>
    <t>巴西回应不当言论</t>
  </si>
  <si>
    <t>['巴西', '回应', '不当', '言论']</t>
  </si>
  <si>
    <t>曝戈贝尔感染原因</t>
  </si>
  <si>
    <t>['曝', '贝尔', '戈贝尔', '感染', '原因']</t>
  </si>
  <si>
    <t>北京供暖时间延长</t>
  </si>
  <si>
    <t>['北京', '供暖', '时间', '延长']</t>
  </si>
  <si>
    <t>奥运圣火被大风吹灭</t>
  </si>
  <si>
    <t>['奥运', '圣火', '被', '大风', '吹灭']</t>
  </si>
  <si>
    <t>曝英首相囤数车物资</t>
  </si>
  <si>
    <t>['曝', '首相', '英首相', '囤数车', '物资']</t>
  </si>
  <si>
    <t>中国本土0新增被赞</t>
  </si>
  <si>
    <t>['中国', '本土', '0', '新增', '被', '赞']</t>
  </si>
  <si>
    <t>四川现美国输入病例</t>
  </si>
  <si>
    <t>['四川', '现', '美国', '输入', '病例']</t>
  </si>
  <si>
    <t>广州版女毒王</t>
  </si>
  <si>
    <t>['广州', '版女', '毒王']</t>
  </si>
  <si>
    <t>新增39例境外输入</t>
  </si>
  <si>
    <t>['新增', '39', '例', '境外', '输入']</t>
  </si>
  <si>
    <t>荷兰卫生部长辞职</t>
  </si>
  <si>
    <t>['荷兰', '卫生', '部长', '卫生部', '卫生部长', '辞职']</t>
  </si>
  <si>
    <t>小米出货量超过华为</t>
  </si>
  <si>
    <t>['小米', '出货', '出货量', '超过', '华为']</t>
  </si>
  <si>
    <t>美一监狱放40名囚犯</t>
  </si>
  <si>
    <t>['美一', '监狱', '放', '40', '名', '囚犯']</t>
  </si>
  <si>
    <t>特朗普谈物资问题</t>
  </si>
  <si>
    <t>['特朗普', '谈', '物资', '问题']</t>
  </si>
  <si>
    <t>道指重回20000点</t>
  </si>
  <si>
    <t>['道', '指', '重回', '20000', '点']</t>
  </si>
  <si>
    <t>2020/03/21</t>
  </si>
  <si>
    <t>意大利医院内部被曝</t>
  </si>
  <si>
    <t>['大利', '意大利', '医院', '内部', '被', '曝']</t>
  </si>
  <si>
    <t>张铁林确诊系谣言</t>
  </si>
  <si>
    <t>['张铁林', '确诊', '系', '谣言']</t>
  </si>
  <si>
    <t>官方回应护士被驱赶</t>
  </si>
  <si>
    <t>['官方', '回应', '护士', '被', '驱赶']</t>
  </si>
  <si>
    <t>31省份新增41例</t>
  </si>
  <si>
    <t>['31', '省份', '新增', '41', '例']</t>
  </si>
  <si>
    <t>简报会特朗普打瞌睡</t>
  </si>
  <si>
    <t>['简报', '会', '特朗普', '瞌睡', '打瞌睡']</t>
  </si>
  <si>
    <t>邢台现无症状感染者</t>
  </si>
  <si>
    <t>['邢台', '现', '症状', '无症状', '感染', '感染者']</t>
  </si>
  <si>
    <t>美确诊升至近2万例</t>
  </si>
  <si>
    <t>['美', '确诊', '升至', '近', '2', '万例']</t>
  </si>
  <si>
    <t>曝宝莱坞女星成毒王</t>
  </si>
  <si>
    <t>['曝宝莱坞', '女星', '成毒', '王']</t>
  </si>
  <si>
    <t>广西一女子核酸复阳</t>
  </si>
  <si>
    <t>['广西', '一', '女子', '核酸', '复阳']</t>
  </si>
  <si>
    <t>2600名美军被隔离</t>
  </si>
  <si>
    <t>['2600', '名', '美军', '被', '隔离']</t>
  </si>
  <si>
    <t>百万口罩运往意大利</t>
  </si>
  <si>
    <t>['百万', '口罩', '运往', '大利', '意大利']</t>
  </si>
  <si>
    <t>儿媳援汉婆婆发红包</t>
  </si>
  <si>
    <t>['儿媳', '援汉', '婆婆', '发红', '红包', '发红包']</t>
  </si>
  <si>
    <t>专家谈武汉解封</t>
  </si>
  <si>
    <t>['专家', '谈', '武汉', '解封']</t>
  </si>
  <si>
    <t>王思聪购物未戴口罩</t>
  </si>
  <si>
    <t>['王思聪', '购物', '未戴', '口罩']</t>
  </si>
  <si>
    <t>美宣布纽约为重灾区</t>
  </si>
  <si>
    <t>['美', '宣布', '纽约', '为', '重灾', '灾区', '重灾区']</t>
  </si>
  <si>
    <t>意国市民赞四川专家</t>
  </si>
  <si>
    <t>['意国', '市民', '赞', '四川', '专家']</t>
  </si>
  <si>
    <t>美国制裁援伊朗企业</t>
  </si>
  <si>
    <t>['美国', '制裁', '援', '伊朗', '企业']</t>
  </si>
  <si>
    <t>马克发文批特朗普</t>
  </si>
  <si>
    <t>['马克', '发文', '批', '特朗普']</t>
  </si>
  <si>
    <t>华春莹发文质问美国</t>
  </si>
  <si>
    <t>['华春莹', '发文', '质问', '美国']</t>
  </si>
  <si>
    <t>高云翔律师回应隔离</t>
  </si>
  <si>
    <t>['高云', '翔', '律师', '回应', '隔离']</t>
  </si>
  <si>
    <t>杭州调整防控措施</t>
  </si>
  <si>
    <t>['杭州', '调整', '防控', '措施']</t>
  </si>
  <si>
    <t>西媒称武磊确诊感染</t>
  </si>
  <si>
    <t>['西媒称', '武磊', '确诊', '感染']</t>
  </si>
  <si>
    <t>医生被病人持刀捅伤</t>
  </si>
  <si>
    <t>['医生', '被', '病人', '持刀', '捅', '伤']</t>
  </si>
  <si>
    <t>福建增4例境外输入</t>
  </si>
  <si>
    <t>['福建', '增', '4', '例', '境外', '输入']</t>
  </si>
  <si>
    <t>台湾增18例境外输入</t>
  </si>
  <si>
    <t>['台湾', '增', '18', '例', '境外', '输入']</t>
  </si>
  <si>
    <t>美国议员瞒报疫情</t>
  </si>
  <si>
    <t>['美国', '议员', '瞒报', '疫情']</t>
  </si>
  <si>
    <t>曝霉霉侃爷对话录音</t>
  </si>
  <si>
    <t>['曝霉霉侃爷', '对话', '录音']</t>
  </si>
  <si>
    <t>杭州遭暴雨突袭</t>
  </si>
  <si>
    <t>['杭州', '遭', '暴雨', '突袭']</t>
  </si>
  <si>
    <t>网传李大霄被约谈</t>
  </si>
  <si>
    <t>['网传', '李大霄', '被', '约', '谈']</t>
  </si>
  <si>
    <t>美国建18个方舱医院</t>
  </si>
  <si>
    <t>['美国', '建', '18', '个', '方舱', '医院']</t>
  </si>
  <si>
    <t>西班牙卫生部长落泪</t>
  </si>
  <si>
    <t>['西班牙', '卫生', '部长', '卫生部', '卫生部长', '落泪']</t>
  </si>
  <si>
    <t>汉口火车站全面消杀</t>
  </si>
  <si>
    <t>['汉口', '火车', '车站', '火车站', '全面', '消杀']</t>
  </si>
  <si>
    <t>陈道明或演钟南山</t>
  </si>
  <si>
    <t>['道明', '陈道明', '或演', '南山', '钟南山']</t>
  </si>
  <si>
    <t>多地领导带头摘口罩</t>
  </si>
  <si>
    <t>['多地', '领导', '导带', '带头', '领导带头', '摘', '口罩']</t>
  </si>
  <si>
    <t>美三大航空公司告急</t>
  </si>
  <si>
    <t>['美三大', '航空', '公司', '航空公司', '告急']</t>
  </si>
  <si>
    <t>中国疫苗已注射实验</t>
  </si>
  <si>
    <t>['中国', '疫苗', '已', '注射', '实验']</t>
  </si>
  <si>
    <t>李梓萌谈特朗普甩锅</t>
  </si>
  <si>
    <t>['李梓', '萌谈', '特朗普', '甩锅']</t>
  </si>
  <si>
    <t>武汉拆除区与区卡点</t>
  </si>
  <si>
    <t>['武汉', '拆除', '区', '与', '区卡点']</t>
  </si>
  <si>
    <t>西班牙鸽子围攻路人</t>
  </si>
  <si>
    <t>['西班牙', '鸽子', '围攻', '路', '人']</t>
  </si>
  <si>
    <t>专家称要打持久战</t>
  </si>
  <si>
    <t>['专家', '称要', '打', '持久', '持久战']</t>
  </si>
  <si>
    <t>武磊确诊后首度发声</t>
  </si>
  <si>
    <t>['武磊', '确诊', '后', '首度', '发声']</t>
  </si>
  <si>
    <t>新西兰机场传单事件</t>
  </si>
  <si>
    <t>['西兰', '新西兰', '机场', '传单', '事件']</t>
  </si>
  <si>
    <t>2020/03/22</t>
  </si>
  <si>
    <t>东奥会五环表演失败</t>
  </si>
  <si>
    <t>['东奥会', '五环', '表演', '失败']</t>
  </si>
  <si>
    <t>江苏首现境外输入</t>
  </si>
  <si>
    <t>['江苏', '首现', '境外', '输入']</t>
  </si>
  <si>
    <t>美国日增确诊超5千</t>
  </si>
  <si>
    <t>['美国', '日增', '确诊', '超', '5', '千']</t>
  </si>
  <si>
    <t>新冠疫苗注射反应</t>
  </si>
  <si>
    <t>['新冠', '疫苗', '注射', '反应']</t>
  </si>
  <si>
    <t>澳总理谈病例来源</t>
  </si>
  <si>
    <t>['澳', '总理', '谈', '病例', '来源']</t>
  </si>
  <si>
    <t>塞总统亲吻五星红旗</t>
  </si>
  <si>
    <t>['塞', '总统', '亲吻', '五星', '红旗', '五星红旗']</t>
  </si>
  <si>
    <t>鲁能费莱尼被确诊</t>
  </si>
  <si>
    <t>['鲁能费', '莱尼', '被', '确诊']</t>
  </si>
  <si>
    <t>河北首例输入病例</t>
  </si>
  <si>
    <t>['河北', '首例', '输入', '病例']</t>
  </si>
  <si>
    <t>叶依对话钟南山</t>
  </si>
  <si>
    <t>['叶依', '对话', '南山', '钟南山']</t>
  </si>
  <si>
    <t>深圳沙井油罐车着火</t>
  </si>
  <si>
    <t>['深圳', '沙井', '油罐', '罐车', '油罐车', '着火']</t>
  </si>
  <si>
    <t>外籍女婿拒集中隔离</t>
  </si>
  <si>
    <t>['外籍', '女婿', '拒', '集中', '隔离']</t>
  </si>
  <si>
    <t>全国增45例境外输入</t>
  </si>
  <si>
    <t>['全国', '增', '45', '例', '境外', '输入']</t>
  </si>
  <si>
    <t>曝欧阳娜娜入职阿里</t>
  </si>
  <si>
    <t>['曝', '欧阳', '娜娜', '入职', '阿里']</t>
  </si>
  <si>
    <t>新加坡宣布封国</t>
  </si>
  <si>
    <t>['新加坡', '宣布', '封国']</t>
  </si>
  <si>
    <t>湖北省内客运恢复</t>
  </si>
  <si>
    <t>['湖北', '湖北省', '内', '客运', '恢复']</t>
  </si>
  <si>
    <t>赴京航班12个入境点</t>
  </si>
  <si>
    <t>['赴京', '航班', '12', '个', '入境', '点']</t>
  </si>
  <si>
    <t>香港新增44例确诊</t>
  </si>
  <si>
    <t>['香港', '新增', '44', '例', '确诊']</t>
  </si>
  <si>
    <t>华春莹质问美发言人</t>
  </si>
  <si>
    <t>['华春莹', '质问', '美', '发言', '发言人']</t>
  </si>
  <si>
    <t>德国愿援助法国患者</t>
  </si>
  <si>
    <t>['德国', '愿', '援助', '法国', '患者']</t>
  </si>
  <si>
    <t>湖北省内离汉政策</t>
  </si>
  <si>
    <t>['湖北', '湖北省', '内离汉', '政策']</t>
  </si>
  <si>
    <t>通报黄某英进京事件</t>
  </si>
  <si>
    <t>['通报', '黄某', '英', '进京', '事件']</t>
  </si>
  <si>
    <t>美国或1天暴增50万</t>
  </si>
  <si>
    <t>['美国', '或', '1', '天', '暴增', '50', '万']</t>
  </si>
  <si>
    <t>陆克文求助中国</t>
  </si>
  <si>
    <t>['陆克文', '求助', '中国']</t>
  </si>
  <si>
    <t>意疫情或先于中国</t>
  </si>
  <si>
    <t>['意', '疫情', '或', '先于', '中国']</t>
  </si>
  <si>
    <t>意国火葬场全天运作</t>
  </si>
  <si>
    <t>['意国', '火葬', '火葬场', '全天', '运作']</t>
  </si>
  <si>
    <t>特朗普抱怨疫情影响</t>
  </si>
  <si>
    <t>['特朗普', '抱怨', '疫情', '影响']</t>
  </si>
  <si>
    <t>FoFo言论引争议</t>
  </si>
  <si>
    <t>['FoFo', '言论', '引', '争议']</t>
  </si>
  <si>
    <t>特朗普谈口罩使用</t>
  </si>
  <si>
    <t>['特朗普', '谈', '口罩', '使用']</t>
  </si>
  <si>
    <t>LVMH购4千万个口罩</t>
  </si>
  <si>
    <t>['LVMH', '购', '4', '千万', '万个', '千万个', '口罩']</t>
  </si>
  <si>
    <t>狗狗一天被遛38次</t>
  </si>
  <si>
    <t>['狗狗', '一天', '被', '遛', '38', '次']</t>
  </si>
  <si>
    <t>援鄂人员纳入事业编</t>
  </si>
  <si>
    <t>['援鄂', '人员', '纳入', '事业', '编']</t>
  </si>
  <si>
    <t>塞尔维亚神编辑记录</t>
  </si>
  <si>
    <t>['塞尔', '维亚', '塞尔维', '塞尔维亚', '神', '编辑', '记录']</t>
  </si>
  <si>
    <t>白宫密电内容被曝</t>
  </si>
  <si>
    <t>['白宫', '密电', '内容', '被', '曝']</t>
  </si>
  <si>
    <t>江西首现境外输入</t>
  </si>
  <si>
    <t>['江西', '首现', '境外', '输入']</t>
  </si>
  <si>
    <t>接触者曾坐西安地铁</t>
  </si>
  <si>
    <t>['接触', '者', '曾', '坐', '西安', '地铁']</t>
  </si>
  <si>
    <t>江苏确定开学时间</t>
  </si>
  <si>
    <t>['江苏', '确定', '开学', '时间']</t>
  </si>
  <si>
    <t>农村疫情有反复风险</t>
  </si>
  <si>
    <t>['农村', '疫情', '有', '反复', '风险']</t>
  </si>
  <si>
    <t>郭峰云演唱会直播</t>
  </si>
  <si>
    <t>['郭峰', '云', '演唱', '演唱会', '直播']</t>
  </si>
  <si>
    <t>各地检疫点应撤尽撤</t>
  </si>
  <si>
    <t>['各地', '检疫', '点应', '撤尽', '撤']</t>
  </si>
  <si>
    <t>美军司令部现确诊</t>
  </si>
  <si>
    <t>['美军', '司令', '司令部', '现', '确诊']</t>
  </si>
  <si>
    <t>波兰女孩为中国辟谣</t>
  </si>
  <si>
    <t>['波兰', '女孩', '为', '中国', '辟谣']</t>
  </si>
  <si>
    <t>486家影院复工票房</t>
  </si>
  <si>
    <t>['486', '家', '影院', '复工', '票房']</t>
  </si>
  <si>
    <t>渝确诊1例境外输入</t>
  </si>
  <si>
    <t>['渝', '确诊', '1', '例', '境外', '输入']</t>
  </si>
  <si>
    <t>2020/03/23</t>
  </si>
  <si>
    <t>回形针制作人道歉</t>
  </si>
  <si>
    <t>['回形针', '制作', '人', '道歉']</t>
  </si>
  <si>
    <t>李佳琦助理落泪道歉</t>
  </si>
  <si>
    <t>['李佳琦', '助理', '落泪', '道歉']</t>
  </si>
  <si>
    <t>意大利请中方管ICU</t>
  </si>
  <si>
    <t>['大利', '意大利', '请', '中方', '管', 'ICU']</t>
  </si>
  <si>
    <t>伊朗拒绝美国援助</t>
  </si>
  <si>
    <t>['伊朗', '拒绝', '美国', '援助']</t>
  </si>
  <si>
    <t>河南增1例境外输入</t>
  </si>
  <si>
    <t>['河南', '增', '1', '例', '境外', '输入']</t>
  </si>
  <si>
    <t>TVB演员梁天病逝</t>
  </si>
  <si>
    <t>['TVB', '演员', '梁天', '病逝']</t>
  </si>
  <si>
    <t>台媒曝刘真去世</t>
  </si>
  <si>
    <t>['台媒', '曝', '刘真', '去世']</t>
  </si>
  <si>
    <t>美国医护上书特朗普</t>
  </si>
  <si>
    <t>['美国', '医护', '上书', '特朗普']</t>
  </si>
  <si>
    <t>骂中国人戴口罩被拘</t>
  </si>
  <si>
    <t>['骂', '中国', '人', '戴', '口罩', '被', '拘']</t>
  </si>
  <si>
    <t>31省份新增39例</t>
  </si>
  <si>
    <t>['31', '省份', '新增', '39', '例']</t>
  </si>
  <si>
    <t>意国4826名医护感染</t>
  </si>
  <si>
    <t>['意国', '4826', '名', '医护', '感染']</t>
  </si>
  <si>
    <t>回国女子闹重庆机场</t>
  </si>
  <si>
    <t>['回国', '女子', '闹', '重庆', '机场']</t>
  </si>
  <si>
    <t>辛龙吻别刘真</t>
  </si>
  <si>
    <t>['辛龙', '吻别', '刘真']</t>
  </si>
  <si>
    <t>上海应急响应改二级</t>
  </si>
  <si>
    <t>['上海', '应急', '响应', '改', '二级']</t>
  </si>
  <si>
    <t>刘真的最后一条发文</t>
  </si>
  <si>
    <t>['刘', '真的', '最后', '一条', '发文']</t>
  </si>
  <si>
    <t>英国现18岁死亡病例</t>
  </si>
  <si>
    <t>['英国', '现', '18', '岁', '死亡', '病例']</t>
  </si>
  <si>
    <t>国家电网发重要决策</t>
  </si>
  <si>
    <t>['国家', '家电', '电网', '家电网', '国家电网', '发', '重要', '决策']</t>
  </si>
  <si>
    <t>特朗普霸道式放话</t>
  </si>
  <si>
    <t>['特朗普', '霸道', '式', '放话']</t>
  </si>
  <si>
    <t>塞尔维亚亮起中国红</t>
  </si>
  <si>
    <t>['塞尔', '维亚', '塞尔维', '塞尔维亚', '亮', '起', '中国', '红']</t>
  </si>
  <si>
    <t>德约科维奇感谢中国</t>
  </si>
  <si>
    <t>['德约', '维奇', '科维奇', '感谢', '中国']</t>
  </si>
  <si>
    <t>意大利死亡率近1成</t>
  </si>
  <si>
    <t>['大利', '意大利', '死亡', '死亡率', '近', '1', '成']</t>
  </si>
  <si>
    <t>德总理默克尔被隔离</t>
  </si>
  <si>
    <t>['德', '总理', '默克', '克尔', '默克尔', '被', '隔离']</t>
  </si>
  <si>
    <t>小S悼念刘真</t>
  </si>
  <si>
    <t>['小S', '悼念', '刘真']</t>
  </si>
  <si>
    <t>荷兰销毁百万束鲜花</t>
  </si>
  <si>
    <t>['荷兰', '销毁', '百万', '束', '鲜花']</t>
  </si>
  <si>
    <t>蒋雯丽方否认美国籍</t>
  </si>
  <si>
    <t>['蒋雯丽', '方', '否认', '美国', '籍']</t>
  </si>
  <si>
    <t>马云再求助</t>
  </si>
  <si>
    <t>['马云', '再', '求助']</t>
  </si>
  <si>
    <t>三大运营商宣布整改</t>
  </si>
  <si>
    <t>['三大', '运营', '营商', '运营商', '宣布', '整改']</t>
  </si>
  <si>
    <t>北京谈山东输入病例</t>
  </si>
  <si>
    <t>['北京', '谈', '山东', '输入', '病例']</t>
  </si>
  <si>
    <t>沈阳粥店横幅事件</t>
  </si>
  <si>
    <t>['沈阳', '粥', '店', '横幅', '事件']</t>
  </si>
  <si>
    <t>武汉现百米堵车现象</t>
  </si>
  <si>
    <t>['武汉', '现', '百米', '堵车', '现象']</t>
  </si>
  <si>
    <t>留学大国或损失惨重</t>
  </si>
  <si>
    <t>['留学', '大国', '或', '损失', '惨重', '损失惨重']</t>
  </si>
  <si>
    <t>刘亦菲运动大片被曝</t>
  </si>
  <si>
    <t>['刘亦菲', '运动', '大片', '被', '曝']</t>
  </si>
  <si>
    <t>辽宁增1例境外输入</t>
  </si>
  <si>
    <t>['辽宁', '增', '1', '例', '境外', '输入']</t>
  </si>
  <si>
    <t>北京周一严重拥堵</t>
  </si>
  <si>
    <t>['北京', '周一', '严重', '拥堵']</t>
  </si>
  <si>
    <t>李兰娟提出2个问题</t>
  </si>
  <si>
    <t>['李兰娟', '提出', '2', '个', '问题']</t>
  </si>
  <si>
    <t>美国500万人或失业</t>
  </si>
  <si>
    <t>['美国', '500', '万人', '或', '失业']</t>
  </si>
  <si>
    <t>刘真追思会时间</t>
  </si>
  <si>
    <t>['刘真', '追思', '追思会', '时间']</t>
  </si>
  <si>
    <t>纽约市长再谈特朗普</t>
  </si>
  <si>
    <t>['纽约', '市长', '再谈', '特朗普']</t>
  </si>
  <si>
    <t>麦当娜言论引争议</t>
  </si>
  <si>
    <t>['麦当娜', '言论', '引', '争议']</t>
  </si>
  <si>
    <t>伊朗将产中国抗毒药</t>
  </si>
  <si>
    <t>['伊朗', '将产', '中国', '抗', '毒药']</t>
  </si>
  <si>
    <t>江西定南大风超11级</t>
  </si>
  <si>
    <t>['江西', '定南', '大风', '超', '11', '级']</t>
  </si>
  <si>
    <t>英男星曝一年前感染</t>
  </si>
  <si>
    <t>['英', '男星', '曝', '一年', '前', '感染']</t>
  </si>
  <si>
    <t>恒大发布盈利预警</t>
  </si>
  <si>
    <t>['恒大', '发布', '盈利', '预警']</t>
  </si>
  <si>
    <t>多明戈确诊新冠肺炎</t>
  </si>
  <si>
    <t>['多明戈', '确诊', '新冠', '肺炎']</t>
  </si>
  <si>
    <t>请求公开N号房人员</t>
  </si>
  <si>
    <t>['请求', '公开', 'N', '号房', '人员']</t>
  </si>
  <si>
    <t>2020/03/24</t>
  </si>
  <si>
    <t>美撤掉驻华疾控要职</t>
  </si>
  <si>
    <t>['美', '撤掉', '驻华', '疾控', '要职']</t>
  </si>
  <si>
    <t>友人谈刘真最后状态</t>
  </si>
  <si>
    <t>['友人', '谈', '刘真', '最后', '状态']</t>
  </si>
  <si>
    <t>暂停的中国正在重启</t>
  </si>
  <si>
    <t>['暂停', '的', '中国', '正在', '重启']</t>
  </si>
  <si>
    <t>襄阳现输入无症状者</t>
  </si>
  <si>
    <t>['襄阳', '现', '输入', '症状', '无症状', '者']</t>
  </si>
  <si>
    <t>山西现首例境外输入</t>
  </si>
  <si>
    <t>['山西', '现', '首例', '境外', '输入']</t>
  </si>
  <si>
    <t>意大利1号病人治愈</t>
  </si>
  <si>
    <t>['大利', '意大利', '1', '号', '病人', '治愈']</t>
  </si>
  <si>
    <t>跑步女子被带离社区</t>
  </si>
  <si>
    <t>['跑步', '女子', '被', '带', '离', '社区']</t>
  </si>
  <si>
    <t>美国确诊超35000例</t>
  </si>
  <si>
    <t>['美国', '确诊', '超', '35000', '例']</t>
  </si>
  <si>
    <t>瑞德西韦成孤儿药</t>
  </si>
  <si>
    <t>['瑞德', '西韦成', '孤儿', '药']</t>
  </si>
  <si>
    <t>病毒在船舱存活17天</t>
  </si>
  <si>
    <t>['病毒', '在', '船舱', '存活', '17', '天']</t>
  </si>
  <si>
    <t>武汉将解除离鄂管控</t>
  </si>
  <si>
    <t>['武汉', '将', '解除', '离', '鄂', '管控']</t>
  </si>
  <si>
    <t>埃菲尔铁塔亮灯致敬</t>
  </si>
  <si>
    <t>['菲尔', '铁塔', '埃菲尔', '埃菲尔铁塔', '亮灯', '致敬']</t>
  </si>
  <si>
    <t>福奇谈特朗普表态</t>
  </si>
  <si>
    <t>['福', '奇谈', '特朗普', '表态']</t>
  </si>
  <si>
    <t>12岁男孩独自回国</t>
  </si>
  <si>
    <t>['12', '岁', '男孩', '独自', '回国']</t>
  </si>
  <si>
    <t>美国议员喊话特朗普</t>
  </si>
  <si>
    <t>['美国', '议员', '喊话', '特朗普']</t>
  </si>
  <si>
    <t>黄秋生质疑钟南山</t>
  </si>
  <si>
    <t>['黄秋生', '质疑', '南山', '钟南山']</t>
  </si>
  <si>
    <t>2.66亿人主动收货</t>
  </si>
  <si>
    <t>['2.66', '亿人', '主动', '收货']</t>
  </si>
  <si>
    <t>刘真追思灵堂将开放</t>
  </si>
  <si>
    <t>['刘真', '追思', '灵堂', '将', '开放']</t>
  </si>
  <si>
    <t>美已完成31万人检测</t>
  </si>
  <si>
    <t>['美已', '完成', '31', '万人', '检测']</t>
  </si>
  <si>
    <t>特朗普呼吁保护亚裔</t>
  </si>
  <si>
    <t>['特朗普', '呼吁', '保护', '亚裔']</t>
  </si>
  <si>
    <t>露西娅波塞去世</t>
  </si>
  <si>
    <t>['露西', '娅', '波塞', '去世']</t>
  </si>
  <si>
    <t>13省明确开学时间</t>
  </si>
  <si>
    <t>['13', '省', '明确', '开学', '时间']</t>
  </si>
  <si>
    <t>张文宏警示结核病</t>
  </si>
  <si>
    <t>['张文宏', '警示', '结核', '结核病']</t>
  </si>
  <si>
    <t>意国60位牧师去世</t>
  </si>
  <si>
    <t>['意国', '60', '位', '牧师', '去世']</t>
  </si>
  <si>
    <t>意大利24名医生殉职</t>
  </si>
  <si>
    <t>['大利', '意大利', '24', '名', '医生', '殉职']</t>
  </si>
  <si>
    <t>赵博士将被公开示众</t>
  </si>
  <si>
    <t>['赵', '博士', '将', '被', '公开', '示众']</t>
  </si>
  <si>
    <t>全球确诊超37万</t>
  </si>
  <si>
    <t>['全球', '确诊', '超', '37', '万']</t>
  </si>
  <si>
    <t>吴佩慈生四胎首露面</t>
  </si>
  <si>
    <t>['吴佩慈生', '四胎', '首', '露面']</t>
  </si>
  <si>
    <t>辛龙首度发声</t>
  </si>
  <si>
    <t>['辛龙', '首度', '发声']</t>
  </si>
  <si>
    <t>驻韩美军女兵死亡</t>
  </si>
  <si>
    <t>['驻', '韩美', '美军', '韩美军', '女兵', '死亡']</t>
  </si>
  <si>
    <t>巴西黑帮称强制封城</t>
  </si>
  <si>
    <t>['巴西', '黑帮', '称', '强制', '封城']</t>
  </si>
  <si>
    <t>湖北增1例确诊病例</t>
  </si>
  <si>
    <t>['湖北', '增', '1', '例', '确诊', '病例']</t>
  </si>
  <si>
    <t>曝陈伟霆买5套房</t>
  </si>
  <si>
    <t>['曝', '陈伟霆', '买', '5', '套房']</t>
  </si>
  <si>
    <t>苹果市值跌破万亿</t>
  </si>
  <si>
    <t>['苹果', '市值', '跌破', '万亿']</t>
  </si>
  <si>
    <t>曝汪峰前妻近照</t>
  </si>
  <si>
    <t>['曝汪峰', '前妻', '近照']</t>
  </si>
  <si>
    <t>武汉新增病例系医生</t>
  </si>
  <si>
    <t>['武汉', '新增', '病例', '系', '医生']</t>
  </si>
  <si>
    <t>江苏增境外输入3例</t>
  </si>
  <si>
    <t>['江苏', '增', '境外', '输入', '3', '例']</t>
  </si>
  <si>
    <t>北京建议错峰上班</t>
  </si>
  <si>
    <t>['北京', '建议', '错峰', '上班']</t>
  </si>
  <si>
    <t>京或再放购车指标</t>
  </si>
  <si>
    <t>['京', '或', '再', '放', '购车', '指标']</t>
  </si>
  <si>
    <t>男子疑走楼梯被传染</t>
  </si>
  <si>
    <t>['男子', '疑走', '楼梯', '被', '传染']</t>
  </si>
  <si>
    <t>特朗普谈重启美国</t>
  </si>
  <si>
    <t>['特朗普', '谈', '重启', '美国']</t>
  </si>
  <si>
    <t>美新冠单日死亡过百</t>
  </si>
  <si>
    <t>['美新冠', '单日', '死亡', '过百']</t>
  </si>
  <si>
    <t>江门多地现神秘巨响</t>
  </si>
  <si>
    <t>['江门', '多', '地现', '神秘', '巨响']</t>
  </si>
  <si>
    <t>4地新增本土病例</t>
  </si>
  <si>
    <t>['4', '地', '新增', '本土', '病例']</t>
  </si>
  <si>
    <t>2020/03/25</t>
  </si>
  <si>
    <t>意大利挂中俄国旗</t>
  </si>
  <si>
    <t>['大利', '意大利', '挂', '中', '俄国', '旗']</t>
  </si>
  <si>
    <t>刘真葬礼用佛教仪式</t>
  </si>
  <si>
    <t>['刘真', '葬礼', '用', '佛教', '仪式']</t>
  </si>
  <si>
    <t>辟谣陈道明饰钟南山</t>
  </si>
  <si>
    <t>['辟谣', '道明', '陈道明', '饰', '南山', '钟南山']</t>
  </si>
  <si>
    <t>G7财长发表联合声明</t>
  </si>
  <si>
    <t>['G7', '财长', '发表', '联合', '合声', '声明', '联合声明']</t>
  </si>
  <si>
    <t>特朗普向韩国求援</t>
  </si>
  <si>
    <t>['特朗普', '向', '韩国', '求援']</t>
  </si>
  <si>
    <t>新疆突降暴雪</t>
  </si>
  <si>
    <t>['新疆', '突降', '暴雪']</t>
  </si>
  <si>
    <t>重庆冰雹橙色预警</t>
  </si>
  <si>
    <t>['重庆', '冰雹', '橙色', '预警']</t>
  </si>
  <si>
    <t>特朗普改口病毒名称</t>
  </si>
  <si>
    <t>['特朗普', '改口', '病毒', '名称']</t>
  </si>
  <si>
    <t>比尔盖茨发公开信</t>
  </si>
  <si>
    <t>['比尔', '盖茨', '比尔盖茨', '发', '公开', '公开信']</t>
  </si>
  <si>
    <t>北京商务局致歉</t>
  </si>
  <si>
    <t>['北京', '商务', '商务局', '致歉']</t>
  </si>
  <si>
    <t>华春莹再怼美发言人</t>
  </si>
  <si>
    <t>['华春莹', '再', '怼', '美', '发言', '发言人']</t>
  </si>
  <si>
    <t>美国9名女囚越狱</t>
  </si>
  <si>
    <t>['美国', '9', '名', '女囚', '越狱']</t>
  </si>
  <si>
    <t>日本单日新增创新高</t>
  </si>
  <si>
    <t>['日本', '单日', '新增', '创新', '高']</t>
  </si>
  <si>
    <t>安徽明确复学标准</t>
  </si>
  <si>
    <t>['安徽', '明确', '复学', '标准']</t>
  </si>
  <si>
    <t>尹正吃春饼嚼121下</t>
  </si>
  <si>
    <t>['尹正', '吃', '春饼', '嚼', '121', '下']</t>
  </si>
  <si>
    <t>美单日新增确诊破万</t>
  </si>
  <si>
    <t>['美', '单日', '新增', '确诊', '破万']</t>
  </si>
  <si>
    <t>全球确诊超41万</t>
  </si>
  <si>
    <t>['全球', '确诊', '超', '41', '万']</t>
  </si>
  <si>
    <t>希拉里嘲讽特朗普</t>
  </si>
  <si>
    <t>['希拉', '拉里', '希拉里', '嘲讽', '特朗普']</t>
  </si>
  <si>
    <t>护士提醒买口罩被开</t>
  </si>
  <si>
    <t>['护士', '提醒', '买', '口罩', '被', '开']</t>
  </si>
  <si>
    <t>盖茨称宁愿牺牲经济</t>
  </si>
  <si>
    <t>['盖茨', '称', '宁愿', '牺牲', '经济']</t>
  </si>
  <si>
    <t>淘宝回应内测版</t>
  </si>
  <si>
    <t>['淘宝', '回应', '内测', '版']</t>
  </si>
  <si>
    <t>高风险国家名单调整</t>
  </si>
  <si>
    <t>['风险', '高风险', '国家', '名单', '调整']</t>
  </si>
  <si>
    <t>英国查尔斯王子感染</t>
  </si>
  <si>
    <t>['英国', '尔斯', '查尔斯', '王子', '感染']</t>
  </si>
  <si>
    <t>武磊核酸检测呈阴性</t>
  </si>
  <si>
    <t>['武磊', '核酸', '检测', '呈', '阴性']</t>
  </si>
  <si>
    <t>内蒙增4例境外输入</t>
  </si>
  <si>
    <t>['内蒙', '增', '4', '例', '境外', '输入']</t>
  </si>
  <si>
    <t>特朗普记者会秒躲</t>
  </si>
  <si>
    <t>['特朗普', '记者', '记者会', '秒', '躲']</t>
  </si>
  <si>
    <t>美或成疫情震中</t>
  </si>
  <si>
    <t>['美或成', '疫情', '震中']</t>
  </si>
  <si>
    <t>千岛群岛7.5级地震</t>
  </si>
  <si>
    <t>['千岛', '群岛', '千岛群岛', '7.5', '级', '地震']</t>
  </si>
  <si>
    <t>哈佛校长夫妇确诊</t>
  </si>
  <si>
    <t>['哈佛', '校长', '夫妇', '确诊']</t>
  </si>
  <si>
    <t>意大利扣押呼吸器</t>
  </si>
  <si>
    <t>['大利', '意大利', '扣押', '呼吸', '呼吸器']</t>
  </si>
  <si>
    <t>北京发布供热升温令</t>
  </si>
  <si>
    <t>['北京', '发布', '供热', '升温', '令']</t>
  </si>
  <si>
    <t>警方回应玉林护士案</t>
  </si>
  <si>
    <t>['警方', '回应', '玉林', '护士', '案']</t>
  </si>
  <si>
    <t>中国赴意专家组启程</t>
  </si>
  <si>
    <t>['中国', '赴意', '专家', '专家组', '启程']</t>
  </si>
  <si>
    <t>央视谈女子大闹机场</t>
  </si>
  <si>
    <t>['央视', '谈', '女子', '大闹', '机场']</t>
  </si>
  <si>
    <t>欧盟公路濒临崩溃</t>
  </si>
  <si>
    <t>['欧盟', '公路', '濒临', '崩溃']</t>
  </si>
  <si>
    <t>美媒发致中国公开信</t>
  </si>
  <si>
    <t>['美媒', '发致', '中国', '公开', '公开信']</t>
  </si>
  <si>
    <t>浙鼓励一周休2.5天</t>
  </si>
  <si>
    <t>['浙', '鼓励', '一周', '休', '2.5', '天']</t>
  </si>
  <si>
    <t>匈牙利总理接机</t>
  </si>
  <si>
    <t>['匈牙利', '总理', '接机']</t>
  </si>
  <si>
    <t>推特拒绝封中方账号</t>
  </si>
  <si>
    <t>['推特', '拒绝', '封', '中方', '账号']</t>
  </si>
  <si>
    <t>陈冠希发声斥歧视</t>
  </si>
  <si>
    <t>['陈冠希', '发声', '斥', '歧视']</t>
  </si>
  <si>
    <t>意大利50名神父去世</t>
  </si>
  <si>
    <t>['大利', '意大利', '50', '名', '神父', '去世']</t>
  </si>
  <si>
    <t>西班牙医生崩溃大哭</t>
  </si>
  <si>
    <t>['西班牙', '医生', '崩溃', '大哭']</t>
  </si>
  <si>
    <t>吉林增1例境外输入</t>
  </si>
  <si>
    <t>['吉林', '增', '1', '例', '境外', '输入']</t>
  </si>
  <si>
    <t>中国已建13万5G基站</t>
  </si>
  <si>
    <t>['中国', '已建', '13', '万', '5G', '基站']</t>
  </si>
  <si>
    <t>2020/03/26</t>
  </si>
  <si>
    <t>四川公布开学时间</t>
  </si>
  <si>
    <t>['四川', '公布', '开学', '时间']</t>
  </si>
  <si>
    <t>纽约数千名警察请假</t>
  </si>
  <si>
    <t>['纽约', '数千', '千名', '数千名', '警察', '请假']</t>
  </si>
  <si>
    <t>意大利或迎疫情高峰</t>
  </si>
  <si>
    <t>['大利', '意大利', '或迎', '疫情', '高峰']</t>
  </si>
  <si>
    <t>东京拆除倒计时钟</t>
  </si>
  <si>
    <t>['东京', '拆除', '倒计', '计时', '时钟', '倒计时', '倒计时钟']</t>
  </si>
  <si>
    <t>首批援意专家组回国</t>
  </si>
  <si>
    <t>['首批', '援意', '专家', '专家组', '回国']</t>
  </si>
  <si>
    <t>安徽省开学时间公布</t>
  </si>
  <si>
    <t>['安徽', '安徽省', '开学', '时间', '公布']</t>
  </si>
  <si>
    <t>31省新增确诊67例</t>
  </si>
  <si>
    <t>['31', '省', '新增', '确诊', '67', '例']</t>
  </si>
  <si>
    <t>意大利死亡率超10%</t>
  </si>
  <si>
    <t>['大利', '意大利', '死亡', '死亡率', '超', '10%']</t>
  </si>
  <si>
    <t>口罩出口订单大增</t>
  </si>
  <si>
    <t>['口罩', '出口', '订单', '大增']</t>
  </si>
  <si>
    <t>美新冠疫苗开发受阻</t>
  </si>
  <si>
    <t>['美新冠', '疫苗', '开发', '受阻']</t>
  </si>
  <si>
    <t>刘真官方纪念短片</t>
  </si>
  <si>
    <t>['刘真', '官方', '纪念', '短片']</t>
  </si>
  <si>
    <t>福建开学时间</t>
  </si>
  <si>
    <t>['福建', '开学', '时间']</t>
  </si>
  <si>
    <t>大连现首例境外输入</t>
  </si>
  <si>
    <t>['大连', '现', '首例', '境外', '输入']</t>
  </si>
  <si>
    <t>中赴意组建野战医院</t>
  </si>
  <si>
    <t>['中赴意', '组建', '野战', '医院', '野战医院']</t>
  </si>
  <si>
    <t>女孩因餐馆关闭崩溃</t>
  </si>
  <si>
    <t>['女孩', '因', '餐馆', '关闭', '崩溃']</t>
  </si>
  <si>
    <t>中国对89国提供援助</t>
  </si>
  <si>
    <t>['中国', '对', '89', '国', '提供', '援助', '提供援助']</t>
  </si>
  <si>
    <t>美向各国购医疗物资</t>
  </si>
  <si>
    <t>['美向', '各国', '购', '医疗', '物资']</t>
  </si>
  <si>
    <t>武警满足女护士心愿</t>
  </si>
  <si>
    <t>['武警', '满足', '护士', '女护士', '心愿']</t>
  </si>
  <si>
    <t>湖北返京隔离需自费</t>
  </si>
  <si>
    <t>['湖北', '返京', '隔离', '需', '自费']</t>
  </si>
  <si>
    <t>一医院要医护退补助</t>
  </si>
  <si>
    <t>['一', '医院', '要', '医护', '退', '补助']</t>
  </si>
  <si>
    <t>美安全部高官遭撤职</t>
  </si>
  <si>
    <t>['美', '安全', '全部', '安全部', '高官', '遭', '撤职']</t>
  </si>
  <si>
    <t>入沪人员一律隔离</t>
  </si>
  <si>
    <t>['入', '沪', '人员', '一律', '隔离']</t>
  </si>
  <si>
    <t>沪部分银行下调首付</t>
  </si>
  <si>
    <t>['沪', '部分', '银行', '下调', '首付']</t>
  </si>
  <si>
    <t>G20特别峰会开幕</t>
  </si>
  <si>
    <t>['G20', '特别', '峰会', '开幕']</t>
  </si>
  <si>
    <t>波兰允许阿里售口罩</t>
  </si>
  <si>
    <t>['波兰', '允许', '阿里', '售', '口罩']</t>
  </si>
  <si>
    <t>官方谈手机用户暴减</t>
  </si>
  <si>
    <t>['官方', '谈', '手机', '用户', '机用户', '手机用户', '暴减']</t>
  </si>
  <si>
    <t>近十年最晚寒潮预警</t>
  </si>
  <si>
    <t>['十年', '近十年', '最', '晚', '寒潮', '预警']</t>
  </si>
  <si>
    <t>美连续3天新增破万</t>
  </si>
  <si>
    <t>['美', '连续', '3', '天', '新增', '破万']</t>
  </si>
  <si>
    <t>意大利确诊超7万</t>
  </si>
  <si>
    <t>['大利', '意大利', '确诊', '超', '7', '万']</t>
  </si>
  <si>
    <t>李宗伟力挺林丹</t>
  </si>
  <si>
    <t>['李宗伟', '力挺林丹']</t>
  </si>
  <si>
    <t>多国谢中国雪中送炭</t>
  </si>
  <si>
    <t>['多国', '多国谢', '中国', '雪中送炭']</t>
  </si>
  <si>
    <t>内蒙增12例境外输入</t>
  </si>
  <si>
    <t>['内蒙', '增', '12', '例', '境外', '输入']</t>
  </si>
  <si>
    <t>中方对G20的3个期待</t>
  </si>
  <si>
    <t>['中方', '对', 'G20', '的', '3', '个', '期待']</t>
  </si>
  <si>
    <t>邓超邀医护撕名牌</t>
  </si>
  <si>
    <t>['邓超', '邀', '医护', '撕', '名牌']</t>
  </si>
  <si>
    <t>鲁开学提前10天公布</t>
  </si>
  <si>
    <t>['鲁', '开学', '提前', '10', '天', '公布']</t>
  </si>
  <si>
    <t>国防部谈美舰穿台海</t>
  </si>
  <si>
    <t>['国防', '防部', '国防部', '谈美舰', '穿', '台海']</t>
  </si>
  <si>
    <t>中方谈特朗普改口</t>
  </si>
  <si>
    <t>['中方', '谈', '特朗普', '改口']</t>
  </si>
  <si>
    <t>钟南山建议保持防控</t>
  </si>
  <si>
    <t>['南山', '钟南山', '建议', '保持', '防控']</t>
  </si>
  <si>
    <t>张文宏谈不感染秘诀</t>
  </si>
  <si>
    <t>['张文宏', '谈', '不', '感染', '秘诀']</t>
  </si>
  <si>
    <t>中留学生吴芃成网红</t>
  </si>
  <si>
    <t>['中', '留学', '学生', '留学生', '吴芃', '成网', '红']</t>
  </si>
  <si>
    <t>拼多多小二回怼阿里</t>
  </si>
  <si>
    <t>['拼', '多多', '小', '二回', '怼', '阿里']</t>
  </si>
  <si>
    <t>中国向5国派7批专家</t>
  </si>
  <si>
    <t>['中国', '向', '5', '国派', '7', '批', '专家']</t>
  </si>
  <si>
    <t>美航母又有5人确诊</t>
  </si>
  <si>
    <t>['美', '航母', '又', '有', '5', '人', '确诊']</t>
  </si>
  <si>
    <t>巴西总统要停止封锁</t>
  </si>
  <si>
    <t>['巴西', '总统', '要', '停止', '封锁']</t>
  </si>
  <si>
    <t>美国新冠死亡超千人</t>
  </si>
  <si>
    <t>['美国', '新冠', '死亡', '超千人']</t>
  </si>
  <si>
    <t>日本火山列岛地震</t>
  </si>
  <si>
    <t>['日本', '火山', '列岛', '地震']</t>
  </si>
  <si>
    <t>2020/03/27</t>
  </si>
  <si>
    <t>中国暂停外国人入境</t>
  </si>
  <si>
    <t>['中国', '暂停', '外国', '国人', '外国人', '入境']</t>
  </si>
  <si>
    <t>驻港部队联合巡逻</t>
  </si>
  <si>
    <t>['驻港', '部队', '驻港部队', '联合', '巡逻']</t>
  </si>
  <si>
    <t>辽宁机场警方发通告</t>
  </si>
  <si>
    <t>['辽宁', '机场', '警方', '发', '通告']</t>
  </si>
  <si>
    <t>汪小菲酒店被征用</t>
  </si>
  <si>
    <t>['汪小菲', '酒店', '被', '征用']</t>
  </si>
  <si>
    <t>美国确诊全球最多</t>
  </si>
  <si>
    <t>['美国', '确诊', '全球', '最', '多']</t>
  </si>
  <si>
    <t>意实际感染或达70万</t>
  </si>
  <si>
    <t>['意', '实际', '感染', '或', '达', '70', '万']</t>
  </si>
  <si>
    <t>湖北人返岗难</t>
  </si>
  <si>
    <t>['湖北', '人', '返岗', '难']</t>
  </si>
  <si>
    <t>浙新增1例本土病例</t>
  </si>
  <si>
    <t>['浙', '新增', '1', '例', '本土', '病例']</t>
  </si>
  <si>
    <t>曝艾梅柏出轨马斯克</t>
  </si>
  <si>
    <t>['曝艾梅柏', '出轨', '马斯克']</t>
  </si>
  <si>
    <t>美极右分子预炸医院</t>
  </si>
  <si>
    <t>['美', '极右', '分子', '预炸', '医院']</t>
  </si>
  <si>
    <t>韩大邱市长突然昏倒</t>
  </si>
  <si>
    <t>['韩', '大邱', '市长', '突然', '昏倒']</t>
  </si>
  <si>
    <t>17省份公布开学时间</t>
  </si>
  <si>
    <t>['17', '省份', '公布', '开学', '时间']</t>
  </si>
  <si>
    <t>徐峥去酒吧不戴口罩</t>
  </si>
  <si>
    <t>['徐峥', '去', '酒吧', '不戴', '口罩']</t>
  </si>
  <si>
    <t>北京师生返京要求</t>
  </si>
  <si>
    <t>['北京', '师生', '返京', '要求']</t>
  </si>
  <si>
    <t>比尔盖茨喊话全美</t>
  </si>
  <si>
    <t>['比尔', '盖茨', '比尔盖茨', '喊话', '全美']</t>
  </si>
  <si>
    <t>黄蜂女演员道歉</t>
  </si>
  <si>
    <t>['黄蜂', '演员', '女演员', '道歉']</t>
  </si>
  <si>
    <t>特朗普谈呼吸机需求</t>
  </si>
  <si>
    <t>['特朗普', '谈', '呼吸', '呼吸机', '需求']</t>
  </si>
  <si>
    <t>重启后的湖北</t>
  </si>
  <si>
    <t>['重启', '后', '的', '湖北']</t>
  </si>
  <si>
    <t>新泽西州灾难状态</t>
  </si>
  <si>
    <t>['泽西', '西州', '新泽西', '新泽西州', '灾难', '状态']</t>
  </si>
  <si>
    <t>钟南山预估国内疫情</t>
  </si>
  <si>
    <t>['南山', '钟南山', '预估', '国内', '疫情']</t>
  </si>
  <si>
    <t>小S冒雨悼念刘真</t>
  </si>
  <si>
    <t>['小S', '冒雨', '悼念', '刘真']</t>
  </si>
  <si>
    <t>英国首相确诊新冠</t>
  </si>
  <si>
    <t>['英国', '首相', '英国首相', '确诊', '新冠']</t>
  </si>
  <si>
    <t>武汉将解除社区封控</t>
  </si>
  <si>
    <t>['武汉', '将', '解除', '社区', '封控']</t>
  </si>
  <si>
    <t>美军确诊不再公布</t>
  </si>
  <si>
    <t>['美军', '确诊', '不再', '公布']</t>
  </si>
  <si>
    <t>鄂赣省界发生冲突</t>
  </si>
  <si>
    <t>['鄂赣', '省界', '发生', '冲突', '发生冲突']</t>
  </si>
  <si>
    <t>圆通快递员下跪道歉</t>
  </si>
  <si>
    <t>['圆通', '快递', '员', '下跪', '道歉']</t>
  </si>
  <si>
    <t>英国首相自述病情</t>
  </si>
  <si>
    <t>['英国', '首相', '英国首相', '自述', '病情']</t>
  </si>
  <si>
    <t>广州发布冰雹预警</t>
  </si>
  <si>
    <t>['广州', '发布', '冰雹', '预警']</t>
  </si>
  <si>
    <t>美呼吁各国医生赴美</t>
  </si>
  <si>
    <t>['美', '呼吁', '各国', '医生', '赴美']</t>
  </si>
  <si>
    <t>全球网络带宽告急</t>
  </si>
  <si>
    <t>['全球', '网络', '带宽', '网络带宽', '告急']</t>
  </si>
  <si>
    <t>瓦妮莎换女儿监护人</t>
  </si>
  <si>
    <t>['瓦妮', '莎换', '女儿', '监护', '护人', '监护人']</t>
  </si>
  <si>
    <t>成吉思汗喜提新皮肤</t>
  </si>
  <si>
    <t>['吉思汗', '成吉思汗', '喜', '提新', '皮肤']</t>
  </si>
  <si>
    <t>印度民众连夜抢购</t>
  </si>
  <si>
    <t>['印度', '民众', '连夜', '抢购']</t>
  </si>
  <si>
    <t>巴萨宣布全员降薪</t>
  </si>
  <si>
    <t>['巴萨', '宣布', '全员', '降薪']</t>
  </si>
  <si>
    <t>纽约检测人群排长队</t>
  </si>
  <si>
    <t>['纽约', '检测', '人群', '排长', '长队', '排长队']</t>
  </si>
  <si>
    <t>曝王自健被家暴细节</t>
  </si>
  <si>
    <t>['曝王', '自健', '被', '家暴', '细节']</t>
  </si>
  <si>
    <t>GAI心疼JONYJ</t>
  </si>
  <si>
    <t>['GAI', '心疼', 'JONYJ']</t>
  </si>
  <si>
    <t>崔天凯致谢张文宏</t>
  </si>
  <si>
    <t>['崔天凯', '致谢', '张文宏']</t>
  </si>
  <si>
    <t>离汉回京瞒报男被捕</t>
  </si>
  <si>
    <t>['离汉', '回京', '瞒报', '男', '被捕']</t>
  </si>
  <si>
    <t>乌克兰关闭国家边境</t>
  </si>
  <si>
    <t>['克兰', '乌克兰', '关闭', '国家', '边境']</t>
  </si>
  <si>
    <t>北京实现双零增长</t>
  </si>
  <si>
    <t>['北京', '实现', '双', '增长', '零增长']</t>
  </si>
  <si>
    <t>圆通回应磕头道歉</t>
  </si>
  <si>
    <t>['圆通', '回应', '磕头', '道歉']</t>
  </si>
  <si>
    <t>特朗普谈美国解封</t>
  </si>
  <si>
    <t>['特朗普', '谈', '美国', '解封']</t>
  </si>
  <si>
    <t>全国影院暂不复业</t>
  </si>
  <si>
    <t>['全国', '影院', '暂', '不', '复业']</t>
  </si>
  <si>
    <t>安倍夫人违反防疫令</t>
  </si>
  <si>
    <t>['安倍', '夫人', '违反', '防疫', '令']</t>
  </si>
  <si>
    <t>西班牙近万医护感染</t>
  </si>
  <si>
    <t>['西班牙', '近万', '医护', '感染']</t>
  </si>
  <si>
    <t>谢依霖二胎出生</t>
  </si>
  <si>
    <t>['谢依霖', '二胎', '出生']</t>
  </si>
  <si>
    <t>2020/03/28</t>
  </si>
  <si>
    <t>纽约医生曝医院现状</t>
  </si>
  <si>
    <t>['纽约', '医生', '曝', '医院', '现状']</t>
  </si>
  <si>
    <t>纽约地铁发生火灾</t>
  </si>
  <si>
    <t>['纽约', '地铁', '发生', '火灾']</t>
  </si>
  <si>
    <t>湖北江西联合发公告</t>
  </si>
  <si>
    <t>['湖北', '江西', '联合', '发', '公告']</t>
  </si>
  <si>
    <t>地铁口大量现金散落</t>
  </si>
  <si>
    <t>['地铁', '铁口', '地铁口', '大量', '现金', '散落']</t>
  </si>
  <si>
    <t>意单日死亡病例近千</t>
  </si>
  <si>
    <t>['意', '单日', '死亡', '病例', '近千']</t>
  </si>
  <si>
    <t>国航国际航班调整</t>
  </si>
  <si>
    <t>['国航', '国际', '航班', '国际航班', '调整']</t>
  </si>
  <si>
    <t>特朗普批评美国州长</t>
  </si>
  <si>
    <t>['特朗普', '批评', '美国', '州长']</t>
  </si>
  <si>
    <t>高云翔要求保留戏份</t>
  </si>
  <si>
    <t>['高云', '翔', '要求', '保留', '戏份']</t>
  </si>
  <si>
    <t>卡戴珊姐妹打架</t>
  </si>
  <si>
    <t>['卡戴珊', '姐妹', '打架']</t>
  </si>
  <si>
    <t>高晓松回应国籍争议</t>
  </si>
  <si>
    <t>['高晓松', '回应', '国籍', '争议']</t>
  </si>
  <si>
    <t>20分钟卖814套房</t>
  </si>
  <si>
    <t>['20', '分钟', '卖', '814', '套房']</t>
  </si>
  <si>
    <t>蔡徐坤疑与Lisa恋爱</t>
  </si>
  <si>
    <t>['蔡', '徐坤疑', '与', 'Lisa', '恋爱']</t>
  </si>
  <si>
    <t>通报留学生拒绝隔离</t>
  </si>
  <si>
    <t>['通报', '留学', '学生', '留学生', '拒绝', '隔离']</t>
  </si>
  <si>
    <t>美军414人确诊感染</t>
  </si>
  <si>
    <t>['美军', '414', '人', '确诊', '感染']</t>
  </si>
  <si>
    <t>鄂省长到武汉站接站</t>
  </si>
  <si>
    <t>['鄂', '省长', '到', '武汉', '武汉站', '接站']</t>
  </si>
  <si>
    <t>冰岛现双重感染者</t>
  </si>
  <si>
    <t>['冰岛', '现', '双重', '感染', '感染者']</t>
  </si>
  <si>
    <t>外交部复信美媒</t>
  </si>
  <si>
    <t>['外交', '外交部', '复信', '美媒']</t>
  </si>
  <si>
    <t>3家驻京美媒被约谈</t>
  </si>
  <si>
    <t>['3', '家', '驻京', '美媒', '被', '约', '谈']</t>
  </si>
  <si>
    <t>留学生花费40万回国</t>
  </si>
  <si>
    <t>['留学', '学生', '留学生', '花费', '40', '万', '回国']</t>
  </si>
  <si>
    <t>印度现超级传播者</t>
  </si>
  <si>
    <t>['印度', '现', '超级', '传播', '传播者']</t>
  </si>
  <si>
    <t>主播翠西被解约</t>
  </si>
  <si>
    <t>['主播翠西', '被', '解约']</t>
  </si>
  <si>
    <t>海南5人隐瞒境外史</t>
  </si>
  <si>
    <t>['海南', '5', '人', '隐瞒', '境外', '史']</t>
  </si>
  <si>
    <t>英首相顾问后门逃跑</t>
  </si>
  <si>
    <t>['首相', '英首相', '顾问', '后门', '逃跑']</t>
  </si>
  <si>
    <t>英首相确诊后改网名</t>
  </si>
  <si>
    <t>['首相', '英首相', '确诊', '后', '改', '网名']</t>
  </si>
  <si>
    <t>江苏应急响应调整</t>
  </si>
  <si>
    <t>['江苏', '应急', '响应', '调整']</t>
  </si>
  <si>
    <t>晋17岁留学生拒隔离</t>
  </si>
  <si>
    <t>['晋', '17', '岁', '留学', '学生', '留学生', '拒', '隔离']</t>
  </si>
  <si>
    <t>戈贝尔和米切尔痊愈</t>
  </si>
  <si>
    <t>['贝尔', '戈贝尔', '和', '切尔', '米切尔', '痊愈']</t>
  </si>
  <si>
    <t>关之琳与光头男散步</t>
  </si>
  <si>
    <t>['关之琳', '与', '光头', '男', '散步']</t>
  </si>
  <si>
    <t>巴黎铁塔说谢谢</t>
  </si>
  <si>
    <t>['巴黎', '铁塔', '说', '谢谢']</t>
  </si>
  <si>
    <t>柬埔寨发最严入境令</t>
  </si>
  <si>
    <t>['柬埔寨', '发', '最严', '入境', '令']</t>
  </si>
  <si>
    <t>美国定紧急应变计划</t>
  </si>
  <si>
    <t>['美国', '定', '紧急', '应变', '计划', '应变计', '应变计划']</t>
  </si>
  <si>
    <t>57岁李玲玉素颜照</t>
  </si>
  <si>
    <t>['57', '岁', '李玲玉素', '颜照']</t>
  </si>
  <si>
    <t>美国专家连线钟南山</t>
  </si>
  <si>
    <t>['美国', '专家', '连线', '南山', '钟南山']</t>
  </si>
  <si>
    <t>香港单日新增创纪录</t>
  </si>
  <si>
    <t>['香港', '单日', '新增', '纪录', '创纪录']</t>
  </si>
  <si>
    <t>詹姆斯曾救过安东尼</t>
  </si>
  <si>
    <t>['詹姆斯', '曾救过', '安东', '安东尼']</t>
  </si>
  <si>
    <t>郎朗夫妇回国</t>
  </si>
  <si>
    <t>['郎朗', '夫妇', '回国']</t>
  </si>
  <si>
    <t>31省市区新增54例</t>
  </si>
  <si>
    <t>['31', '省市', '市区', '省市区', '新增', '54', '例']</t>
  </si>
  <si>
    <t>多国从伊拉克撤军</t>
  </si>
  <si>
    <t>['多国', '从', '伊拉', '拉克', '伊拉克', '撤军']</t>
  </si>
  <si>
    <t>实拍疫情严重的纽约</t>
  </si>
  <si>
    <t>['实拍', '疫情', '严重', '的', '纽约']</t>
  </si>
  <si>
    <t>沈阳增1例境外输入</t>
  </si>
  <si>
    <t>['沈阳', '增', '1', '例', '境外', '输入']</t>
  </si>
  <si>
    <t>洛杉矶将是下个纽约</t>
  </si>
  <si>
    <t>['洛杉矶', '将', '是', '下个', '纽约']</t>
  </si>
  <si>
    <t>网曝范冰冰别墅被拆</t>
  </si>
  <si>
    <t>['网', '曝', '冰冰', '范冰冰', '别墅', '被', '拆']</t>
  </si>
  <si>
    <t>2020/03/29</t>
  </si>
  <si>
    <t>法国向中国订购口罩</t>
  </si>
  <si>
    <t>['法国', '向', '中国', '订购', '口罩']</t>
  </si>
  <si>
    <t>郭晓婷为N号房发声</t>
  </si>
  <si>
    <t>['郭晓婷', '为', 'N', '号房', '发声']</t>
  </si>
  <si>
    <t>美学习中国抗疫经验</t>
  </si>
  <si>
    <t>['美', '学习', '中国', '抗疫', '经验']</t>
  </si>
  <si>
    <t>31省区市新增45例</t>
  </si>
  <si>
    <t>['31', '省区', '区市', '省区市', '新增', '45', '例']</t>
  </si>
  <si>
    <t>河南新增本地确诊</t>
  </si>
  <si>
    <t>['河南', '新增', '本地', '确诊']</t>
  </si>
  <si>
    <t>张亮再被疑假离婚</t>
  </si>
  <si>
    <t>['张亮', '再', '被疑', '假', '离婚']</t>
  </si>
  <si>
    <t>我国已进入汛期</t>
  </si>
  <si>
    <t>['我国', '已', '进入', '汛期']</t>
  </si>
  <si>
    <t>高以翔女友晒合照</t>
  </si>
  <si>
    <t>['高以翔', '女友', '晒', '合照']</t>
  </si>
  <si>
    <t>郏县现两例确诊患者</t>
  </si>
  <si>
    <t>['郏县', '现', '两例', '确诊', '患者']</t>
  </si>
  <si>
    <t>曝英国女王侍从感染</t>
  </si>
  <si>
    <t>['曝', '英国', '女王', '英国女王', '侍从', '感染']</t>
  </si>
  <si>
    <t>6万名武汉人回家</t>
  </si>
  <si>
    <t>['6', '万名', '武汉', '人', '回家']</t>
  </si>
  <si>
    <t>联合国向美国捐口罩</t>
  </si>
  <si>
    <t>['联合', '联合国', '向', '美国', '捐', '口罩']</t>
  </si>
  <si>
    <t>美国快递员抹口水</t>
  </si>
  <si>
    <t>['美国', '快递', '员', '抹', '口水']</t>
  </si>
  <si>
    <t>纽约州长谈强制隔离</t>
  </si>
  <si>
    <t>['纽约', '纽约州', '长谈', '强制', '隔离']</t>
  </si>
  <si>
    <t>黑龙江一居民楼爆炸</t>
  </si>
  <si>
    <t>['龙江', '黑龙江', '一', '居民', '居民楼', '爆炸']</t>
  </si>
  <si>
    <t>孙杨上诉期限顺延</t>
  </si>
  <si>
    <t>['孙杨', '上诉', '期限', '顺延']</t>
  </si>
  <si>
    <t>港媒碰瓷世卫组织</t>
  </si>
  <si>
    <t>['港媒', '碰瓷', '世卫', '组织']</t>
  </si>
  <si>
    <t>北京顺义发生地震</t>
  </si>
  <si>
    <t>['北京', '顺义', '发生', '地震']</t>
  </si>
  <si>
    <t>川复工娱乐场所叫停</t>
  </si>
  <si>
    <t>['川', '复工', '娱乐', '场所', '娱乐场', '娱乐场所', '叫停']</t>
  </si>
  <si>
    <t>石家庄调整产假政策</t>
  </si>
  <si>
    <t>['石家', '家庄', '石家庄', '调整', '产假', '政策']</t>
  </si>
  <si>
    <t>李心艾曝唐嫣龙凤胎</t>
  </si>
  <si>
    <t>['李心', '艾', '曝唐', '嫣', '龙凤', '龙凤胎']</t>
  </si>
  <si>
    <t>全球抢购中国呼吸机</t>
  </si>
  <si>
    <t>['全球', '抢购', '中国', '呼吸', '呼吸机']</t>
  </si>
  <si>
    <t>13名外国人爬山入桂</t>
  </si>
  <si>
    <t>['13', '名', '外国', '国人', '外国人', '爬山', '入桂']</t>
  </si>
  <si>
    <t>香港社区现病毒传播</t>
  </si>
  <si>
    <t>['香港', '社区', '现', '病毒', '传播', '病毒传播']</t>
  </si>
  <si>
    <t>RNG2-1击败EDG</t>
  </si>
  <si>
    <t>['RNG2', '-', '1', '击败', 'EDG']</t>
  </si>
  <si>
    <t>甘肃增湖北输入病例</t>
  </si>
  <si>
    <t>['甘肃', '增', '湖北', '输入', '病例']</t>
  </si>
  <si>
    <t>病毒源头或更复杂</t>
  </si>
  <si>
    <t>['病毒', '源头', '或', '更', '复杂']</t>
  </si>
  <si>
    <t>特朗普送别医疗船</t>
  </si>
  <si>
    <t>['特朗普', '送别', '医疗', '船']</t>
  </si>
  <si>
    <t>安倍回应隐瞒疫情</t>
  </si>
  <si>
    <t>['安倍', '回应', '隐瞒', '疫情']</t>
  </si>
  <si>
    <t>美科学家谈病毒源头</t>
  </si>
  <si>
    <t>['美', '科学', '学家', '科学家', '谈', '病毒', '源头']</t>
  </si>
  <si>
    <t>汤姆汉克斯返美发声</t>
  </si>
  <si>
    <t>['汤姆', '克斯', '汉克斯', '返美', '发声']</t>
  </si>
  <si>
    <t>沙特首都传出爆炸声</t>
  </si>
  <si>
    <t>['沙特', '首都', '传出', '爆炸', '爆炸声']</t>
  </si>
  <si>
    <t>外媒曝美国经济停滞</t>
  </si>
  <si>
    <t>['外媒', '曝', '美国', '经济', '停滞']</t>
  </si>
  <si>
    <t>孙杨是否上诉无音讯</t>
  </si>
  <si>
    <t>['孙杨', '是否', '上诉', '无', '音讯']</t>
  </si>
  <si>
    <t>漯河新增患者首发声</t>
  </si>
  <si>
    <t>['漯河', '新增', '患者', '首发', '声']</t>
  </si>
  <si>
    <t>西班牙疫情防控升级</t>
  </si>
  <si>
    <t>['西班牙', '疫情', '防控', '升级']</t>
  </si>
  <si>
    <t>美疫情或8万人致死</t>
  </si>
  <si>
    <t>['美', '疫情', '或', '8', '万人', '致死']</t>
  </si>
  <si>
    <t>日本首相预测疫情</t>
  </si>
  <si>
    <t>['日本', '首相', '日本首相', '预测', '疫情']</t>
  </si>
  <si>
    <t>女子遭家暴20余年</t>
  </si>
  <si>
    <t>['女子', '遭', '家暴', '20', '余年']</t>
  </si>
  <si>
    <t>英居民穿吉利服上街</t>
  </si>
  <si>
    <t>['英', '居民', '穿', '吉利', '服', '上街']</t>
  </si>
  <si>
    <t>全球确诊病例超66万</t>
  </si>
  <si>
    <t>['全球', '确诊', '病例', '超', '66', '万']</t>
  </si>
  <si>
    <t>中国工作组驰援英国</t>
  </si>
  <si>
    <t>['中国', '工作', '工作组', '驰援', '英国']</t>
  </si>
  <si>
    <t>2020/03/30</t>
  </si>
  <si>
    <t>康辉和妻子通话</t>
  </si>
  <si>
    <t>['康辉', '和', '妻子', '通话']</t>
  </si>
  <si>
    <t>菲律宾一架飞机坠毁</t>
  </si>
  <si>
    <t>['菲律宾', '一架', '飞机', '坠毁']</t>
  </si>
  <si>
    <t>外籍男拒戴口罩后续</t>
  </si>
  <si>
    <t>['外籍', '男拒', '戴', '口罩', '后续']</t>
  </si>
  <si>
    <t>特朗普否认求助名将</t>
  </si>
  <si>
    <t>['特朗普', '否认', '求助', '名将']</t>
  </si>
  <si>
    <t>特朗普谈肺炎死亡数</t>
  </si>
  <si>
    <t>['特朗普', '谈', '肺炎', '死亡', '死亡数']</t>
  </si>
  <si>
    <t>国际原油跌破20美元</t>
  </si>
  <si>
    <t>['国际', '原油', '国际原油', '跌破', '20', '美元']</t>
  </si>
  <si>
    <t>佩洛西炮轰特朗普</t>
  </si>
  <si>
    <t>['佩洛西', '炮轰', '特朗普']</t>
  </si>
  <si>
    <t>校方回应许可馨事件</t>
  </si>
  <si>
    <t>['校方', '回应', '许可', '馨', '事件']</t>
  </si>
  <si>
    <t>特朗普谈疫情结束</t>
  </si>
  <si>
    <t>['特朗普', '谈', '疫情', '结束']</t>
  </si>
  <si>
    <t>景点恢复18天再关闭</t>
  </si>
  <si>
    <t>['景点', '恢复', '18', '天再', '关闭']</t>
  </si>
  <si>
    <t>王鸥疑帮妹妹卖假货</t>
  </si>
  <si>
    <t>['王鸥疑', '帮', '妹妹', '卖', '假货']</t>
  </si>
  <si>
    <t>31省新增确诊31例</t>
  </si>
  <si>
    <t>['31', '省', '新增', '确诊', '31', '例']</t>
  </si>
  <si>
    <t>越南发生聚集性感染</t>
  </si>
  <si>
    <t>['越南', '发生', '聚集', '性', '感染']</t>
  </si>
  <si>
    <t>曝列车侧翻内部画面</t>
  </si>
  <si>
    <t>['曝', '列车', '侧翻', '内部', '画面']</t>
  </si>
  <si>
    <t>黑龙江将分批开学</t>
  </si>
  <si>
    <t>['龙江', '黑龙江', '将', '分批', '开学']</t>
  </si>
  <si>
    <t>多地开学后周六上课</t>
  </si>
  <si>
    <t>['多地', '开学', '后', '周六', '上课']</t>
  </si>
  <si>
    <t>印度村民住树上隔离</t>
  </si>
  <si>
    <t>['印度', '村民', '住', '树上', '隔离']</t>
  </si>
  <si>
    <t>大邱医院现群体感染</t>
  </si>
  <si>
    <t>['大邱', '医院', '现', '群体', '感染']</t>
  </si>
  <si>
    <t>曝同曦外援大闹酒店</t>
  </si>
  <si>
    <t>['曝同曦', '外援', '大闹', '酒店']</t>
  </si>
  <si>
    <t>李显龙谈中美抗疫</t>
  </si>
  <si>
    <t>['李显龙', '中美', '谈中美', '抗疫']</t>
  </si>
  <si>
    <t>全球死亡病例超3万</t>
  </si>
  <si>
    <t>['全球', '死亡', '病例', '超', '3', '万']</t>
  </si>
  <si>
    <t>中国首批物资抵纽约</t>
  </si>
  <si>
    <t>['中国', '首批', '物资', '抵', '纽约']</t>
  </si>
  <si>
    <t>专家称病毒开始失控</t>
  </si>
  <si>
    <t>['专家', '称', '病毒', '开始', '失控']</t>
  </si>
  <si>
    <t>民航局回应包机回国</t>
  </si>
  <si>
    <t>['民航', '民航局', '回应', '包机', '回国']</t>
  </si>
  <si>
    <t>60万增至70万用1天</t>
  </si>
  <si>
    <t>['60', '万', '增至', '70', '万用', '1', '天']</t>
  </si>
  <si>
    <t>脱轨遇难者系铁警</t>
  </si>
  <si>
    <t>['脱轨', '遇难', '难者', '遇难者', '系铁警']</t>
  </si>
  <si>
    <t>高以翔女友疑新恋情</t>
  </si>
  <si>
    <t>['高以翔', '女友', '疑新', '恋情']</t>
  </si>
  <si>
    <t>刘真追思会取消</t>
  </si>
  <si>
    <t>['刘真', '追思', '追思会', '取消']</t>
  </si>
  <si>
    <t>北大80级捐赠美国</t>
  </si>
  <si>
    <t>['北大', '80', '级', '捐赠', '美国']</t>
  </si>
  <si>
    <t>查尔斯王子结束隔离</t>
  </si>
  <si>
    <t>['尔斯', '查尔斯', '王子', '结束', '隔离']</t>
  </si>
  <si>
    <t>梁小霞回南宁救治</t>
  </si>
  <si>
    <t>['梁小霞', '回', '南宁', '救治']</t>
  </si>
  <si>
    <t>许可馨发表不当言论</t>
  </si>
  <si>
    <t>['许可', '馨', '发表', '不当', '言论']</t>
  </si>
  <si>
    <t>意大利市长重操旧业</t>
  </si>
  <si>
    <t>['大利', '意大利', '市长', '旧业', '重操旧业']</t>
  </si>
  <si>
    <t>经纪人哭别刘真</t>
  </si>
  <si>
    <t>['经纪', '经纪人', '哭别', '刘真']</t>
  </si>
  <si>
    <t>演员冒充海外华人</t>
  </si>
  <si>
    <t>['演员', '冒充', '海外', '华人', '海外华人']</t>
  </si>
  <si>
    <t>客运火车郴州侧翻</t>
  </si>
  <si>
    <t>['客运', '火车', '郴州', '侧翻']</t>
  </si>
  <si>
    <t>印度总理为封城道歉</t>
  </si>
  <si>
    <t>['印度', '总理', '为', '封城', '道歉']</t>
  </si>
  <si>
    <t>广铁集团谈脱轨原因</t>
  </si>
  <si>
    <t>['广铁', '集团', '广铁集团', '谈', '脱轨', '原因']</t>
  </si>
  <si>
    <t>全球确诊破72万例</t>
  </si>
  <si>
    <t>['全球', '确诊', '破', '72', '万例']</t>
  </si>
  <si>
    <t>陈伟霆刘雯被曝恋情</t>
  </si>
  <si>
    <t>['陈伟霆', '刘雯', '被', '曝', '恋情']</t>
  </si>
  <si>
    <t>美国61名安检员确诊</t>
  </si>
  <si>
    <t>['美国', '61', '名', '安检', '安检员', '确诊']</t>
  </si>
  <si>
    <t>为产疫苗用上亿鸡蛋</t>
  </si>
  <si>
    <t>['为产', '疫苗', '用', '上', '亿', '鸡蛋']</t>
  </si>
  <si>
    <t>56名偷渡人员落网</t>
  </si>
  <si>
    <t>['56', '名', '偷渡', '人员', '落网']</t>
  </si>
  <si>
    <t>英首相致信6600万人</t>
  </si>
  <si>
    <t>['首相', '英首相', '致信', '6600', '万人']</t>
  </si>
  <si>
    <t>黄冈唐志红被免职</t>
  </si>
  <si>
    <t>['黄冈', '唐志红', '被', '免职']</t>
  </si>
  <si>
    <t>鄂无症状感染者轨迹</t>
  </si>
  <si>
    <t>['鄂', '症状', '无症状', '感染', '感染者', '轨迹']</t>
  </si>
  <si>
    <t>2020/03/31</t>
  </si>
  <si>
    <t>日护卫舰撞中国渔船</t>
  </si>
  <si>
    <t>['日', '护卫', '护卫舰', '撞', '中国', '渔船']</t>
  </si>
  <si>
    <t>西安外籍男子已出境</t>
  </si>
  <si>
    <t>['西安', '外籍', '男子', '已', '出境']</t>
  </si>
  <si>
    <t>意国超8000医护感染</t>
  </si>
  <si>
    <t>['意国超', '8000', '医护', '感染']</t>
  </si>
  <si>
    <t>美国防疫分歧严重</t>
  </si>
  <si>
    <t>['美国', '防疫', '分歧', '严重']</t>
  </si>
  <si>
    <t>不允许追求零而瞒报</t>
  </si>
  <si>
    <t>['不', '允许', '追求', '零而', '瞒报']</t>
  </si>
  <si>
    <t>咸宁零新增被疑瞒报</t>
  </si>
  <si>
    <t>['咸宁', '零', '新增', '被疑', '瞒报']</t>
  </si>
  <si>
    <t>郑恺苗苗挽手逛商场</t>
  </si>
  <si>
    <t>['郑恺', '苗苗', '挽手', '商场', '逛商场']</t>
  </si>
  <si>
    <t>蝙蝠中现病毒抑制剂</t>
  </si>
  <si>
    <t>['蝙蝠', '中现', '病毒', '抑制', '制剂', '抑制剂']</t>
  </si>
  <si>
    <t>2020高考延期一个月</t>
  </si>
  <si>
    <t>['2020', '高考', '延期', '一个', '一个月']</t>
  </si>
  <si>
    <t>三条件不满足不开学</t>
  </si>
  <si>
    <t>['三', '条件', '不', '满足', '不', '开学']</t>
  </si>
  <si>
    <t>西昌火灾牺牲者名单</t>
  </si>
  <si>
    <t>['西昌', '火灾', '牺牲', '牺牲者', '名单']</t>
  </si>
  <si>
    <t>特朗普称赞中国物资</t>
  </si>
  <si>
    <t>['特朗普', '称赞', '中国', '物资']</t>
  </si>
  <si>
    <t>特朗普放弃原定复工</t>
  </si>
  <si>
    <t>['特朗普', '放弃', '原定', '复工']</t>
  </si>
  <si>
    <t>吴亦凡叶可儿曝恋情</t>
  </si>
  <si>
    <t>['吴亦凡', '叶可儿', '曝', '恋情']</t>
  </si>
  <si>
    <t>周立波唐爽案宣判</t>
  </si>
  <si>
    <t>['周立波', '唐爽案', '宣判']</t>
  </si>
  <si>
    <t>西昌山火致多人牺牲</t>
  </si>
  <si>
    <t>['西昌', '山火', '致多人', '牺牲']</t>
  </si>
  <si>
    <t>广州东晓南路地陷</t>
  </si>
  <si>
    <t>['广州', '东晓', '南路', '地', '陷']</t>
  </si>
  <si>
    <t>西安启用陕U车牌</t>
  </si>
  <si>
    <t>['西安', '启用', '陕', 'U', '车牌']</t>
  </si>
  <si>
    <t>昆明发生森林火灾</t>
  </si>
  <si>
    <t>['昆明', '发生', '森林', '火灾']</t>
  </si>
  <si>
    <t>教育部回应高考延期</t>
  </si>
  <si>
    <t>['教育', '教育部', '回应', '高考', '延期']</t>
  </si>
  <si>
    <t>河南开学时间确定</t>
  </si>
  <si>
    <t>['河南', '开学', '时间', '确定']</t>
  </si>
  <si>
    <t>印度首都现群体感染</t>
  </si>
  <si>
    <t>['印度', '首都', '现', '群体', '感染']</t>
  </si>
  <si>
    <t>高校秋季开学顺延</t>
  </si>
  <si>
    <t>['高校', '秋季', '开学', '顺延']</t>
  </si>
  <si>
    <t>美政府送故障呼吸机</t>
  </si>
  <si>
    <t>['政府', '美政府', '送', '故障', '呼吸', '呼吸机']</t>
  </si>
  <si>
    <t>多地确定推迟中考</t>
  </si>
  <si>
    <t>['多地', '确定', '推迟', '中考']</t>
  </si>
  <si>
    <t>美国单日新增破2万</t>
  </si>
  <si>
    <t>['美国', '单日', '新增', '破', '2', '万']</t>
  </si>
  <si>
    <t>英美疫情甩锅中国</t>
  </si>
  <si>
    <t>['英美', '疫情', '甩锅', '中国']</t>
  </si>
  <si>
    <t>许可馨被封号</t>
  </si>
  <si>
    <t>['许可', '馨', '被', '封号']</t>
  </si>
  <si>
    <t>19名英雄申评烈士</t>
  </si>
  <si>
    <t>['19', '名', '英雄', '申评', '烈士']</t>
  </si>
  <si>
    <t>苏州黄埭发生车祸</t>
  </si>
  <si>
    <t>['苏州', '黄', '埭', '发生', '车祸']</t>
  </si>
  <si>
    <t>西昌着火点复燃</t>
  </si>
  <si>
    <t>['西昌', '着火', '火点', '着火点', '复燃']</t>
  </si>
  <si>
    <t>全球确诊超80万例</t>
  </si>
  <si>
    <t>['全球', '确诊', '超', '80', '万例']</t>
  </si>
  <si>
    <t>外交部谈舰艇相撞</t>
  </si>
  <si>
    <t>['外交', '外交部', '谈', '舰艇', '相撞']</t>
  </si>
  <si>
    <t>4月一批新规实施</t>
  </si>
  <si>
    <t>['4', '月', '一批', '新规', '实施']</t>
  </si>
  <si>
    <t>全国新增确诊48例</t>
  </si>
  <si>
    <t>['全国', '新增', '确诊', '48', '例']</t>
  </si>
  <si>
    <t>李小璐曝体重不足80</t>
  </si>
  <si>
    <t>['李小璐', '曝', '体重', '不足', '80']</t>
  </si>
  <si>
    <t>逃犯请求回国投案</t>
  </si>
  <si>
    <t>['逃犯', '请求', '回国', '投案']</t>
  </si>
  <si>
    <t>谢霆锋过亿商铺减租</t>
  </si>
  <si>
    <t>['谢霆锋', '过', '亿', '商铺', '减租']</t>
  </si>
  <si>
    <t>三艺人同时艾特李静</t>
  </si>
  <si>
    <t>['三', '艺人', '同时', '艾特', '李静']</t>
  </si>
  <si>
    <t>美国确诊患者超16万</t>
  </si>
  <si>
    <t>['美国', '确诊', '患者', '超', '16', '万']</t>
  </si>
  <si>
    <t>日本预测富士山喷发</t>
  </si>
  <si>
    <t>['日本', '预测', '富士', '富士山', '喷发']</t>
  </si>
  <si>
    <t>教育部谈复课戴口罩</t>
  </si>
  <si>
    <t>['教育', '教育部', '谈', '复课', '戴', '口罩']</t>
  </si>
  <si>
    <t>2020/04/01</t>
  </si>
  <si>
    <t>意大利全境降半旗</t>
  </si>
  <si>
    <t>['大利', '意大利', '全境', '半旗', '降半旗']</t>
  </si>
  <si>
    <t>李兰娟返杭丈夫接机</t>
  </si>
  <si>
    <t>['李兰娟', '返', '杭', '丈夫', '接机']</t>
  </si>
  <si>
    <t>赵丽颖工作室发声明</t>
  </si>
  <si>
    <t>['赵丽颖', '工作', '工作室', '发声', '声明', '发声明']</t>
  </si>
  <si>
    <t>美国爱达荷州地震</t>
  </si>
  <si>
    <t>['美国', '爱达', '爱达荷', '爱达荷州', '地震']</t>
  </si>
  <si>
    <t>CNN主播确诊感染</t>
  </si>
  <si>
    <t>['CNN', '主播', '确诊', '感染']</t>
  </si>
  <si>
    <t>全国增无症状130例</t>
  </si>
  <si>
    <t>['全国', '增', '症状', '无症状', '130', '例']</t>
  </si>
  <si>
    <t>郑州将发4亿消费券</t>
  </si>
  <si>
    <t>['郑州', '将发', '4', '亿', '消费', '券']</t>
  </si>
  <si>
    <t>西班牙单日死亡新高</t>
  </si>
  <si>
    <t>['西班牙', '单日', '死亡', '新高']</t>
  </si>
  <si>
    <t>抗疫物资出口收紧</t>
  </si>
  <si>
    <t>['抗疫', '物资', '出口', '收紧']</t>
  </si>
  <si>
    <t>全球确诊病例超85万</t>
  </si>
  <si>
    <t>['全球', '确诊', '病例', '超', '85', '万']</t>
  </si>
  <si>
    <t>蓬佩奥谈美援助贡献</t>
  </si>
  <si>
    <t>['蓬佩奥谈', '美', '援助', '贡献']</t>
  </si>
  <si>
    <t>邢台批教师擅自出国</t>
  </si>
  <si>
    <t>['邢台', '批', '教师', '擅自', '出国']</t>
  </si>
  <si>
    <t>英国一家17人感染</t>
  </si>
  <si>
    <t>['英国', '一家', '17', '人', '感染']</t>
  </si>
  <si>
    <t>外籍男子返京拒隔离</t>
  </si>
  <si>
    <t>['外籍', '男子', '返京', '拒', '隔离']</t>
  </si>
  <si>
    <t>华春莹四问蓬佩奥</t>
  </si>
  <si>
    <t>['华春莹', '四问', '蓬佩奥']</t>
  </si>
  <si>
    <t>清明外出返京需隔离</t>
  </si>
  <si>
    <t>['清明', '外出', '返京', '需', '隔离']</t>
  </si>
  <si>
    <t>钟南山谈疫情拐点</t>
  </si>
  <si>
    <t>['南山', '钟南山', '谈', '疫情', '拐点']</t>
  </si>
  <si>
    <t>网曝罗永浩带货清单</t>
  </si>
  <si>
    <t>['网', '曝', '罗永浩', '带货', '清单']</t>
  </si>
  <si>
    <t>鲁回应检测插队事件</t>
  </si>
  <si>
    <t>['鲁', '回应', '检测', '插队', '事件']</t>
  </si>
  <si>
    <t>美媒曝纽约医院现状</t>
  </si>
  <si>
    <t>['美媒', '曝', '纽约', '医院', '现状']</t>
  </si>
  <si>
    <t>俄亥俄州成重大灾区</t>
  </si>
  <si>
    <t>['俄亥俄', '俄亥俄州', '成', '重大', '灾区']</t>
  </si>
  <si>
    <t>郭京飞复工胖若两人</t>
  </si>
  <si>
    <t>['郭京飞', '复工', '胖若', '两人']</t>
  </si>
  <si>
    <t>广东新增确诊11例</t>
  </si>
  <si>
    <t>['广东', '新增', '确诊', '11', '例']</t>
  </si>
  <si>
    <t>五院士领衔留汉再战</t>
  </si>
  <si>
    <t>['五', '院士', '领衔', '留汉', '再战']</t>
  </si>
  <si>
    <t>北京公布开学条件</t>
  </si>
  <si>
    <t>['北京', '公布', '开学', '条件']</t>
  </si>
  <si>
    <t>动物园大批动物死亡</t>
  </si>
  <si>
    <t>['动物', '动物园', '大批', '动物', '死亡']</t>
  </si>
  <si>
    <t>美国数百辆车囤食物</t>
  </si>
  <si>
    <t>['美国', '数百', '百辆', '数百辆', '车', '囤', '食物']</t>
  </si>
  <si>
    <t>中国森林消防辟谣</t>
  </si>
  <si>
    <t>['中国', '森林', '消防', '辟谣']</t>
  </si>
  <si>
    <t>4名疫苗志愿者回家</t>
  </si>
  <si>
    <t>['4', '名', '疫苗', '志愿', '愿者', '志愿者', '回家']</t>
  </si>
  <si>
    <t>李兆基外孙确诊新冠</t>
  </si>
  <si>
    <t>['李兆基', '外孙', '确诊', '新冠']</t>
  </si>
  <si>
    <t>美航母舰长求援</t>
  </si>
  <si>
    <t>['美', '航母', '舰长', '求援']</t>
  </si>
  <si>
    <t>山火19人遇难细节</t>
  </si>
  <si>
    <t>['山火', '19', '人', '遇难', '细节']</t>
  </si>
  <si>
    <t>上坟抽烟致山林火灾</t>
  </si>
  <si>
    <t>['上坟', '抽烟', '致', '山林', '火灾']</t>
  </si>
  <si>
    <t>美官员攻击中国成瘾</t>
  </si>
  <si>
    <t>['美', '官员', '攻击', '中国', '成瘾']</t>
  </si>
  <si>
    <t>全国新增确诊36例</t>
  </si>
  <si>
    <t>['全国', '新增', '确诊', '36', '例']</t>
  </si>
  <si>
    <t>严防病毒进入空间站</t>
  </si>
  <si>
    <t>['严防', '病毒', '进入', '空间', '空间站']</t>
  </si>
  <si>
    <t>买光湖北货行动</t>
  </si>
  <si>
    <t>['买光', '湖北', '货', '行动']</t>
  </si>
  <si>
    <t>美拒进口中国KN95</t>
  </si>
  <si>
    <t>['美拒', '进口', '中国', 'KN95']</t>
  </si>
  <si>
    <t>官方谈北京摘口罩</t>
  </si>
  <si>
    <t>['官方', '谈', '北京', '摘', '口罩']</t>
  </si>
  <si>
    <t>一女子逃亡31年落网</t>
  </si>
  <si>
    <t>['一', '女子', '逃亡', '31', '年', '落网']</t>
  </si>
  <si>
    <t>曝钟南山挂号费</t>
  </si>
  <si>
    <t>['曝', '南山', '钟南山', '挂号', '挂号费']</t>
  </si>
  <si>
    <t>官方解答粮食危机</t>
  </si>
  <si>
    <t>['官方', '解答', '粮食', '危机']</t>
  </si>
  <si>
    <t>张国荣逝世17周年</t>
  </si>
  <si>
    <t>['张国荣', '逝世', '17', '周年']</t>
  </si>
  <si>
    <t>西昌山火仍在燃烧</t>
  </si>
  <si>
    <t>['西昌', '山火', '仍', '在', '燃烧']</t>
  </si>
  <si>
    <t>特朗普杠上女记者</t>
  </si>
  <si>
    <t>['特朗普', '杠上', '女', '记者']</t>
  </si>
  <si>
    <t>长沙分四批错峰开学</t>
  </si>
  <si>
    <t>['长沙', '分', '四批', '错峰', '开学']</t>
  </si>
  <si>
    <t>2020/04/02</t>
  </si>
  <si>
    <t>拉贝后代向中国求援</t>
  </si>
  <si>
    <t>['拉贝', '后代', '向', '中国', '求援']</t>
  </si>
  <si>
    <t>意大利疫情已到拐点</t>
  </si>
  <si>
    <t>['大利', '意大利', '疫情', '已到', '拐点']</t>
  </si>
  <si>
    <t>罗永浩口误</t>
  </si>
  <si>
    <t>['罗永浩', '口误']</t>
  </si>
  <si>
    <t>罗永浩直播带货破亿</t>
  </si>
  <si>
    <t>['罗永浩', '直播', '带货破', '亿']</t>
  </si>
  <si>
    <t>美国确诊超21万例</t>
  </si>
  <si>
    <t>['美国', '确诊', '超', '21', '万例']</t>
  </si>
  <si>
    <t>黄晓明与经纪人解约</t>
  </si>
  <si>
    <t>['黄晓明', '与', '经纪', '经纪人', '解约']</t>
  </si>
  <si>
    <t>外籍患者打伤护士</t>
  </si>
  <si>
    <t>['外籍', '患者', '打伤', '护士']</t>
  </si>
  <si>
    <t>日本单日新增创纪录</t>
  </si>
  <si>
    <t>['日本', '单日', '新增', '纪录', '创纪录']</t>
  </si>
  <si>
    <t>薇娅直播卖火箭</t>
  </si>
  <si>
    <t>['薇', '娅', '直播', '卖', '火箭']</t>
  </si>
  <si>
    <t>美国一婴儿死后确诊</t>
  </si>
  <si>
    <t>['美国', '一', '婴儿', '死后', '确诊']</t>
  </si>
  <si>
    <t>崂山再回应插队事件</t>
  </si>
  <si>
    <t>['崂山', '再', '回应', '插队', '事件']</t>
  </si>
  <si>
    <t>梁超回应婚礼分歧</t>
  </si>
  <si>
    <t>['梁超', '回应', '婚礼', '分歧']</t>
  </si>
  <si>
    <t>离婚率上升是警示</t>
  </si>
  <si>
    <t>['离婚', '离婚率', '上升', '是', '警示']</t>
  </si>
  <si>
    <t>林丹加盟丹麦俱乐部</t>
  </si>
  <si>
    <t>['林丹', '加盟', '丹麦', '俱乐部']</t>
  </si>
  <si>
    <t>中国打破病毒传播链</t>
  </si>
  <si>
    <t>['中国', '打破', '病毒', '传播', '病毒传播', '链']</t>
  </si>
  <si>
    <t>袁弘张歆艺发文求助</t>
  </si>
  <si>
    <t>['袁弘', '张歆艺', '发文', '求助']</t>
  </si>
  <si>
    <t>世卫谈外媒对华指责</t>
  </si>
  <si>
    <t>['世卫', '谈外', '媒', '对华', '指责']</t>
  </si>
  <si>
    <t>罗氏诊断发声明致歉</t>
  </si>
  <si>
    <t>['罗氏', '诊断', '发声', '声明', '发声明', '致歉']</t>
  </si>
  <si>
    <t>印度贫民窟现疫情</t>
  </si>
  <si>
    <t>['印度', '贫民', '贫民窟', '现', '疫情']</t>
  </si>
  <si>
    <t>郭某某旧案家属发声</t>
  </si>
  <si>
    <t>['郭', '某某', '旧案', '家属', '发声']</t>
  </si>
  <si>
    <t>特朗普好友感染新冠</t>
  </si>
  <si>
    <t>['特朗普', '好友', '感染', '新冠']</t>
  </si>
  <si>
    <t>特朗普称彭斯打太极</t>
  </si>
  <si>
    <t>['特朗普', '称', '彭斯', '打', '太极']</t>
  </si>
  <si>
    <t>商务部回应粮价问题</t>
  </si>
  <si>
    <t>['商务', '商务部', '回应', '粮价', '问题']</t>
  </si>
  <si>
    <t>纽约时报炮轰福克斯</t>
  </si>
  <si>
    <t>['纽约', '时报', '纽约时报', '炮轰', '福克', '克斯', '福克斯']</t>
  </si>
  <si>
    <t>外交部谈美打压华为</t>
  </si>
  <si>
    <t>['外交', '外交部', '谈美', '打压', '华为']</t>
  </si>
  <si>
    <t>人民网评外籍人插队</t>
  </si>
  <si>
    <t>['人民', '人民网', '评', '外籍', '外籍人', '插队']</t>
  </si>
  <si>
    <t>京都一大学暴发疫情</t>
  </si>
  <si>
    <t>['京都', '一', '大学', '暴发', '疫情']</t>
  </si>
  <si>
    <t>插队外籍人士道歉</t>
  </si>
  <si>
    <t>['插队', '外籍', '人士', '外籍人', '外籍人士', '道歉']</t>
  </si>
  <si>
    <t>孙杨代言产品遭抵制</t>
  </si>
  <si>
    <t>['孙杨', '代言', '产品', '遭', '抵制']</t>
  </si>
  <si>
    <t>钟南山担心海外疫情</t>
  </si>
  <si>
    <t>['南山', '钟南山', '担心', '海外', '疫情']</t>
  </si>
  <si>
    <t>外籍人士插队被教育</t>
  </si>
  <si>
    <t>['外籍', '人士', '外籍人', '外籍人士', '插队', '被', '教育']</t>
  </si>
  <si>
    <t>钟南山谈后遗症</t>
  </si>
  <si>
    <t>['南山', '钟南山', '谈', '后遗', '后遗症']</t>
  </si>
  <si>
    <t>小罗在监狱首吞败绩</t>
  </si>
  <si>
    <t>['小罗在', '监狱', '首吞', '败绩']</t>
  </si>
  <si>
    <t>36名中国留学生确诊</t>
  </si>
  <si>
    <t>['36', '名', '中国', '留学', '学生', '留学生', '确诊']</t>
  </si>
  <si>
    <t>福冈医院疑集体感染</t>
  </si>
  <si>
    <t>['福冈', '医院', '疑', '集体', '感染']</t>
  </si>
  <si>
    <t>南京第二批复学时间</t>
  </si>
  <si>
    <t>['南京', '第二', '二批', '第二批', '复学', '时间']</t>
  </si>
  <si>
    <t>油价大战首个牺牲品</t>
  </si>
  <si>
    <t>['油价', '大战', '首个', '牺牲', '牺牲品']</t>
  </si>
  <si>
    <t>彭斯承认美疫情严峻</t>
  </si>
  <si>
    <t>['彭斯', '承认', '美', '疫情', '严峻']</t>
  </si>
  <si>
    <t>外媒谈中国防控措施</t>
  </si>
  <si>
    <t>['外媒谈', '中国', '防控', '措施']</t>
  </si>
  <si>
    <t>内蒙古现无症状1例</t>
  </si>
  <si>
    <t>['内蒙', '蒙古', '内蒙古', '现', '症状', '无症状', '1', '例']</t>
  </si>
  <si>
    <t>男子开火车撞医疗船</t>
  </si>
  <si>
    <t>['男子', '开', '火车', '火车撞', '医疗', '船']</t>
  </si>
  <si>
    <t>每分钟新增约50例</t>
  </si>
  <si>
    <t>['分钟', '每分钟', '新增', '约', '50', '例']</t>
  </si>
  <si>
    <t>标普最大单日跌幅</t>
  </si>
  <si>
    <t>['标普', '最大', '单日', '跌幅']</t>
  </si>
  <si>
    <t>华春莹谈台湾捐口罩</t>
  </si>
  <si>
    <t>['华春莹', '谈', '台湾', '捐', '口罩']</t>
  </si>
  <si>
    <t>2020年首家退市公司</t>
  </si>
  <si>
    <t>['2020', '年', '首家', '退市', '公司']</t>
  </si>
  <si>
    <t>2020/04/03</t>
  </si>
  <si>
    <t>店主确诊致97人隔离</t>
  </si>
  <si>
    <t>['店主', '确诊', '致', '97', '人', '隔离']</t>
  </si>
  <si>
    <t>瑞幸咖啡或将被追责</t>
  </si>
  <si>
    <t>['瑞幸', '咖啡', '或', '将', '被', '追责']</t>
  </si>
  <si>
    <t>邓主任回应责备护士</t>
  </si>
  <si>
    <t>['邓', '主任', '回应', '责备', '护士']</t>
  </si>
  <si>
    <t>108人接种新冠疫苗</t>
  </si>
  <si>
    <t>['108', '人', '接种', '新冠', '疫苗']</t>
  </si>
  <si>
    <t>4月4日全国哀悼活动</t>
  </si>
  <si>
    <t>['4', '月', '4', '日', '全国', '哀悼', '活动']</t>
  </si>
  <si>
    <t>曝英超或在华收官</t>
  </si>
  <si>
    <t>['曝', '英超', '或', '在', '华', '收官']</t>
  </si>
  <si>
    <t>美国航母舰长被免职</t>
  </si>
  <si>
    <t>['美国', '航母', '舰长', '被', '免职']</t>
  </si>
  <si>
    <t>官方谈囤500斤大米</t>
  </si>
  <si>
    <t>['官方', '谈', '囤', '500', '斤', '大米']</t>
  </si>
  <si>
    <t>鄂增无症状感染51例</t>
  </si>
  <si>
    <t>['鄂增', '症状', '无症状', '感染', '51', '例']</t>
  </si>
  <si>
    <t>操场埋尸案二审宣判</t>
  </si>
  <si>
    <t>['操场', '埋尸', '二审', '案二审', '宣判']</t>
  </si>
  <si>
    <t>全球确诊破100万例</t>
  </si>
  <si>
    <t>['全球', '确诊', '破', '100', '万例']</t>
  </si>
  <si>
    <t>瑞幸咖啡董事长发声</t>
  </si>
  <si>
    <t>['瑞幸', '咖啡', '董事', '董事长', '发声']</t>
  </si>
  <si>
    <t>瑞幸门店内人满为患</t>
  </si>
  <si>
    <t>['瑞幸', '门店', '内', '人满为患']</t>
  </si>
  <si>
    <t>美国过剩牛奶被倒掉</t>
  </si>
  <si>
    <t>['美国', '过剩', '牛奶', '被', '倒掉']</t>
  </si>
  <si>
    <t>巴西遭拒仅中国援助</t>
  </si>
  <si>
    <t>['巴西', '遭', '拒仅', '中国', '援助']</t>
  </si>
  <si>
    <t>孙文斌被执行死刑</t>
  </si>
  <si>
    <t>['孙文斌', '被', '执行', '死刑']</t>
  </si>
  <si>
    <t>美国抛售千亿国债</t>
  </si>
  <si>
    <t>['美国', '抛售', '千亿', '国债']</t>
  </si>
  <si>
    <t>钟南山否认疫情瞒报</t>
  </si>
  <si>
    <t>['南山', '钟南山', '否认', '疫情', '瞒报']</t>
  </si>
  <si>
    <t>印度9千病例失联</t>
  </si>
  <si>
    <t>['印度', '9', '千', '病例', '失联']</t>
  </si>
  <si>
    <t>武契奇3次感谢中国</t>
  </si>
  <si>
    <t>['武契奇', '3', '次', '感谢', '中国']</t>
  </si>
  <si>
    <t>泰国突发非洲马瘟</t>
  </si>
  <si>
    <t>['泰国', '突发', '非洲', '马瘟']</t>
  </si>
  <si>
    <t>越渔船撞中国海警船</t>
  </si>
  <si>
    <t>['越', '渔船', '撞', '中国', '海警', '船']</t>
  </si>
  <si>
    <t>美国上千警察感染</t>
  </si>
  <si>
    <t>['美国', '上千', '警察', '感染']</t>
  </si>
  <si>
    <t>儿子拿手铐迎接爸爸</t>
  </si>
  <si>
    <t>['儿子', '拿', '手铐', '迎接', '爸爸']</t>
  </si>
  <si>
    <t>张朝阳谈罗永浩</t>
  </si>
  <si>
    <t>['朝阳', '张朝阳', '谈', '罗永浩']</t>
  </si>
  <si>
    <t>汉强化小区封闭管理</t>
  </si>
  <si>
    <t>['汉', '强化', '小区', '封闭', '管理']</t>
  </si>
  <si>
    <t>特朗普炮轰3M公司</t>
  </si>
  <si>
    <t>['特朗普', '炮轰', '3M', '公司']</t>
  </si>
  <si>
    <t>特朗普二次检测阴性</t>
  </si>
  <si>
    <t>['特朗普', '二次', '检测', '阴性']</t>
  </si>
  <si>
    <t>NASA禁止员工用Zoom</t>
  </si>
  <si>
    <t>['NASA', '禁止', '员工', '用', 'Zoom']</t>
  </si>
  <si>
    <t>官方回应道歉信签名</t>
  </si>
  <si>
    <t>['官方', '回应', '道歉', '道歉信', '签名']</t>
  </si>
  <si>
    <t>央行称不会出现钱荒</t>
  </si>
  <si>
    <t>['央行', '称', '不会', '出现', '钱荒']</t>
  </si>
  <si>
    <t>一航班发现13例确诊</t>
  </si>
  <si>
    <t>['一', '航班', '发现', '13', '例', '确诊']</t>
  </si>
  <si>
    <t>郭某鹏获刑1年半</t>
  </si>
  <si>
    <t>['郭', '某鹏', '获刑', '1', '年', '半']</t>
  </si>
  <si>
    <t>部分电视剧排播暂停</t>
  </si>
  <si>
    <t>['部分', '电视', '电视剧', '排播', '暂停']</t>
  </si>
  <si>
    <t>特朗普批评约翰逊</t>
  </si>
  <si>
    <t>['特朗普', '批评', '约翰', '约翰逊']</t>
  </si>
  <si>
    <t>北京百望山发生火灾</t>
  </si>
  <si>
    <t>['北京', '百望', '山', '发生', '火灾']</t>
  </si>
  <si>
    <t>多国抵制搞污名化</t>
  </si>
  <si>
    <t>['多', '国', '抵制', '搞', '污名', '化']</t>
  </si>
  <si>
    <t>章泽天回应捐物资</t>
  </si>
  <si>
    <t>['章泽天', '回应', '捐', '物资']</t>
  </si>
  <si>
    <t>广州一公交撞隧道口</t>
  </si>
  <si>
    <t>['广州', '一', '公交', '撞', '隧道', '道口', '隧道口']</t>
  </si>
  <si>
    <t>钟南山担心美国疫情</t>
  </si>
  <si>
    <t>['南山', '钟南山', '担心', '美国', '疫情']</t>
  </si>
  <si>
    <t>湖北工人讨薪被打</t>
  </si>
  <si>
    <t>['湖北', '工人', '讨薪', '被', '打']</t>
  </si>
  <si>
    <t>亚马逊停售N95口罩</t>
  </si>
  <si>
    <t>['亚马', '亚马逊', '停售', 'N95', '口罩']</t>
  </si>
  <si>
    <t>2020/04/04</t>
  </si>
  <si>
    <t>清明节全国哀悼</t>
  </si>
  <si>
    <t>['清明', '清明节', '全国', '哀悼']</t>
  </si>
  <si>
    <t>京东回应刘强东卸任</t>
  </si>
  <si>
    <t>['京东', '回应', '刘强', '东', '卸任']</t>
  </si>
  <si>
    <t>钟南山静立默哀</t>
  </si>
  <si>
    <t>['南山', '钟南山', '静立', '默哀']</t>
  </si>
  <si>
    <t>广州被伤护士首发声</t>
  </si>
  <si>
    <t>['广州', '被', '伤', '护士', '首发', '声']</t>
  </si>
  <si>
    <t>天安门广场下半旗</t>
  </si>
  <si>
    <t>['天安', '广场', '天安门', '天安门广场', '下半', '半旗', '下半旗']</t>
  </si>
  <si>
    <t>武汉车辆停驶3分钟</t>
  </si>
  <si>
    <t>['武汉', '车辆', '停驶', '3', '分钟']</t>
  </si>
  <si>
    <t>多家游戏停服一天</t>
  </si>
  <si>
    <t>['多家', '游戏', '停服', '一天']</t>
  </si>
  <si>
    <t>猫群感染新冠病毒</t>
  </si>
  <si>
    <t>['猫群', '感染', '新冠', '病毒']</t>
  </si>
  <si>
    <t>刘强东卸任京东法人</t>
  </si>
  <si>
    <t>['刘强', '东', '卸任', '京东', '法人']</t>
  </si>
  <si>
    <t>华为入股中电仪器</t>
  </si>
  <si>
    <t>['华为', '入股', '中', '电', '仪器']</t>
  </si>
  <si>
    <t>张文宏谈法国疫情</t>
  </si>
  <si>
    <t>['张文宏', '谈', '法国', '疫情']</t>
  </si>
  <si>
    <t>纽约护士街头抗议</t>
  </si>
  <si>
    <t>['纽约', '护士', '街头', '抗议']</t>
  </si>
  <si>
    <t>武汉下半旗</t>
  </si>
  <si>
    <t>['武汉', '下半', '半旗', '下半旗']</t>
  </si>
  <si>
    <t>密歇根病例种族构成</t>
  </si>
  <si>
    <t>['密歇根', '病例', '种族', '构成']</t>
  </si>
  <si>
    <t>美35州重大灾难状态</t>
  </si>
  <si>
    <t>['美', '35', '州', '重大', '灾难', '状态']</t>
  </si>
  <si>
    <t>7人唱卡拉OK确诊</t>
  </si>
  <si>
    <t>['7', '人唱', '卡拉', 'OK', '确诊']</t>
  </si>
  <si>
    <t>刘鑫拒收起诉书</t>
  </si>
  <si>
    <t>['刘鑫', '拒收', '起诉', '起诉书']</t>
  </si>
  <si>
    <t>春天很好只是很想你</t>
  </si>
  <si>
    <t>['春天', '很', '好', '只是', '很', '想', '你']</t>
  </si>
  <si>
    <t>2020/04/05</t>
  </si>
  <si>
    <t>蒙古捐赠羊尚未来华</t>
  </si>
  <si>
    <t>['蒙古', '捐赠', '羊', '尚未', '来华']</t>
  </si>
  <si>
    <t>罗永浩谈收到限消令</t>
  </si>
  <si>
    <t>['罗永浩', '谈', '收到', '限', '消令']</t>
  </si>
  <si>
    <t>科比入选篮球名人堂</t>
  </si>
  <si>
    <t>['科比', '入选', '篮球', '名人', '名人堂']</t>
  </si>
  <si>
    <t>粤增5例本土病例</t>
  </si>
  <si>
    <t>['粤增', '5', '例', '本土', '病例']</t>
  </si>
  <si>
    <t>张文宏谈外包装消毒</t>
  </si>
  <si>
    <t>['张文宏', '谈', '外包', '包装', '外包装', '消毒']</t>
  </si>
  <si>
    <t>美驻华大使发感谢信</t>
  </si>
  <si>
    <t>['美', '驻华', '华大', '大使', '华大使', '驻华大使', '发', '感谢', '感谢信']</t>
  </si>
  <si>
    <t>美医生测出新冠抗体</t>
  </si>
  <si>
    <t>['美', '医生', '测出', '新冠', '抗体']</t>
  </si>
  <si>
    <t>杭州16个警号被封存</t>
  </si>
  <si>
    <t>['杭州', '16', '个', '警号', '被', '封存']</t>
  </si>
  <si>
    <t>美国累计确诊超30万</t>
  </si>
  <si>
    <t>['美国', '累计', '确诊', '超', '30', '万']</t>
  </si>
  <si>
    <t>各地开学时间一览</t>
  </si>
  <si>
    <t>['各地', '开学', '时间', '一览']</t>
  </si>
  <si>
    <t>鲁援鄂医护心脏骤停</t>
  </si>
  <si>
    <t>['鲁援', '鄂', '医护', '心脏', '骤停']</t>
  </si>
  <si>
    <t>丹麦6千人口罩实验</t>
  </si>
  <si>
    <t>['丹麦', '6', '千人', '口罩', '实验']</t>
  </si>
  <si>
    <t>官方通报郴州脱轨</t>
  </si>
  <si>
    <t>['官方', '通报', '郴州', '脱轨']</t>
  </si>
  <si>
    <t>一线城市房价下跌</t>
  </si>
  <si>
    <t>['一线', '城市', '房价', '下跌']</t>
  </si>
  <si>
    <t>重庆现非洲猪瘟疫情</t>
  </si>
  <si>
    <t>['重庆', '现', '非洲', '猪瘟', '疫情']</t>
  </si>
  <si>
    <t>厦门力促旅游酒店业</t>
  </si>
  <si>
    <t>['厦门', '力促', '旅游', '酒店', '酒店业']</t>
  </si>
  <si>
    <t>美国全球范围撤侨</t>
  </si>
  <si>
    <t>['美国', '全球', '范围', '撤侨']</t>
  </si>
  <si>
    <t>3M公司回应白宫批评</t>
  </si>
  <si>
    <t>['3M', '公司', '回应', '白宫', '批评']</t>
  </si>
  <si>
    <t>美航空被曝隐瞒病情</t>
  </si>
  <si>
    <t>['美', '航空', '被', '曝', '隐瞒', '病情']</t>
  </si>
  <si>
    <t>南京部分高校将开学</t>
  </si>
  <si>
    <t>['南京', '部分', '高校', '将', '开学']</t>
  </si>
  <si>
    <t>宁夏发生3.2级地震</t>
  </si>
  <si>
    <t>['宁夏', '发生', '3.2', '级', '地震']</t>
  </si>
  <si>
    <t>俞敏洪谈瑞幸咖啡</t>
  </si>
  <si>
    <t>['俞敏', '洪谈瑞幸', '咖啡']</t>
  </si>
  <si>
    <t>京防控状态或持续</t>
  </si>
  <si>
    <t>['京', '防控', '状态', '或', '持续']</t>
  </si>
  <si>
    <t>张文宏谈轻症检测</t>
  </si>
  <si>
    <t>['张文宏', '谈轻症', '检测']</t>
  </si>
  <si>
    <t>郭某鹏被解除合同</t>
  </si>
  <si>
    <t>['郭', '某鹏', '被', '解除', '合同', '解除合同']</t>
  </si>
  <si>
    <t>英首相未婚妻疑感染</t>
  </si>
  <si>
    <t>['首相', '英首相', '未婚', '未婚妻', '疑', '感染']</t>
  </si>
  <si>
    <t>纽约6天后或迎拐点</t>
  </si>
  <si>
    <t>['纽约', '6', '天后', '或', '迎', '拐点']</t>
  </si>
  <si>
    <t>川藏线突发雪崩</t>
  </si>
  <si>
    <t>['川藏线', '突发', '雪崩']</t>
  </si>
  <si>
    <t>特朗普反驳德国指责</t>
  </si>
  <si>
    <t>['特朗普', '反驳', '德国', '指责']</t>
  </si>
  <si>
    <t>特朗普怒斥女记者</t>
  </si>
  <si>
    <t>['特朗普', '怒斥', '女', '记者']</t>
  </si>
  <si>
    <t>伦巴第民众须戴口罩</t>
  </si>
  <si>
    <t>['伦巴', '伦巴第', '民众', '须', '戴', '口罩']</t>
  </si>
  <si>
    <t>黄山景区现场爆满</t>
  </si>
  <si>
    <t>['黄山', '景区', '现场', '爆满']</t>
  </si>
  <si>
    <t>英国医护谈中国防疫</t>
  </si>
  <si>
    <t>['英国', '医护', '谈', '中国', '防疫']</t>
  </si>
  <si>
    <t>全国新增确诊30例</t>
  </si>
  <si>
    <t>['全国', '新增', '确诊', '30', '例']</t>
  </si>
  <si>
    <t>张文宏夸赞在法华裔</t>
  </si>
  <si>
    <t>['张文宏', '夸赞', '在', '法', '华裔']</t>
  </si>
  <si>
    <t>黄山景区回应爆满</t>
  </si>
  <si>
    <t>['黄山', '景区', '回应', '爆满']</t>
  </si>
  <si>
    <t>招6千人试验戴口罩</t>
  </si>
  <si>
    <t>['招', '6', '千人', '试验', '戴', '口罩']</t>
  </si>
  <si>
    <t>2020/04/06</t>
  </si>
  <si>
    <t>4月8日将现超级月亮</t>
  </si>
  <si>
    <t>['4', '月', '8', '日将现', '超级', '月亮']</t>
  </si>
  <si>
    <t>人民日报谈张静静</t>
  </si>
  <si>
    <t>['人民', '日报', '人民日报', '谈张', '静静']</t>
  </si>
  <si>
    <t>街道谈优待外籍人员</t>
  </si>
  <si>
    <t>['街道', '谈', '优待', '外籍', '人员']</t>
  </si>
  <si>
    <t>粤四区调整风险等级</t>
  </si>
  <si>
    <t>['粤', '四区', '调整', '风险', '等级']</t>
  </si>
  <si>
    <t>跳高名将张国伟退役</t>
  </si>
  <si>
    <t>['跳高', '名将', '张国伟', '退役']</t>
  </si>
  <si>
    <t>日本或进入紧急状态</t>
  </si>
  <si>
    <t>['日本', '或', '进入', '紧急', '状态', '紧急状态']</t>
  </si>
  <si>
    <t>特朗普谈华防疫物资</t>
  </si>
  <si>
    <t>['特朗普', '谈华', '防疫', '物资']</t>
  </si>
  <si>
    <t>美47地进入灾难状态</t>
  </si>
  <si>
    <t>['美', '47', '地', '进入', '灾难', '状态']</t>
  </si>
  <si>
    <t>建行发布员工新规</t>
  </si>
  <si>
    <t>['建行', '发布', '员工', '新规']</t>
  </si>
  <si>
    <t>青海增1例无症状者</t>
  </si>
  <si>
    <t>['青海', '增', '1', '例', '症状', '无症状', '者']</t>
  </si>
  <si>
    <t>31省新增确诊39例</t>
  </si>
  <si>
    <t>['31', '省', '新增', '确诊', '39', '例']</t>
  </si>
  <si>
    <t>陕西高校封闭式管理</t>
  </si>
  <si>
    <t>['陕西', '高校', '封闭', '闭式', '封闭式', '管理']</t>
  </si>
  <si>
    <t>张文宏担心病毒蔓延</t>
  </si>
  <si>
    <t>['张文宏', '担心', '病毒', '蔓延']</t>
  </si>
  <si>
    <t>泰国医院让患者发誓</t>
  </si>
  <si>
    <t>['泰国', '医院', '让', '患者', '发誓']</t>
  </si>
  <si>
    <t>8天入境旅客2.1万人</t>
  </si>
  <si>
    <t>['8', '天', '入境', '旅客', '2.1', '万人']</t>
  </si>
  <si>
    <t>加拿大省长怒批美国</t>
  </si>
  <si>
    <t>['加拿', '加拿大', '省长', '怒批', '美国']</t>
  </si>
  <si>
    <t>韩驱逐拒隔离外籍人</t>
  </si>
  <si>
    <t>['韩', '驱逐', '拒', '隔离', '外籍', '外籍人']</t>
  </si>
  <si>
    <t>外媒曝美病亡数漏报</t>
  </si>
  <si>
    <t>['外媒', '曝美', '病亡', '数', '漏报']</t>
  </si>
  <si>
    <t>男子春熙路毁坏财物</t>
  </si>
  <si>
    <t>['男子', '春熙路', '毁坏', '财物']</t>
  </si>
  <si>
    <t>印度全民熄灯9分钟</t>
  </si>
  <si>
    <t>['印度', '全民', '熄灯', '9', '分钟']</t>
  </si>
  <si>
    <t>援鄂护士张静静去世</t>
  </si>
  <si>
    <t>['援鄂', '护士', '张', '静静', '去世']</t>
  </si>
  <si>
    <t>留英小学生已有确诊</t>
  </si>
  <si>
    <t>['留英', '小学', '学生', '小学生', '已有', '确诊']</t>
  </si>
  <si>
    <t>美国一老虎新冠阳性</t>
  </si>
  <si>
    <t>['美国', '一', '老虎', '新冠', '阳性']</t>
  </si>
  <si>
    <t>美国征召百万预备役</t>
  </si>
  <si>
    <t>['美国', '征召', '百万', '预备', '预备役']</t>
  </si>
  <si>
    <t>黑龙江新增20例输入</t>
  </si>
  <si>
    <t>['龙江', '黑龙江', '新增', '20', '例', '输入']</t>
  </si>
  <si>
    <t>捷克总统力挺中国</t>
  </si>
  <si>
    <t>['捷克', '总统', '力挺', '中国']</t>
  </si>
  <si>
    <t>浙江一运猪货车起火</t>
  </si>
  <si>
    <t>['浙江', '一', '运猪', '货车', '起火']</t>
  </si>
  <si>
    <t>英国首相入院检测</t>
  </si>
  <si>
    <t>['英国', '首相', '英国首相', '入院', '检测']</t>
  </si>
  <si>
    <t>6天增434无症状者</t>
  </si>
  <si>
    <t>['6', '天增', '434', '症状', '无症状', '者']</t>
  </si>
  <si>
    <t>香港前议员被判刑</t>
  </si>
  <si>
    <t>['香港', '前', '议员', '被', '判刑']</t>
  </si>
  <si>
    <t>朝阳公园回应聚餐</t>
  </si>
  <si>
    <t>['朝阳', '公园', '回应', '聚餐']</t>
  </si>
  <si>
    <t>护士张静静爱人发声</t>
  </si>
  <si>
    <t>['护士', '张', '静静', '爱人', '发声']</t>
  </si>
  <si>
    <t>曝美12月就得知疫情</t>
  </si>
  <si>
    <t>['曝美', '12', '月', '就', '得知', '疫情']</t>
  </si>
  <si>
    <t>世卫组织谈中国疫情</t>
  </si>
  <si>
    <t>['世卫', '组织', '谈', '中国', '疫情']</t>
  </si>
  <si>
    <t>特朗普向莫迪求药</t>
  </si>
  <si>
    <t>['特朗普', '向', '莫迪求', '药']</t>
  </si>
  <si>
    <t>瑞幸CEO跌出富豪榜</t>
  </si>
  <si>
    <t>['瑞幸', 'CEO', '跌出', '富豪', '富豪榜']</t>
  </si>
  <si>
    <t>罗斯福号舰长被痛批</t>
  </si>
  <si>
    <t>['罗斯', '罗斯福', '号', '舰长', '被', '痛批']</t>
  </si>
  <si>
    <t>鲁无症状感染者详情</t>
  </si>
  <si>
    <t>['鲁', '症状', '无症状', '感染', '感染者', '详情']</t>
  </si>
  <si>
    <t>美国被解职舰长确诊</t>
  </si>
  <si>
    <t>['美国', '被', '解职', '舰长', '确诊']</t>
  </si>
  <si>
    <t>金毛听到鸣笛声落泪</t>
  </si>
  <si>
    <t>['金毛', '听到', '鸣笛', '声', '落泪']</t>
  </si>
  <si>
    <t>8000万活期取款受限</t>
  </si>
  <si>
    <t>['8000', '万', '活期', '取款', '受限']</t>
  </si>
  <si>
    <t>戴不戴口罩气流对比</t>
  </si>
  <si>
    <t>['戴', '不', '戴', '口罩', '气流', '对比']</t>
  </si>
  <si>
    <t>2020/04/07</t>
  </si>
  <si>
    <t>多国陷口罩争夺战</t>
  </si>
  <si>
    <t>['多国', '多国陷', '口罩', '争夺', '争夺战']</t>
  </si>
  <si>
    <t>英首相住院后首发声</t>
  </si>
  <si>
    <t>['首相', '英首相', '住院', '后', '首发', '声']</t>
  </si>
  <si>
    <t>英国首相转入ICU</t>
  </si>
  <si>
    <t>['英国', '首相', '英国首相', '转入', 'ICU']</t>
  </si>
  <si>
    <t>张静静丈夫再次求助</t>
  </si>
  <si>
    <t>['张', '静静', '丈夫', '再次', '求助']</t>
  </si>
  <si>
    <t>尚雯婕工作室回应</t>
  </si>
  <si>
    <t>['尚雯婕', '工作', '工作室', '回应']</t>
  </si>
  <si>
    <t>N号房又现男子版</t>
  </si>
  <si>
    <t>['N', '号房', '又现', '男子', '版']</t>
  </si>
  <si>
    <t>广州越秀区官方通报</t>
  </si>
  <si>
    <t>['广州', '越秀', '越秀区', '官方', '通报']</t>
  </si>
  <si>
    <t>陕西新增7名密接者</t>
  </si>
  <si>
    <t>['陕西', '新增', '7', '名', '密接', '者']</t>
  </si>
  <si>
    <t>英NHS医生谈约翰逊</t>
  </si>
  <si>
    <t>['英', 'NHS', '医生', '谈', '约翰', '约翰逊']</t>
  </si>
  <si>
    <t>广州外籍男限期出境</t>
  </si>
  <si>
    <t>['广州', '外籍', '男', '限期', '出境']</t>
  </si>
  <si>
    <t>黄冈电唁张静静</t>
  </si>
  <si>
    <t>['黄冈', '电唁', '张', '静静']</t>
  </si>
  <si>
    <t>肖战复工</t>
  </si>
  <si>
    <t>['肖战', '复工']</t>
  </si>
  <si>
    <t>皖增1例无症状患者</t>
  </si>
  <si>
    <t>['皖增', '1', '例', '症状', '无症状', '患者']</t>
  </si>
  <si>
    <t>天津开学时间</t>
  </si>
  <si>
    <t>['天津', '开学', '时间']</t>
  </si>
  <si>
    <t>国家卫健委谈张静静</t>
  </si>
  <si>
    <t>['国家', '卫健委谈', '张', '静静']</t>
  </si>
  <si>
    <t>世界羽联暂停比赛</t>
  </si>
  <si>
    <t>['世界', '羽联', '暂停', '比赛', '暂停比赛']</t>
  </si>
  <si>
    <t>抢走消防员红包后续</t>
  </si>
  <si>
    <t>['抢走', '消防', '消防员', '红包', '后续']</t>
  </si>
  <si>
    <t>驻巴使馆斥不当言论</t>
  </si>
  <si>
    <t>['驻巴', '使馆', '斥', '不当', '言论']</t>
  </si>
  <si>
    <t>宋慧乔方回应售豪宅</t>
  </si>
  <si>
    <t>['宋慧乔', '方', '回应', '售', '豪宅']</t>
  </si>
  <si>
    <t>主播马东道歉</t>
  </si>
  <si>
    <t>['主播', '马东', '道歉']</t>
  </si>
  <si>
    <t>孝感理发店伤人事件</t>
  </si>
  <si>
    <t>['孝感', '理发', '理发店', '伤人', '事件']</t>
  </si>
  <si>
    <t>中国民航局发布公告</t>
  </si>
  <si>
    <t>['中国', '民航', '民航局', '发布', '公告', '发布公告']</t>
  </si>
  <si>
    <t>张亮删离婚动态</t>
  </si>
  <si>
    <t>['张亮', '删', '离婚', '动态']</t>
  </si>
  <si>
    <t>黄嘉毅发不当言论</t>
  </si>
  <si>
    <t>['黄嘉毅发', '不当', '言论']</t>
  </si>
  <si>
    <t>宋慧乔挂牌售豪宅</t>
  </si>
  <si>
    <t>['宋慧乔', '挂牌', '售', '豪宅']</t>
  </si>
  <si>
    <t>快递架死件越来越多</t>
  </si>
  <si>
    <t>['快递', '架死件', '越来', '越来越', '多']</t>
  </si>
  <si>
    <t>凉山州突发山体垮塌</t>
  </si>
  <si>
    <t>['凉山', '凉山州', '突发', '山体', '垮塌']</t>
  </si>
  <si>
    <t>重庆开学时间公布</t>
  </si>
  <si>
    <t>['重庆', '开学', '时间', '公布']</t>
  </si>
  <si>
    <t>世卫谴责法国科学家</t>
  </si>
  <si>
    <t>['世卫', '谴责', '法国', '科学', '学家', '科学家']</t>
  </si>
  <si>
    <t>张静静丈夫发文</t>
  </si>
  <si>
    <t>['张', '静静', '丈夫', '发文']</t>
  </si>
  <si>
    <t>首款新冠DNA疫苗</t>
  </si>
  <si>
    <t>['首款', '新冠', 'DNA', '疫苗']</t>
  </si>
  <si>
    <t>张静静的最后影像</t>
  </si>
  <si>
    <t>['张', '静静', '静静的', '最后', '影像']</t>
  </si>
  <si>
    <t>来自武汉的声音笔记</t>
  </si>
  <si>
    <t>['来自', '武汉', '的', '声音', '笔记']</t>
  </si>
  <si>
    <t>北京多趟列车将调整</t>
  </si>
  <si>
    <t>['北京', '多趟', '列车', '将', '调整']</t>
  </si>
  <si>
    <t>日本进入紧急状态</t>
  </si>
  <si>
    <t>['日本', '进入', '紧急', '状态', '紧急状态']</t>
  </si>
  <si>
    <t>肯尼迪家族再出事</t>
  </si>
  <si>
    <t>['肯尼', '肯尼迪', '家族', '再', '出事']</t>
  </si>
  <si>
    <t>美国海军成重灾区</t>
  </si>
  <si>
    <t>['美国', '海军', '成', '重灾', '灾区', '重灾区']</t>
  </si>
  <si>
    <t>南京11所高校将开学</t>
  </si>
  <si>
    <t>['南京', '11', '所', '高校', '将', '开学']</t>
  </si>
  <si>
    <t>还有1天武汉解封</t>
  </si>
  <si>
    <t>['还有', '1', '天', '武汉', '解封']</t>
  </si>
  <si>
    <t>湖南两人瞒报被刑拘</t>
  </si>
  <si>
    <t>['湖南', '两人', '瞒报', '被', '刑拘']</t>
  </si>
  <si>
    <t>J·K·罗琳自曝痊愈</t>
  </si>
  <si>
    <t>['J', '·', 'K', '·', '罗琳', '自', '曝', '痊愈']</t>
  </si>
  <si>
    <t>意大利新增连续下降</t>
  </si>
  <si>
    <t>['大利', '意大利', '新增', '连续', '下降']</t>
  </si>
  <si>
    <t>2020/04/08</t>
  </si>
  <si>
    <t>山东大中专暂不返校</t>
  </si>
  <si>
    <t>['山东', '大中', '中专', '大中专', '暂', '不', '返校']</t>
  </si>
  <si>
    <t>武汉解封</t>
  </si>
  <si>
    <t>['武汉', '解封']</t>
  </si>
  <si>
    <t>鄂各类学校延期开学</t>
  </si>
  <si>
    <t>['鄂', '各类', '学校', '延期', '开学']</t>
  </si>
  <si>
    <t>美白宫一发言人离职</t>
  </si>
  <si>
    <t>['美', '白宫', '一', '发言', '发言人', '离职']</t>
  </si>
  <si>
    <t>武汉出城第一人</t>
  </si>
  <si>
    <t>['武汉', '出', '城', '第一', '人']</t>
  </si>
  <si>
    <t>特朗普停止资助世卫</t>
  </si>
  <si>
    <t>['特朗普', '停止', '资助', '世卫']</t>
  </si>
  <si>
    <t>郝海东怒怼质疑者</t>
  </si>
  <si>
    <t>['海东', '郝海东', '怒', '怼', '质疑', '者']</t>
  </si>
  <si>
    <t>英请求美提供呼吸机</t>
  </si>
  <si>
    <t>['英', '请求', '美', '提供', '呼吸', '呼吸机']</t>
  </si>
  <si>
    <t>中国乔丹终审败诉</t>
  </si>
  <si>
    <t>['中国', '乔丹', '终审', '败诉']</t>
  </si>
  <si>
    <t>英国首相高烧已退</t>
  </si>
  <si>
    <t>['英国', '首相', '英国首相', '高烧', '已退']</t>
  </si>
  <si>
    <t>韩文涛将乘包机回国</t>
  </si>
  <si>
    <t>['韩文', '涛', '将', '乘', '包机', '回国']</t>
  </si>
  <si>
    <t>美海军代理部长辞职</t>
  </si>
  <si>
    <t>['海军', '美海军', '代理', '部长', '辞职']</t>
  </si>
  <si>
    <t>PS5手柄正式公布</t>
  </si>
  <si>
    <t>['PS5', '手柄', '正式', '公布']</t>
  </si>
  <si>
    <t>专家重查流感拭子</t>
  </si>
  <si>
    <t>['专家', '重查', '流感', '拭子']</t>
  </si>
  <si>
    <t>美国新增超2.4万例</t>
  </si>
  <si>
    <t>['美国', '新增', '超', '2.4', '万例']</t>
  </si>
  <si>
    <t>特朗普“灵药”被下架</t>
  </si>
  <si>
    <t>['特朗普', '“', '灵药', '”', '被', '下架']</t>
  </si>
  <si>
    <t>都来为湖北带货</t>
  </si>
  <si>
    <t>['都', '来', '为', '湖北', '带货']</t>
  </si>
  <si>
    <t>武汉0点响解封钟声</t>
  </si>
  <si>
    <t>['武汉', '0', '点响', '解封', '钟声']</t>
  </si>
  <si>
    <t>中方驳斥赔偿言论</t>
  </si>
  <si>
    <t>['中方', '驳斥', '赔偿', '言论']</t>
  </si>
  <si>
    <t>瑞士感谢中方援助</t>
  </si>
  <si>
    <t>['瑞士', '感谢', '中方', '援助']</t>
  </si>
  <si>
    <t>两名在法华人被扣押</t>
  </si>
  <si>
    <t>['两名', '在', '法', '华人', '被', '扣押']</t>
  </si>
  <si>
    <t>武汉疾控中心发文</t>
  </si>
  <si>
    <t>['武汉', '中心', '疾控中心', '发文']</t>
  </si>
  <si>
    <t>中方斥美战略界声明</t>
  </si>
  <si>
    <t>['中方', '斥美', '战略', '界', '声明']</t>
  </si>
  <si>
    <t>鲁粤增3例本土病例</t>
  </si>
  <si>
    <t>['鲁粤增', '3', '例', '本土', '病例']</t>
  </si>
  <si>
    <t>4月8日早上的武汉</t>
  </si>
  <si>
    <t>['4', '月', '8', '日', '早上', '的', '武汉']</t>
  </si>
  <si>
    <t>埃塞俄比亚紧急状态</t>
  </si>
  <si>
    <t>['比亚', '埃塞俄比亚', '紧急', '状态', '紧急状态']</t>
  </si>
  <si>
    <t>戴高乐号现疑似病例</t>
  </si>
  <si>
    <t>['高乐', '戴高乐', '号现', '疑似', '病例', '疑似病例']</t>
  </si>
  <si>
    <t>满洲里公路口岸关闭</t>
  </si>
  <si>
    <t>['满洲', '满洲里', '公路', '口岸', '关闭']</t>
  </si>
  <si>
    <t>男孩掰断14辆车车标</t>
  </si>
  <si>
    <t>['男孩', '掰断', '14', '辆车', '车标']</t>
  </si>
  <si>
    <t>央视回应追责索赔</t>
  </si>
  <si>
    <t>['央视', '回应', '追责', '索赔']</t>
  </si>
  <si>
    <t>加内特拒绝退役球衣</t>
  </si>
  <si>
    <t>['加内', '内特', '加内特', '拒绝', '退役', '球衣']</t>
  </si>
  <si>
    <t>全球确诊超140万</t>
  </si>
  <si>
    <t>['全球', '确诊', '超', '140', '万']</t>
  </si>
  <si>
    <t>美军3D打印N95口罩</t>
  </si>
  <si>
    <t>['美军', '3D', '打印', 'N95', '口罩']</t>
  </si>
  <si>
    <t>WannaRen病毒传播</t>
  </si>
  <si>
    <t>['WannaRen', '病毒', '传播', '病毒传播']</t>
  </si>
  <si>
    <t>武汉乘务员哽咽播报</t>
  </si>
  <si>
    <t>['武汉', '乘务', '乘务员', '哽咽', '播报']</t>
  </si>
  <si>
    <t>推特CEO捐10亿美元</t>
  </si>
  <si>
    <t>['推特', 'CEO', '捐', '10', '美元', '亿美元']</t>
  </si>
  <si>
    <t>曝武磊愿留西班牙人</t>
  </si>
  <si>
    <t>['曝武磊', '愿留', '西班牙', '西班牙人']</t>
  </si>
  <si>
    <t>医生质疑约翰逊病情</t>
  </si>
  <si>
    <t>['医生', '质疑', '约翰', '约翰逊', '病情']</t>
  </si>
  <si>
    <t>刘强东被曝卖口罩</t>
  </si>
  <si>
    <t>['刘强', '东', '被', '曝卖', '口罩']</t>
  </si>
  <si>
    <t>霸哥单杀TheShy</t>
  </si>
  <si>
    <t>['霸哥', '单杀', 'TheShy']</t>
  </si>
  <si>
    <t>塔里木重大油气发现</t>
  </si>
  <si>
    <t>['塔里', '塔里木', '重大', '油气', '发现']</t>
  </si>
  <si>
    <t>意大利警察踹开海鸥</t>
  </si>
  <si>
    <t>['大利', '意大利', '警察', '踹', '开', '海鸥']</t>
  </si>
  <si>
    <t>袁隆平谈中国粮荒</t>
  </si>
  <si>
    <t>['袁隆平', '谈', '中国', '粮荒']</t>
  </si>
  <si>
    <t>青岛新增2例确诊</t>
  </si>
  <si>
    <t>['青岛', '新增', '2', '例', '确诊']</t>
  </si>
  <si>
    <t>西班牙百万口罩被盗</t>
  </si>
  <si>
    <t>['西班牙', '百万', '口罩', '被盗']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</si>
</sst>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color theme="1"/>
      <name val="Calibri"/>
    </font>
    <font>
      <sz val="11.0"/>
      <color rgb="FF000000"/>
      <name val="Arial"/>
    </font>
    <font>
      <b/>
      <sz val="11.0"/>
      <color rgb="FF000000"/>
      <name val="Arial"/>
    </font>
    <font>
      <color theme="1"/>
      <name val="Calibri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horizontal="center" readingOrder="0" vertical="top"/>
    </xf>
    <xf borderId="0" fillId="0" fontId="4" numFmtId="0" xfId="0" applyFont="1"/>
    <xf borderId="0" fillId="2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21.86"/>
    <col customWidth="1" min="3" max="3" width="50.43"/>
    <col customWidth="1" min="4" max="4" width="31.43"/>
    <col customWidth="1" min="5" max="5" width="14.43"/>
    <col customWidth="1" min="6" max="6" width="8.71"/>
    <col customWidth="1" min="7" max="8" width="56.14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6</v>
      </c>
    </row>
    <row r="2">
      <c r="A2" s="1">
        <v>0.0</v>
      </c>
      <c r="B2" s="4" t="s">
        <v>7</v>
      </c>
      <c r="C2" s="5" t="str">
        <f>IFERROR(__xludf.DUMMYFUNCTION("GOOGLETRANSLATE(D:D,""auto"",""en"")"),"Raymond Zhang Xin month announced the marriage")</f>
        <v>Raymond Zhang Xin month announced the marriage</v>
      </c>
      <c r="D2" s="4" t="s">
        <v>8</v>
      </c>
      <c r="E2" s="4">
        <v>0.0</v>
      </c>
      <c r="F2" s="4">
        <v>1.0</v>
      </c>
      <c r="G2" s="4" t="s">
        <v>9</v>
      </c>
    </row>
    <row r="3">
      <c r="A3" s="1">
        <v>1.0</v>
      </c>
      <c r="B3" s="4" t="s">
        <v>7</v>
      </c>
      <c r="C3" s="5" t="str">
        <f>IFERROR(__xludf.DUMMYFUNCTION("GOOGLETRANSLATE(D:D,""auto"",""en"")"),"Kitty Zhang Yi heart and surrender")</f>
        <v>Kitty Zhang Yi heart and surrender</v>
      </c>
      <c r="D3" s="4" t="s">
        <v>10</v>
      </c>
      <c r="E3" s="4">
        <v>0.0</v>
      </c>
      <c r="F3" s="4">
        <v>2.0</v>
      </c>
      <c r="G3" s="4" t="s">
        <v>11</v>
      </c>
    </row>
    <row r="4">
      <c r="A4" s="1">
        <v>2.0</v>
      </c>
      <c r="B4" s="4" t="s">
        <v>7</v>
      </c>
      <c r="C4" s="5" t="str">
        <f>IFERROR(__xludf.DUMMYFUNCTION("GOOGLETRANSLATE(D:D,""auto"",""en"")"),"2019 People's Liberation Army to mention gas scene")</f>
        <v>2019 People's Liberation Army to mention gas scene</v>
      </c>
      <c r="D4" s="4" t="s">
        <v>12</v>
      </c>
      <c r="E4" s="4">
        <v>0.0</v>
      </c>
      <c r="F4" s="4">
        <v>3.0</v>
      </c>
      <c r="G4" s="4" t="s">
        <v>13</v>
      </c>
    </row>
    <row r="5">
      <c r="A5" s="1">
        <v>3.0</v>
      </c>
      <c r="B5" s="4" t="s">
        <v>7</v>
      </c>
      <c r="C5" s="5" t="str">
        <f>IFERROR(__xludf.DUMMYFUNCTION("GOOGLETRANSLATE(D:D,""auto"",""en"")"),"Xiaozhan dancing and singing magical")</f>
        <v>Xiaozhan dancing and singing magical</v>
      </c>
      <c r="D5" s="4" t="s">
        <v>14</v>
      </c>
      <c r="E5" s="4">
        <v>0.0</v>
      </c>
      <c r="F5" s="4">
        <v>4.0</v>
      </c>
      <c r="G5" s="4" t="s">
        <v>15</v>
      </c>
    </row>
    <row r="6">
      <c r="A6" s="1">
        <v>4.0</v>
      </c>
      <c r="B6" s="4" t="s">
        <v>7</v>
      </c>
      <c r="C6" s="5" t="str">
        <f>IFERROR(__xludf.DUMMYFUNCTION("GOOGLETRANSLATE(D:D,""auto"",""en"")"),"Wu Yifan Indian side responded neck")</f>
        <v>Wu Yifan Indian side responded neck</v>
      </c>
      <c r="D6" s="4" t="s">
        <v>16</v>
      </c>
      <c r="E6" s="4">
        <v>0.0</v>
      </c>
      <c r="F6" s="4">
        <v>5.0</v>
      </c>
      <c r="G6" s="4" t="s">
        <v>17</v>
      </c>
    </row>
    <row r="7">
      <c r="A7" s="1">
        <v>5.0</v>
      </c>
      <c r="B7" s="4" t="s">
        <v>7</v>
      </c>
      <c r="C7" s="5" t="str">
        <f>IFERROR(__xludf.DUMMYFUNCTION("GOOGLETRANSLATE(D:D,""auto"",""en"")"),"Luo Zhenyu ridicule Sicong")</f>
        <v>Luo Zhenyu ridicule Sicong</v>
      </c>
      <c r="D7" s="4" t="s">
        <v>18</v>
      </c>
      <c r="E7" s="4">
        <v>0.0</v>
      </c>
      <c r="F7" s="4">
        <v>6.0</v>
      </c>
      <c r="G7" s="4" t="s">
        <v>19</v>
      </c>
    </row>
    <row r="8">
      <c r="A8" s="1">
        <v>6.0</v>
      </c>
      <c r="B8" s="4" t="s">
        <v>7</v>
      </c>
      <c r="C8" s="5" t="str">
        <f>IFERROR(__xludf.DUMMYFUNCTION("GOOGLETRANSLATE(D:D,""auto"",""en"")"),"Micro-channel payment of the alleged infringer")</f>
        <v>Micro-channel payment of the alleged infringer</v>
      </c>
      <c r="D8" s="4" t="s">
        <v>20</v>
      </c>
      <c r="E8" s="4">
        <v>0.0</v>
      </c>
      <c r="F8" s="4">
        <v>7.0</v>
      </c>
      <c r="G8" s="4" t="s">
        <v>21</v>
      </c>
    </row>
    <row r="9">
      <c r="A9" s="1">
        <v>7.0</v>
      </c>
      <c r="B9" s="4" t="s">
        <v>7</v>
      </c>
      <c r="C9" s="5" t="str">
        <f>IFERROR(__xludf.DUMMYFUNCTION("GOOGLETRANSLATE(D:D,""auto"",""en"")"),"Yang Mi Lu Lu hit the face")</f>
        <v>Yang Mi Lu Lu hit the face</v>
      </c>
      <c r="D9" s="4" t="s">
        <v>22</v>
      </c>
      <c r="E9" s="4">
        <v>0.0</v>
      </c>
      <c r="F9" s="4">
        <v>8.0</v>
      </c>
      <c r="G9" s="4" t="s">
        <v>23</v>
      </c>
    </row>
    <row r="10">
      <c r="A10" s="1">
        <v>8.0</v>
      </c>
      <c r="B10" s="4" t="s">
        <v>7</v>
      </c>
      <c r="C10" s="5" t="str">
        <f>IFERROR(__xludf.DUMMYFUNCTION("GOOGLETRANSLATE(D:D,""auto"",""en"")"),"Nicholas Tse coming New Year's Eve")</f>
        <v>Nicholas Tse coming New Year's Eve</v>
      </c>
      <c r="D10" s="4" t="s">
        <v>24</v>
      </c>
      <c r="E10" s="4">
        <v>0.0</v>
      </c>
      <c r="F10" s="4">
        <v>9.0</v>
      </c>
      <c r="G10" s="4" t="s">
        <v>25</v>
      </c>
    </row>
    <row r="11">
      <c r="A11" s="1">
        <v>9.0</v>
      </c>
      <c r="B11" s="4" t="s">
        <v>7</v>
      </c>
      <c r="C11" s="5" t="str">
        <f>IFERROR(__xludf.DUMMYFUNCTION("GOOGLETRANSLATE(D:D,""auto"",""en"")"),"New Year's Eve viewership rankings")</f>
        <v>New Year's Eve viewership rankings</v>
      </c>
      <c r="D11" s="4" t="s">
        <v>26</v>
      </c>
      <c r="E11" s="4">
        <v>0.0</v>
      </c>
      <c r="F11" s="4">
        <v>10.0</v>
      </c>
      <c r="G11" s="4" t="s">
        <v>27</v>
      </c>
    </row>
    <row r="12">
      <c r="A12" s="1">
        <v>10.0</v>
      </c>
      <c r="B12" s="4" t="s">
        <v>7</v>
      </c>
      <c r="C12" s="5" t="str">
        <f>IFERROR(__xludf.DUMMYFUNCTION("GOOGLETRANSLATE(D:D,""auto"",""en"")"),"Hunan Satellite TV New Year's Eve playbill")</f>
        <v>Hunan Satellite TV New Year's Eve playbill</v>
      </c>
      <c r="D12" s="4" t="s">
        <v>28</v>
      </c>
      <c r="E12" s="4">
        <v>0.0</v>
      </c>
      <c r="F12" s="4">
        <v>11.0</v>
      </c>
      <c r="G12" s="4" t="s">
        <v>29</v>
      </c>
    </row>
    <row r="13">
      <c r="A13" s="1">
        <v>11.0</v>
      </c>
      <c r="B13" s="4" t="s">
        <v>7</v>
      </c>
      <c r="C13" s="5" t="str">
        <f>IFERROR(__xludf.DUMMYFUNCTION("GOOGLETRANSLATE(D:D,""auto"",""en"")"),"Chen accompanied his wife and children New Year's Eve")</f>
        <v>Chen accompanied his wife and children New Year's Eve</v>
      </c>
      <c r="D13" s="4" t="s">
        <v>30</v>
      </c>
      <c r="E13" s="4">
        <v>0.0</v>
      </c>
      <c r="F13" s="4">
        <v>12.0</v>
      </c>
      <c r="G13" s="4" t="s">
        <v>31</v>
      </c>
    </row>
    <row r="14">
      <c r="A14" s="1">
        <v>12.0</v>
      </c>
      <c r="B14" s="4" t="s">
        <v>7</v>
      </c>
      <c r="C14" s="5" t="str">
        <f>IFERROR(__xludf.DUMMYFUNCTION("GOOGLETRANSLATE(D:D,""auto"",""en"")"),"The first baby after 20")</f>
        <v>The first baby after 20</v>
      </c>
      <c r="D14" s="4" t="s">
        <v>32</v>
      </c>
      <c r="E14" s="4">
        <v>0.0</v>
      </c>
      <c r="F14" s="4">
        <v>13.0</v>
      </c>
      <c r="G14" s="4" t="s">
        <v>33</v>
      </c>
    </row>
    <row r="15">
      <c r="A15" s="1">
        <v>13.0</v>
      </c>
      <c r="B15" s="4" t="s">
        <v>7</v>
      </c>
      <c r="C15" s="5" t="str">
        <f>IFERROR(__xludf.DUMMYFUNCTION("GOOGLETRANSLATE(D:D,""auto"",""en"")"),"Ouyang Nana slip of the tongue")</f>
        <v>Ouyang Nana slip of the tongue</v>
      </c>
      <c r="D15" s="4" t="s">
        <v>34</v>
      </c>
      <c r="E15" s="4">
        <v>0.0</v>
      </c>
      <c r="F15" s="4">
        <v>14.0</v>
      </c>
      <c r="G15" s="4" t="s">
        <v>35</v>
      </c>
    </row>
    <row r="16">
      <c r="A16" s="1">
        <v>14.0</v>
      </c>
      <c r="B16" s="4" t="s">
        <v>7</v>
      </c>
      <c r="C16" s="5" t="str">
        <f>IFERROR(__xludf.DUMMYFUNCTION("GOOGLETRANSLATE(D:D,""auto"",""en"")"),"Hanazawa coriander Wang Su waterfall Chorus")</f>
        <v>Hanazawa coriander Wang Su waterfall Chorus</v>
      </c>
      <c r="D16" s="4" t="s">
        <v>36</v>
      </c>
      <c r="E16" s="4">
        <v>0.0</v>
      </c>
      <c r="F16" s="4">
        <v>15.0</v>
      </c>
      <c r="G16" s="4" t="s">
        <v>37</v>
      </c>
    </row>
    <row r="17">
      <c r="A17" s="1">
        <v>15.0</v>
      </c>
      <c r="B17" s="4" t="s">
        <v>7</v>
      </c>
      <c r="C17" s="5" t="str">
        <f>IFERROR(__xludf.DUMMYFUNCTION("GOOGLETRANSLATE(D:D,""auto"",""en"")"),"Wang Yuan was fireworks splashed in the eyes")</f>
        <v>Wang Yuan was fireworks splashed in the eyes</v>
      </c>
      <c r="D17" s="4" t="s">
        <v>38</v>
      </c>
      <c r="E17" s="4">
        <v>0.0</v>
      </c>
      <c r="F17" s="4">
        <v>16.0</v>
      </c>
      <c r="G17" s="4" t="s">
        <v>39</v>
      </c>
    </row>
    <row r="18">
      <c r="A18" s="1">
        <v>16.0</v>
      </c>
      <c r="B18" s="4" t="s">
        <v>7</v>
      </c>
      <c r="C18" s="5" t="str">
        <f>IFERROR(__xludf.DUMMYFUNCTION("GOOGLETRANSLATE(D:D,""auto"",""en"")"),"International exposure Lippi moody")</f>
        <v>International exposure Lippi moody</v>
      </c>
      <c r="D18" s="4" t="s">
        <v>40</v>
      </c>
      <c r="E18" s="4">
        <v>0.0</v>
      </c>
      <c r="F18" s="4">
        <v>17.0</v>
      </c>
      <c r="G18" s="4" t="s">
        <v>41</v>
      </c>
    </row>
    <row r="19">
      <c r="A19" s="1">
        <v>17.0</v>
      </c>
      <c r="B19" s="4" t="s">
        <v>7</v>
      </c>
      <c r="C19" s="5" t="str">
        <f>IFERROR(__xludf.DUMMYFUNCTION("GOOGLETRANSLATE(D:D,""auto"",""en"")"),"Wei Chiu happy sun shine pregnant")</f>
        <v>Wei Chiu happy sun shine pregnant</v>
      </c>
      <c r="D19" s="4" t="s">
        <v>42</v>
      </c>
      <c r="E19" s="4">
        <v>0.0</v>
      </c>
      <c r="F19" s="4">
        <v>18.0</v>
      </c>
      <c r="G19" s="4" t="s">
        <v>43</v>
      </c>
    </row>
    <row r="20">
      <c r="A20" s="1">
        <v>18.0</v>
      </c>
      <c r="B20" s="4" t="s">
        <v>7</v>
      </c>
      <c r="C20" s="5" t="str">
        <f>IFERROR(__xludf.DUMMYFUNCTION("GOOGLETRANSLATE(D:D,""auto"",""en"")"),"Yang Mi Wei Taixun broadcast simultaneously")</f>
        <v>Yang Mi Wei Taixun broadcast simultaneously</v>
      </c>
      <c r="D20" s="4" t="s">
        <v>44</v>
      </c>
      <c r="E20" s="4">
        <v>0.0</v>
      </c>
      <c r="F20" s="4">
        <v>19.0</v>
      </c>
      <c r="G20" s="4" t="s">
        <v>45</v>
      </c>
    </row>
    <row r="21">
      <c r="A21" s="1">
        <v>19.0</v>
      </c>
      <c r="B21" s="4" t="s">
        <v>7</v>
      </c>
      <c r="C21" s="5" t="str">
        <f>IFERROR(__xludf.DUMMYFUNCTION("GOOGLETRANSLATE(D:D,""auto"",""en"")"),"New Year's Eve was traced to lip-synching")</f>
        <v>New Year's Eve was traced to lip-synching</v>
      </c>
      <c r="D21" s="4" t="s">
        <v>46</v>
      </c>
      <c r="E21" s="4">
        <v>0.0</v>
      </c>
      <c r="F21" s="4">
        <v>20.0</v>
      </c>
      <c r="G21" s="4" t="s">
        <v>47</v>
      </c>
    </row>
    <row r="22">
      <c r="A22" s="1">
        <v>20.0</v>
      </c>
      <c r="B22" s="4" t="s">
        <v>7</v>
      </c>
      <c r="C22" s="5" t="str">
        <f>IFERROR(__xludf.DUMMYFUNCTION("GOOGLETRANSLATE(D:D,""auto"",""en"")"),"Dalian Wanda will withdraw the party")</f>
        <v>Dalian Wanda will withdraw the party</v>
      </c>
      <c r="D22" s="4" t="s">
        <v>48</v>
      </c>
      <c r="E22" s="4">
        <v>0.0</v>
      </c>
      <c r="F22" s="4">
        <v>21.0</v>
      </c>
      <c r="G22" s="4" t="s">
        <v>49</v>
      </c>
    </row>
    <row r="23">
      <c r="A23" s="1">
        <v>21.0</v>
      </c>
      <c r="B23" s="4" t="s">
        <v>7</v>
      </c>
      <c r="C23" s="5" t="str">
        <f>IFERROR(__xludf.DUMMYFUNCTION("GOOGLETRANSLATE(D:D,""auto"",""en"")"),"Jilin sky sun now three")</f>
        <v>Jilin sky sun now three</v>
      </c>
      <c r="D23" s="4" t="s">
        <v>50</v>
      </c>
      <c r="E23" s="4">
        <v>0.0</v>
      </c>
      <c r="F23" s="4">
        <v>22.0</v>
      </c>
      <c r="G23" s="4" t="s">
        <v>51</v>
      </c>
    </row>
    <row r="24">
      <c r="A24" s="1">
        <v>22.0</v>
      </c>
      <c r="B24" s="4" t="s">
        <v>7</v>
      </c>
      <c r="C24" s="5" t="str">
        <f>IFERROR(__xludf.DUMMYFUNCTION("GOOGLETRANSLATE(D:D,""auto"",""en"")"),"Wang Yibo water dancing and singing")</f>
        <v>Wang Yibo water dancing and singing</v>
      </c>
      <c r="D24" s="4" t="s">
        <v>52</v>
      </c>
      <c r="E24" s="4">
        <v>0.0</v>
      </c>
      <c r="F24" s="4">
        <v>23.0</v>
      </c>
      <c r="G24" s="4" t="s">
        <v>53</v>
      </c>
    </row>
    <row r="25">
      <c r="A25" s="1">
        <v>23.0</v>
      </c>
      <c r="B25" s="4" t="s">
        <v>7</v>
      </c>
      <c r="C25" s="5" t="str">
        <f>IFERROR(__xludf.DUMMYFUNCTION("GOOGLETRANSLATE(D:D,""auto"",""en"")"),"2020 research schedule")</f>
        <v>2020 research schedule</v>
      </c>
      <c r="D25" s="4" t="s">
        <v>54</v>
      </c>
      <c r="E25" s="4">
        <v>0.0</v>
      </c>
      <c r="F25" s="4">
        <v>24.0</v>
      </c>
      <c r="G25" s="4" t="s">
        <v>55</v>
      </c>
    </row>
    <row r="26">
      <c r="A26" s="1">
        <v>24.0</v>
      </c>
      <c r="B26" s="4" t="s">
        <v>7</v>
      </c>
      <c r="C26" s="5" t="str">
        <f>IFERROR(__xludf.DUMMYFUNCTION("GOOGLETRANSLATE(D:D,""auto"",""en"")"),"Wanda official rumor")</f>
        <v>Wanda official rumor</v>
      </c>
      <c r="D26" s="4" t="s">
        <v>56</v>
      </c>
      <c r="E26" s="4">
        <v>0.0</v>
      </c>
      <c r="F26" s="4">
        <v>25.0</v>
      </c>
      <c r="G26" s="4" t="s">
        <v>57</v>
      </c>
    </row>
    <row r="27">
      <c r="A27" s="1">
        <v>25.0</v>
      </c>
      <c r="B27" s="4" t="s">
        <v>7</v>
      </c>
      <c r="C27" s="5" t="str">
        <f>IFERROR(__xludf.DUMMYFUNCTION("GOOGLETRANSLATE(D:D,""auto"",""en"")"),"Ni Ping ex-husband appeared Film Festival")</f>
        <v>Ni Ping ex-husband appeared Film Festival</v>
      </c>
      <c r="D27" s="4" t="s">
        <v>58</v>
      </c>
      <c r="E27" s="4">
        <v>0.0</v>
      </c>
      <c r="F27" s="4">
        <v>26.0</v>
      </c>
      <c r="G27" s="4" t="s">
        <v>59</v>
      </c>
    </row>
    <row r="28">
      <c r="A28" s="1">
        <v>26.0</v>
      </c>
      <c r="B28" s="4" t="s">
        <v>7</v>
      </c>
      <c r="C28" s="5" t="str">
        <f>IFERROR(__xludf.DUMMYFUNCTION("GOOGLETRANSLATE(D:D,""auto"",""en"")"),"Lee is now even sing three songs")</f>
        <v>Lee is now even sing three songs</v>
      </c>
      <c r="D28" s="4" t="s">
        <v>60</v>
      </c>
      <c r="E28" s="4">
        <v>0.0</v>
      </c>
      <c r="F28" s="4">
        <v>27.0</v>
      </c>
      <c r="G28" s="4" t="s">
        <v>61</v>
      </c>
    </row>
    <row r="29">
      <c r="A29" s="1">
        <v>27.0</v>
      </c>
      <c r="B29" s="4" t="s">
        <v>7</v>
      </c>
      <c r="C29" s="5" t="str">
        <f>IFERROR(__xludf.DUMMYFUNCTION("GOOGLETRANSLATE(D:D,""auto"",""en"")"),"Jane Zhang suspected affair default")</f>
        <v>Jane Zhang suspected affair default</v>
      </c>
      <c r="D29" s="4" t="s">
        <v>62</v>
      </c>
      <c r="E29" s="4">
        <v>0.0</v>
      </c>
      <c r="F29" s="4">
        <v>28.0</v>
      </c>
      <c r="G29" s="4" t="s">
        <v>63</v>
      </c>
    </row>
    <row r="30">
      <c r="A30" s="1">
        <v>28.0</v>
      </c>
      <c r="B30" s="4" t="s">
        <v>7</v>
      </c>
      <c r="C30" s="5" t="str">
        <f>IFERROR(__xludf.DUMMYFUNCTION("GOOGLETRANSLATE(D:D,""auto"",""en"")"),"Yang Mi RAP")</f>
        <v>Yang Mi RAP</v>
      </c>
      <c r="D30" s="4" t="s">
        <v>64</v>
      </c>
      <c r="E30" s="4">
        <v>0.0</v>
      </c>
      <c r="F30" s="4">
        <v>29.0</v>
      </c>
      <c r="G30" s="4" t="s">
        <v>65</v>
      </c>
    </row>
    <row r="31">
      <c r="A31" s="1">
        <v>29.0</v>
      </c>
      <c r="B31" s="4" t="s">
        <v>7</v>
      </c>
      <c r="C31" s="5" t="str">
        <f>IFERROR(__xludf.DUMMYFUNCTION("GOOGLETRANSLATE(D:D,""auto"",""en"")"),"Down 0.5 percentage points quasi-central bank")</f>
        <v>Down 0.5 percentage points quasi-central bank</v>
      </c>
      <c r="D31" s="4" t="s">
        <v>66</v>
      </c>
      <c r="E31" s="4">
        <v>0.0</v>
      </c>
      <c r="F31" s="4">
        <v>30.0</v>
      </c>
      <c r="G31" s="4" t="s">
        <v>67</v>
      </c>
    </row>
    <row r="32">
      <c r="A32" s="1">
        <v>30.0</v>
      </c>
      <c r="B32" s="4" t="s">
        <v>7</v>
      </c>
      <c r="C32" s="5" t="str">
        <f>IFERROR(__xludf.DUMMYFUNCTION("GOOGLETRANSLATE(D:D,""auto"",""en"")"),"Mike party denied the derailed")</f>
        <v>Mike party denied the derailed</v>
      </c>
      <c r="D32" s="4" t="s">
        <v>68</v>
      </c>
      <c r="E32" s="4">
        <v>0.0</v>
      </c>
      <c r="F32" s="4">
        <v>31.0</v>
      </c>
      <c r="G32" s="4" t="s">
        <v>69</v>
      </c>
    </row>
    <row r="33">
      <c r="A33" s="1">
        <v>31.0</v>
      </c>
      <c r="B33" s="4" t="s">
        <v>7</v>
      </c>
      <c r="C33" s="5" t="str">
        <f>IFERROR(__xludf.DUMMYFUNCTION("GOOGLETRANSLATE(D:D,""auto"",""en"")"),"Li Tie will be exposed football coach")</f>
        <v>Li Tie will be exposed football coach</v>
      </c>
      <c r="D33" s="4" t="s">
        <v>70</v>
      </c>
      <c r="E33" s="4">
        <v>0.0</v>
      </c>
      <c r="F33" s="4">
        <v>32.0</v>
      </c>
      <c r="G33" s="4" t="s">
        <v>71</v>
      </c>
    </row>
    <row r="34">
      <c r="A34" s="1">
        <v>32.0</v>
      </c>
      <c r="B34" s="4" t="s">
        <v>7</v>
      </c>
      <c r="C34" s="5" t="str">
        <f>IFERROR(__xludf.DUMMYFUNCTION("GOOGLETRANSLATE(D:D,""auto"",""en"")"),"Lu Lu Xin is sweet haircut")</f>
        <v>Lu Lu Xin is sweet haircut</v>
      </c>
      <c r="D34" s="4" t="s">
        <v>72</v>
      </c>
      <c r="E34" s="4">
        <v>0.0</v>
      </c>
      <c r="F34" s="4">
        <v>33.0</v>
      </c>
      <c r="G34" s="4" t="s">
        <v>73</v>
      </c>
    </row>
    <row r="35">
      <c r="A35" s="1">
        <v>33.0</v>
      </c>
      <c r="B35" s="4" t="s">
        <v>7</v>
      </c>
      <c r="C35" s="5" t="str">
        <f>IFERROR(__xludf.DUMMYFUNCTION("GOOGLETRANSLATE(D:D,""auto"",""en"")"),"2020 New Year's first flag-raising")</f>
        <v>2020 New Year's first flag-raising</v>
      </c>
      <c r="D35" s="4" t="s">
        <v>74</v>
      </c>
      <c r="E35" s="4">
        <v>0.0</v>
      </c>
      <c r="F35" s="4">
        <v>34.0</v>
      </c>
      <c r="G35" s="4" t="s">
        <v>75</v>
      </c>
    </row>
    <row r="36">
      <c r="A36" s="1">
        <v>34.0</v>
      </c>
      <c r="B36" s="4" t="s">
        <v>7</v>
      </c>
      <c r="C36" s="5" t="str">
        <f>IFERROR(__xludf.DUMMYFUNCTION("GOOGLETRANSLATE(D:D,""auto"",""en"")"),"Wenna Female announced production")</f>
        <v>Wenna Female announced production</v>
      </c>
      <c r="D36" s="4" t="s">
        <v>76</v>
      </c>
      <c r="E36" s="4">
        <v>0.0</v>
      </c>
      <c r="F36" s="4">
        <v>35.0</v>
      </c>
      <c r="G36" s="4" t="s">
        <v>77</v>
      </c>
    </row>
    <row r="37">
      <c r="A37" s="1">
        <v>35.0</v>
      </c>
      <c r="B37" s="4" t="s">
        <v>7</v>
      </c>
      <c r="C37" s="5" t="str">
        <f>IFERROR(__xludf.DUMMYFUNCTION("GOOGLETRANSLATE(D:D,""auto"",""en"")"),"Zheng Shuang lawyer sent a letter to Dick obediently")</f>
        <v>Zheng Shuang lawyer sent a letter to Dick obediently</v>
      </c>
      <c r="D37" s="4" t="s">
        <v>78</v>
      </c>
      <c r="E37" s="4">
        <v>0.0</v>
      </c>
      <c r="F37" s="4">
        <v>36.0</v>
      </c>
      <c r="G37" s="4" t="s">
        <v>79</v>
      </c>
    </row>
    <row r="38">
      <c r="A38" s="1">
        <v>36.0</v>
      </c>
      <c r="B38" s="4" t="s">
        <v>7</v>
      </c>
      <c r="C38" s="5" t="str">
        <f>IFERROR(__xludf.DUMMYFUNCTION("GOOGLETRANSLATE(D:D,""auto"",""en"")"),"Yang Mi Wolf disco concert")</f>
        <v>Yang Mi Wolf disco concert</v>
      </c>
      <c r="D38" s="4" t="s">
        <v>80</v>
      </c>
      <c r="E38" s="4">
        <v>0.0</v>
      </c>
      <c r="F38" s="4">
        <v>37.0</v>
      </c>
      <c r="G38" s="4" t="s">
        <v>81</v>
      </c>
    </row>
    <row r="39">
      <c r="A39" s="1">
        <v>37.0</v>
      </c>
      <c r="B39" s="4" t="s">
        <v>7</v>
      </c>
      <c r="C39" s="5" t="str">
        <f>IFERROR(__xludf.DUMMYFUNCTION("GOOGLETRANSLATE(D:D,""auto"",""en"")"),"2020 first live flag-raising")</f>
        <v>2020 first live flag-raising</v>
      </c>
      <c r="D39" s="4" t="s">
        <v>82</v>
      </c>
      <c r="E39" s="4">
        <v>0.0</v>
      </c>
      <c r="F39" s="4">
        <v>38.0</v>
      </c>
      <c r="G39" s="4" t="s">
        <v>83</v>
      </c>
    </row>
    <row r="40">
      <c r="A40" s="1">
        <v>38.0</v>
      </c>
      <c r="B40" s="4" t="s">
        <v>7</v>
      </c>
      <c r="C40" s="5" t="str">
        <f>IFERROR(__xludf.DUMMYFUNCTION("GOOGLETRANSLATE(D:D,""auto"",""en"")"),"New Year's Day Lianbo women's volleyball tournament")</f>
        <v>New Year's Day Lianbo women's volleyball tournament</v>
      </c>
      <c r="D40" s="4" t="s">
        <v>84</v>
      </c>
      <c r="E40" s="4">
        <v>0.0</v>
      </c>
      <c r="F40" s="4">
        <v>39.0</v>
      </c>
      <c r="G40" s="4" t="s">
        <v>85</v>
      </c>
    </row>
    <row r="41">
      <c r="A41" s="1">
        <v>39.0</v>
      </c>
      <c r="B41" s="4" t="s">
        <v>7</v>
      </c>
      <c r="C41" s="5" t="str">
        <f>IFERROR(__xludf.DUMMYFUNCTION("GOOGLETRANSLATE(D:D,""auto"",""en"")"),"Jiamusi throwing snow carnival")</f>
        <v>Jiamusi throwing snow carnival</v>
      </c>
      <c r="D41" s="4" t="s">
        <v>86</v>
      </c>
      <c r="E41" s="4">
        <v>0.0</v>
      </c>
      <c r="F41" s="4">
        <v>40.0</v>
      </c>
      <c r="G41" s="4" t="s">
        <v>87</v>
      </c>
    </row>
    <row r="42">
      <c r="A42" s="1">
        <v>40.0</v>
      </c>
      <c r="B42" s="4" t="s">
        <v>7</v>
      </c>
      <c r="C42" s="5" t="str">
        <f>IFERROR(__xludf.DUMMYFUNCTION("GOOGLETRANSLATE(D:D,""auto"",""en"")"),"Hey Song Yang Kun Wu Xiubo party")</f>
        <v>Hey Song Yang Kun Wu Xiubo party</v>
      </c>
      <c r="D42" s="4" t="s">
        <v>88</v>
      </c>
      <c r="E42" s="4">
        <v>0.0</v>
      </c>
      <c r="F42" s="4">
        <v>41.0</v>
      </c>
      <c r="G42" s="4" t="s">
        <v>89</v>
      </c>
    </row>
    <row r="43">
      <c r="A43" s="1">
        <v>41.0</v>
      </c>
      <c r="B43" s="4" t="s">
        <v>7</v>
      </c>
      <c r="C43" s="5" t="str">
        <f>IFERROR(__xludf.DUMMYFUNCTION("GOOGLETRANSLATE(D:D,""auto"",""en"")"),"Xiao Zhan Zhang Yixing Chorus")</f>
        <v>Xiao Zhan Zhang Yixing Chorus</v>
      </c>
      <c r="D43" s="4" t="s">
        <v>90</v>
      </c>
      <c r="E43" s="4">
        <v>0.0</v>
      </c>
      <c r="F43" s="4">
        <v>42.0</v>
      </c>
      <c r="G43" s="4" t="s">
        <v>91</v>
      </c>
    </row>
    <row r="44">
      <c r="A44" s="1">
        <v>42.0</v>
      </c>
      <c r="B44" s="4" t="s">
        <v>7</v>
      </c>
      <c r="C44" s="5" t="str">
        <f>IFERROR(__xludf.DUMMYFUNCTION("GOOGLETRANSLATE(D:D,""auto"",""en"")"),"Sicong coming festival")</f>
        <v>Sicong coming festival</v>
      </c>
      <c r="D44" s="4" t="s">
        <v>92</v>
      </c>
      <c r="E44" s="4">
        <v>0.0</v>
      </c>
      <c r="F44" s="4">
        <v>43.0</v>
      </c>
      <c r="G44" s="4" t="s">
        <v>93</v>
      </c>
    </row>
    <row r="45">
      <c r="A45" s="1">
        <v>43.0</v>
      </c>
      <c r="B45" s="4" t="s">
        <v>7</v>
      </c>
      <c r="C45" s="5" t="str">
        <f>IFERROR(__xludf.DUMMYFUNCTION("GOOGLETRANSLATE(D:D,""auto"",""en"")"),"Millet Pipan Pei 12 million")</f>
        <v>Millet Pipan Pei 12 million</v>
      </c>
      <c r="D45" s="4" t="s">
        <v>94</v>
      </c>
      <c r="E45" s="4">
        <v>0.0</v>
      </c>
      <c r="F45" s="4">
        <v>44.0</v>
      </c>
      <c r="G45" s="4" t="s">
        <v>95</v>
      </c>
    </row>
    <row r="46">
      <c r="A46" s="1">
        <v>44.0</v>
      </c>
      <c r="B46" s="4" t="s">
        <v>7</v>
      </c>
      <c r="C46" s="5" t="str">
        <f>IFERROR(__xludf.DUMMYFUNCTION("GOOGLETRANSLATE(D:D,""auto"",""en"")"),"Henan one hundred billion pig's richest man")</f>
        <v>Henan one hundred billion pig's richest man</v>
      </c>
      <c r="D46" s="4" t="s">
        <v>96</v>
      </c>
      <c r="E46" s="4">
        <v>0.0</v>
      </c>
      <c r="F46" s="4">
        <v>45.0</v>
      </c>
      <c r="G46" s="4" t="s">
        <v>97</v>
      </c>
    </row>
    <row r="47">
      <c r="A47" s="1">
        <v>45.0</v>
      </c>
      <c r="B47" s="4" t="s">
        <v>7</v>
      </c>
      <c r="C47" s="5" t="str">
        <f>IFERROR(__xludf.DUMMYFUNCTION("GOOGLETRANSLATE(D:D,""auto"",""en"")"),"20th anniversary of Putin")</f>
        <v>20th anniversary of Putin</v>
      </c>
      <c r="D47" s="4" t="s">
        <v>98</v>
      </c>
      <c r="E47" s="4">
        <v>0.0</v>
      </c>
      <c r="F47" s="4">
        <v>46.0</v>
      </c>
      <c r="G47" s="4" t="s">
        <v>99</v>
      </c>
    </row>
    <row r="48">
      <c r="A48" s="1">
        <v>46.0</v>
      </c>
      <c r="B48" s="4" t="s">
        <v>7</v>
      </c>
      <c r="C48" s="5" t="str">
        <f>IFERROR(__xludf.DUMMYFUNCTION("GOOGLETRANSLATE(D:D,""auto"",""en"")"),"Huang Haibo and bid farewell to 2019")</f>
        <v>Huang Haibo and bid farewell to 2019</v>
      </c>
      <c r="D48" s="4" t="s">
        <v>100</v>
      </c>
      <c r="E48" s="4">
        <v>0.0</v>
      </c>
      <c r="F48" s="4">
        <v>47.0</v>
      </c>
      <c r="G48" s="4" t="s">
        <v>101</v>
      </c>
    </row>
    <row r="49">
      <c r="A49" s="1">
        <v>47.0</v>
      </c>
      <c r="B49" s="4" t="s">
        <v>7</v>
      </c>
      <c r="C49" s="5" t="str">
        <f>IFERROR(__xludf.DUMMYFUNCTION("GOOGLETRANSLATE(D:D,""auto"",""en"")"),"South Korea released the New Year amnesty")</f>
        <v>South Korea released the New Year amnesty</v>
      </c>
      <c r="D49" s="4" t="s">
        <v>102</v>
      </c>
      <c r="E49" s="4">
        <v>0.0</v>
      </c>
      <c r="F49" s="4">
        <v>48.0</v>
      </c>
      <c r="G49" s="4" t="s">
        <v>103</v>
      </c>
    </row>
    <row r="50">
      <c r="A50" s="1">
        <v>48.0</v>
      </c>
      <c r="B50" s="4" t="s">
        <v>7</v>
      </c>
      <c r="C50" s="5" t="str">
        <f>IFERROR(__xludf.DUMMYFUNCTION("GOOGLETRANSLATE(D:D,""auto"",""en"")"),"Yang Zi singing in a trapeze")</f>
        <v>Yang Zi singing in a trapeze</v>
      </c>
      <c r="D50" s="4" t="s">
        <v>104</v>
      </c>
      <c r="E50" s="4">
        <v>0.0</v>
      </c>
      <c r="F50" s="4">
        <v>49.0</v>
      </c>
      <c r="G50" s="4" t="s">
        <v>105</v>
      </c>
    </row>
    <row r="51">
      <c r="A51" s="1">
        <v>49.0</v>
      </c>
      <c r="B51" s="4" t="s">
        <v>7</v>
      </c>
      <c r="C51" s="5" t="str">
        <f>IFERROR(__xludf.DUMMYFUNCTION("GOOGLETRANSLATE(D:D,""auto"",""en"")"),"The first was 30 years old after ninety")</f>
        <v>The first was 30 years old after ninety</v>
      </c>
      <c r="D51" s="4" t="s">
        <v>106</v>
      </c>
      <c r="E51" s="4">
        <v>0.0</v>
      </c>
      <c r="F51" s="4">
        <v>50.0</v>
      </c>
      <c r="G51" s="4" t="s">
        <v>107</v>
      </c>
    </row>
    <row r="52">
      <c r="A52" s="1">
        <v>50.0</v>
      </c>
      <c r="B52" s="4" t="s">
        <v>108</v>
      </c>
      <c r="C52" s="5" t="str">
        <f>IFERROR(__xludf.DUMMYFUNCTION("GOOGLETRANSLATE(D:D,""auto"",""en"")"),"Yang Mi Wei Taixun broadcast simultaneously")</f>
        <v>Yang Mi Wei Taixun broadcast simultaneously</v>
      </c>
      <c r="D52" s="4" t="s">
        <v>44</v>
      </c>
      <c r="E52" s="4">
        <v>0.0</v>
      </c>
      <c r="F52" s="4">
        <v>1.0</v>
      </c>
      <c r="G52" s="4" t="s">
        <v>45</v>
      </c>
    </row>
    <row r="53">
      <c r="A53" s="1">
        <v>51.0</v>
      </c>
      <c r="B53" s="4" t="s">
        <v>108</v>
      </c>
      <c r="C53" s="5" t="str">
        <f>IFERROR(__xludf.DUMMYFUNCTION("GOOGLETRANSLATE(D:D,""auto"",""en"")"),"Kim Hee Chul MOMO love")</f>
        <v>Kim Hee Chul MOMO love</v>
      </c>
      <c r="D53" s="4" t="s">
        <v>109</v>
      </c>
      <c r="E53" s="4">
        <v>0.0</v>
      </c>
      <c r="F53" s="4">
        <v>2.0</v>
      </c>
      <c r="G53" s="4" t="s">
        <v>110</v>
      </c>
    </row>
    <row r="54">
      <c r="A54" s="1">
        <v>52.0</v>
      </c>
      <c r="B54" s="4" t="s">
        <v>108</v>
      </c>
      <c r="C54" s="5" t="str">
        <f>IFERROR(__xludf.DUMMYFUNCTION("GOOGLETRANSLATE(D:D,""auto"",""en"")"),"Henan into the center of rain and snow")</f>
        <v>Henan into the center of rain and snow</v>
      </c>
      <c r="D54" s="4" t="s">
        <v>111</v>
      </c>
      <c r="E54" s="4">
        <v>0.0</v>
      </c>
      <c r="F54" s="4">
        <v>3.0</v>
      </c>
      <c r="G54" s="4" t="s">
        <v>112</v>
      </c>
    </row>
    <row r="55">
      <c r="A55" s="1">
        <v>53.0</v>
      </c>
      <c r="B55" s="4" t="s">
        <v>108</v>
      </c>
      <c r="C55" s="5" t="str">
        <f>IFERROR(__xludf.DUMMYFUNCTION("GOOGLETRANSLATE(D:D,""auto"",""en"")"),"New Year's Eve was traced to lip-synching")</f>
        <v>New Year's Eve was traced to lip-synching</v>
      </c>
      <c r="D55" s="4" t="s">
        <v>46</v>
      </c>
      <c r="E55" s="4">
        <v>0.0</v>
      </c>
      <c r="F55" s="4">
        <v>4.0</v>
      </c>
      <c r="G55" s="4" t="s">
        <v>47</v>
      </c>
    </row>
    <row r="56">
      <c r="A56" s="1">
        <v>54.0</v>
      </c>
      <c r="B56" s="4" t="s">
        <v>108</v>
      </c>
      <c r="C56" s="5" t="str">
        <f>IFERROR(__xludf.DUMMYFUNCTION("GOOGLETRANSLATE(D:D,""auto"",""en"")"),"Zheng Shuang Zhang Heng exposing prosecution")</f>
        <v>Zheng Shuang Zhang Heng exposing prosecution</v>
      </c>
      <c r="D56" s="4" t="s">
        <v>113</v>
      </c>
      <c r="E56" s="4">
        <v>0.0</v>
      </c>
      <c r="F56" s="4">
        <v>5.0</v>
      </c>
      <c r="G56" s="4" t="s">
        <v>114</v>
      </c>
    </row>
    <row r="57">
      <c r="A57" s="1">
        <v>55.0</v>
      </c>
      <c r="B57" s="4" t="s">
        <v>108</v>
      </c>
      <c r="C57" s="5" t="str">
        <f>IFERROR(__xludf.DUMMYFUNCTION("GOOGLETRANSLATE(D:D,""auto"",""en"")"),"Ayumi Hamasaki announced the good news of a son")</f>
        <v>Ayumi Hamasaki announced the good news of a son</v>
      </c>
      <c r="D57" s="4" t="s">
        <v>115</v>
      </c>
      <c r="E57" s="4">
        <v>0.0</v>
      </c>
      <c r="F57" s="4">
        <v>6.0</v>
      </c>
      <c r="G57" s="4" t="s">
        <v>116</v>
      </c>
    </row>
    <row r="58">
      <c r="A58" s="1">
        <v>56.0</v>
      </c>
      <c r="B58" s="4" t="s">
        <v>108</v>
      </c>
      <c r="C58" s="5" t="str">
        <f>IFERROR(__xludf.DUMMYFUNCTION("GOOGLETRANSLATE(D:D,""auto"",""en"")"),"Laba Festival")</f>
        <v>Laba Festival</v>
      </c>
      <c r="D58" s="4" t="s">
        <v>117</v>
      </c>
      <c r="E58" s="4">
        <v>0.0</v>
      </c>
      <c r="F58" s="4">
        <v>7.0</v>
      </c>
      <c r="G58" s="4" t="s">
        <v>118</v>
      </c>
    </row>
    <row r="59">
      <c r="A59" s="1">
        <v>57.0</v>
      </c>
      <c r="B59" s="4" t="s">
        <v>108</v>
      </c>
      <c r="C59" s="5" t="str">
        <f>IFERROR(__xludf.DUMMYFUNCTION("GOOGLETRANSLATE(D:D,""auto"",""en"")"),"Chongqing residential building fire")</f>
        <v>Chongqing residential building fire</v>
      </c>
      <c r="D59" s="4" t="s">
        <v>119</v>
      </c>
      <c r="E59" s="4">
        <v>0.0</v>
      </c>
      <c r="F59" s="4">
        <v>8.0</v>
      </c>
      <c r="G59" s="4" t="s">
        <v>120</v>
      </c>
    </row>
    <row r="60">
      <c r="A60" s="1">
        <v>58.0</v>
      </c>
      <c r="B60" s="4" t="s">
        <v>108</v>
      </c>
      <c r="C60" s="5" t="str">
        <f>IFERROR(__xludf.DUMMYFUNCTION("GOOGLETRANSLATE(D:D,""auto"",""en"")"),"Chen and opposition to women's volleyball broadcast")</f>
        <v>Chen and opposition to women's volleyball broadcast</v>
      </c>
      <c r="D60" s="4" t="s">
        <v>121</v>
      </c>
      <c r="E60" s="4">
        <v>0.0</v>
      </c>
      <c r="F60" s="4">
        <v>9.0</v>
      </c>
      <c r="G60" s="4" t="s">
        <v>122</v>
      </c>
    </row>
    <row r="61">
      <c r="A61" s="1">
        <v>59.0</v>
      </c>
      <c r="B61" s="4" t="s">
        <v>108</v>
      </c>
      <c r="C61" s="5" t="str">
        <f>IFERROR(__xludf.DUMMYFUNCTION("GOOGLETRANSLATE(D:D,""auto"",""en"")"),"Jiamusi airport fire")</f>
        <v>Jiamusi airport fire</v>
      </c>
      <c r="D61" s="4" t="s">
        <v>123</v>
      </c>
      <c r="E61" s="4">
        <v>0.0</v>
      </c>
      <c r="F61" s="4">
        <v>10.0</v>
      </c>
      <c r="G61" s="4" t="s">
        <v>124</v>
      </c>
    </row>
    <row r="62">
      <c r="A62" s="1">
        <v>60.0</v>
      </c>
      <c r="B62" s="4" t="s">
        <v>108</v>
      </c>
      <c r="C62" s="5" t="str">
        <f>IFERROR(__xludf.DUMMYFUNCTION("GOOGLETRANSLATE(D:D,""auto"",""en"")"),"Zhang sun exposure status as")</f>
        <v>Zhang sun exposure status as</v>
      </c>
      <c r="D62" s="4" t="s">
        <v>125</v>
      </c>
      <c r="E62" s="4">
        <v>0.0</v>
      </c>
      <c r="F62" s="4">
        <v>11.0</v>
      </c>
      <c r="G62" s="4" t="s">
        <v>126</v>
      </c>
    </row>
    <row r="63">
      <c r="A63" s="1">
        <v>61.0</v>
      </c>
      <c r="B63" s="4" t="s">
        <v>108</v>
      </c>
      <c r="C63" s="5" t="str">
        <f>IFERROR(__xludf.DUMMYFUNCTION("GOOGLETRANSLATE(D:D,""auto"",""en"")"),"Xiaozhan long sty")</f>
        <v>Xiaozhan long sty</v>
      </c>
      <c r="D63" s="4" t="s">
        <v>127</v>
      </c>
      <c r="E63" s="4">
        <v>0.0</v>
      </c>
      <c r="F63" s="4">
        <v>12.0</v>
      </c>
      <c r="G63" s="4" t="s">
        <v>128</v>
      </c>
    </row>
    <row r="64">
      <c r="A64" s="1">
        <v>62.0</v>
      </c>
      <c r="B64" s="4" t="s">
        <v>108</v>
      </c>
      <c r="C64" s="5" t="str">
        <f>IFERROR(__xludf.DUMMYFUNCTION("GOOGLETRANSLATE(D:D,""auto"",""en"")"),"Qingyu in finale")</f>
        <v>Qingyu in finale</v>
      </c>
      <c r="D64" s="4" t="s">
        <v>129</v>
      </c>
      <c r="E64" s="4">
        <v>0.0</v>
      </c>
      <c r="F64" s="4">
        <v>13.0</v>
      </c>
      <c r="G64" s="4" t="s">
        <v>130</v>
      </c>
    </row>
    <row r="65">
      <c r="A65" s="1">
        <v>63.0</v>
      </c>
      <c r="B65" s="4" t="s">
        <v>108</v>
      </c>
      <c r="C65" s="5" t="str">
        <f>IFERROR(__xludf.DUMMYFUNCTION("GOOGLETRANSLATE(D:D,""auto"",""en"")"),"Zhang Xin to take your shoes off in response to high-speed rail")</f>
        <v>Zhang Xin to take your shoes off in response to high-speed rail</v>
      </c>
      <c r="D65" s="4" t="s">
        <v>131</v>
      </c>
      <c r="E65" s="4">
        <v>0.0</v>
      </c>
      <c r="F65" s="4">
        <v>14.0</v>
      </c>
      <c r="G65" s="4" t="s">
        <v>132</v>
      </c>
    </row>
    <row r="66">
      <c r="A66" s="1">
        <v>64.0</v>
      </c>
      <c r="B66" s="4" t="s">
        <v>108</v>
      </c>
      <c r="C66" s="5" t="str">
        <f>IFERROR(__xludf.DUMMYFUNCTION("GOOGLETRANSLATE(D:D,""auto"",""en"")"),"Taiwan Black Hawk helicopter crash")</f>
        <v>Taiwan Black Hawk helicopter crash</v>
      </c>
      <c r="D66" s="4" t="s">
        <v>133</v>
      </c>
      <c r="E66" s="4">
        <v>0.0</v>
      </c>
      <c r="F66" s="4">
        <v>15.0</v>
      </c>
      <c r="G66" s="4" t="s">
        <v>134</v>
      </c>
    </row>
    <row r="67">
      <c r="A67" s="1">
        <v>65.0</v>
      </c>
      <c r="B67" s="4" t="s">
        <v>108</v>
      </c>
      <c r="C67" s="5" t="str">
        <f>IFERROR(__xludf.DUMMYFUNCTION("GOOGLETRANSLATE(D:D,""auto"",""en"")"),"Unicom ending 66 is fixed Liang")</f>
        <v>Unicom ending 66 is fixed Liang</v>
      </c>
      <c r="D67" s="4" t="s">
        <v>135</v>
      </c>
      <c r="E67" s="4">
        <v>0.0</v>
      </c>
      <c r="F67" s="4">
        <v>16.0</v>
      </c>
      <c r="G67" s="4" t="s">
        <v>136</v>
      </c>
    </row>
    <row r="68">
      <c r="A68" s="1">
        <v>66.0</v>
      </c>
      <c r="B68" s="4" t="s">
        <v>108</v>
      </c>
      <c r="C68" s="5" t="str">
        <f>IFERROR(__xludf.DUMMYFUNCTION("GOOGLETRANSLATE(D:D,""auto"",""en"")"),"2020 is a leap year double")</f>
        <v>2020 is a leap year double</v>
      </c>
      <c r="D68" s="4" t="s">
        <v>137</v>
      </c>
      <c r="E68" s="4">
        <v>0.0</v>
      </c>
      <c r="F68" s="4">
        <v>17.0</v>
      </c>
      <c r="G68" s="4" t="s">
        <v>138</v>
      </c>
    </row>
    <row r="69">
      <c r="A69" s="1">
        <v>67.0</v>
      </c>
      <c r="B69" s="4" t="s">
        <v>108</v>
      </c>
      <c r="C69" s="5" t="str">
        <f>IFERROR(__xludf.DUMMYFUNCTION("GOOGLETRANSLATE(D:D,""auto"",""en"")"),"Wang Yibo exposure trampled floor")</f>
        <v>Wang Yibo exposure trampled floor</v>
      </c>
      <c r="D69" s="4" t="s">
        <v>139</v>
      </c>
      <c r="E69" s="4">
        <v>0.0</v>
      </c>
      <c r="F69" s="4">
        <v>18.0</v>
      </c>
      <c r="G69" s="4" t="s">
        <v>140</v>
      </c>
    </row>
    <row r="70">
      <c r="A70" s="1">
        <v>68.0</v>
      </c>
      <c r="B70" s="4" t="s">
        <v>108</v>
      </c>
      <c r="C70" s="5" t="str">
        <f>IFERROR(__xludf.DUMMYFUNCTION("GOOGLETRANSLATE(D:D,""auto"",""en"")"),"Li Tie served as national football coach")</f>
        <v>Li Tie served as national football coach</v>
      </c>
      <c r="D70" s="4" t="s">
        <v>141</v>
      </c>
      <c r="E70" s="4">
        <v>0.0</v>
      </c>
      <c r="F70" s="4">
        <v>19.0</v>
      </c>
      <c r="G70" s="4" t="s">
        <v>142</v>
      </c>
    </row>
    <row r="71">
      <c r="A71" s="1">
        <v>69.0</v>
      </c>
      <c r="B71" s="4" t="s">
        <v>108</v>
      </c>
      <c r="C71" s="5" t="str">
        <f>IFERROR(__xludf.DUMMYFUNCTION("GOOGLETRANSLATE(D:D,""auto"",""en"")"),"Tencent response to violence layoffs")</f>
        <v>Tencent response to violence layoffs</v>
      </c>
      <c r="D71" s="4" t="s">
        <v>143</v>
      </c>
      <c r="E71" s="4">
        <v>0.0</v>
      </c>
      <c r="F71" s="4">
        <v>20.0</v>
      </c>
      <c r="G71" s="4" t="s">
        <v>144</v>
      </c>
    </row>
    <row r="72">
      <c r="A72" s="1">
        <v>70.0</v>
      </c>
      <c r="B72" s="4" t="s">
        <v>108</v>
      </c>
      <c r="C72" s="5" t="str">
        <f>IFERROR(__xludf.DUMMYFUNCTION("GOOGLETRANSLATE(D:D,""auto"",""en"")"),"Woman arrested for insulting Chinese")</f>
        <v>Woman arrested for insulting Chinese</v>
      </c>
      <c r="D72" s="4" t="s">
        <v>145</v>
      </c>
      <c r="E72" s="4">
        <v>0.0</v>
      </c>
      <c r="F72" s="4">
        <v>21.0</v>
      </c>
      <c r="G72" s="4" t="s">
        <v>146</v>
      </c>
    </row>
    <row r="73">
      <c r="A73" s="1">
        <v>71.0</v>
      </c>
      <c r="B73" s="4" t="s">
        <v>108</v>
      </c>
      <c r="C73" s="5" t="str">
        <f>IFERROR(__xludf.DUMMYFUNCTION("GOOGLETRANSLATE(D:D,""auto"",""en"")"),"Shenyang, a bus burst fire")</f>
        <v>Shenyang, a bus burst fire</v>
      </c>
      <c r="D73" s="4" t="s">
        <v>147</v>
      </c>
      <c r="E73" s="4">
        <v>0.0</v>
      </c>
      <c r="F73" s="4">
        <v>22.0</v>
      </c>
      <c r="G73" s="4" t="s">
        <v>148</v>
      </c>
    </row>
    <row r="74">
      <c r="A74" s="1">
        <v>72.0</v>
      </c>
      <c r="B74" s="4" t="s">
        <v>108</v>
      </c>
      <c r="C74" s="5" t="str">
        <f>IFERROR(__xludf.DUMMYFUNCTION("GOOGLETRANSLATE(D:D,""auto"",""en"")"),"Why this change Kyung fast time")</f>
        <v>Why this change Kyung fast time</v>
      </c>
      <c r="D74" s="4" t="s">
        <v>149</v>
      </c>
      <c r="E74" s="4">
        <v>0.0</v>
      </c>
      <c r="F74" s="4">
        <v>23.0</v>
      </c>
      <c r="G74" s="4" t="s">
        <v>150</v>
      </c>
    </row>
    <row r="75">
      <c r="A75" s="1">
        <v>73.0</v>
      </c>
      <c r="B75" s="4" t="s">
        <v>108</v>
      </c>
      <c r="C75" s="5" t="str">
        <f>IFERROR(__xludf.DUMMYFUNCTION("GOOGLETRANSLATE(D:D,""auto"",""en"")"),"Wenna Female announced production")</f>
        <v>Wenna Female announced production</v>
      </c>
      <c r="D75" s="4" t="s">
        <v>76</v>
      </c>
      <c r="E75" s="4">
        <v>0.0</v>
      </c>
      <c r="F75" s="4">
        <v>24.0</v>
      </c>
      <c r="G75" s="4" t="s">
        <v>77</v>
      </c>
    </row>
    <row r="76">
      <c r="A76" s="1">
        <v>74.0</v>
      </c>
      <c r="B76" s="4" t="s">
        <v>108</v>
      </c>
      <c r="C76" s="5" t="str">
        <f>IFERROR(__xludf.DUMMYFUNCTION("GOOGLETRANSLATE(D:D,""auto"",""en"")"),"Malaysia Airlines responded after take-off return")</f>
        <v>Malaysia Airlines responded after take-off return</v>
      </c>
      <c r="D76" s="4" t="s">
        <v>151</v>
      </c>
      <c r="E76" s="4">
        <v>0.0</v>
      </c>
      <c r="F76" s="4">
        <v>25.0</v>
      </c>
      <c r="G76" s="4" t="s">
        <v>152</v>
      </c>
    </row>
    <row r="77">
      <c r="A77" s="1">
        <v>75.0</v>
      </c>
      <c r="B77" s="4" t="s">
        <v>108</v>
      </c>
      <c r="C77" s="5" t="str">
        <f>IFERROR(__xludf.DUMMYFUNCTION("GOOGLETRANSLATE(D:D,""auto"",""en"")"),"Tang Fei Hua Fei respond Juyan")</f>
        <v>Tang Fei Hua Fei respond Juyan</v>
      </c>
      <c r="D77" s="4" t="s">
        <v>153</v>
      </c>
      <c r="E77" s="4">
        <v>0.0</v>
      </c>
      <c r="F77" s="4">
        <v>26.0</v>
      </c>
      <c r="G77" s="4" t="s">
        <v>154</v>
      </c>
    </row>
    <row r="78">
      <c r="A78" s="1">
        <v>76.0</v>
      </c>
      <c r="B78" s="4" t="s">
        <v>108</v>
      </c>
      <c r="C78" s="5" t="str">
        <f>IFERROR(__xludf.DUMMYFUNCTION("GOOGLETRANSLATE(D:D,""auto"",""en"")"),"Day prenatal chairman of absconding")</f>
        <v>Day prenatal chairman of absconding</v>
      </c>
      <c r="D78" s="4" t="s">
        <v>155</v>
      </c>
      <c r="E78" s="4">
        <v>0.0</v>
      </c>
      <c r="F78" s="4">
        <v>27.0</v>
      </c>
      <c r="G78" s="4" t="s">
        <v>156</v>
      </c>
    </row>
    <row r="79">
      <c r="A79" s="1">
        <v>77.0</v>
      </c>
      <c r="B79" s="4" t="s">
        <v>108</v>
      </c>
      <c r="C79" s="5" t="str">
        <f>IFERROR(__xludf.DUMMYFUNCTION("GOOGLETRANSLATE(D:D,""auto"",""en"")"),"Nicky an amusement Disney")</f>
        <v>Nicky an amusement Disney</v>
      </c>
      <c r="D79" s="4" t="s">
        <v>157</v>
      </c>
      <c r="E79" s="4">
        <v>0.0</v>
      </c>
      <c r="F79" s="4">
        <v>28.0</v>
      </c>
      <c r="G79" s="4" t="s">
        <v>158</v>
      </c>
    </row>
    <row r="80">
      <c r="A80" s="1">
        <v>78.0</v>
      </c>
      <c r="B80" s="4" t="s">
        <v>108</v>
      </c>
      <c r="C80" s="5" t="str">
        <f>IFERROR(__xludf.DUMMYFUNCTION("GOOGLETRANSLATE(D:D,""auto"",""en"")"),"Pu Shouchang death")</f>
        <v>Pu Shouchang death</v>
      </c>
      <c r="D80" s="4" t="s">
        <v>159</v>
      </c>
      <c r="E80" s="4">
        <v>0.0</v>
      </c>
      <c r="F80" s="4">
        <v>29.0</v>
      </c>
      <c r="G80" s="4" t="s">
        <v>160</v>
      </c>
    </row>
    <row r="81">
      <c r="A81" s="1">
        <v>79.0</v>
      </c>
      <c r="B81" s="4" t="s">
        <v>108</v>
      </c>
      <c r="C81" s="5" t="str">
        <f>IFERROR(__xludf.DUMMYFUNCTION("GOOGLETRANSLATE(D:D,""auto"",""en"")"),"Cecilia with three sons shopping")</f>
        <v>Cecilia with three sons shopping</v>
      </c>
      <c r="D81" s="4" t="s">
        <v>161</v>
      </c>
      <c r="E81" s="4">
        <v>0.0</v>
      </c>
      <c r="F81" s="4">
        <v>30.0</v>
      </c>
      <c r="G81" s="4" t="s">
        <v>162</v>
      </c>
    </row>
    <row r="82">
      <c r="A82" s="1">
        <v>80.0</v>
      </c>
      <c r="B82" s="4" t="s">
        <v>108</v>
      </c>
      <c r="C82" s="5" t="str">
        <f>IFERROR(__xludf.DUMMYFUNCTION("GOOGLETRANSLATE(D:D,""auto"",""en"")"),"Chang Cheng quit the association response")</f>
        <v>Chang Cheng quit the association response</v>
      </c>
      <c r="D82" s="4" t="s">
        <v>163</v>
      </c>
      <c r="E82" s="4">
        <v>0.0</v>
      </c>
      <c r="F82" s="4">
        <v>31.0</v>
      </c>
      <c r="G82" s="4" t="s">
        <v>164</v>
      </c>
    </row>
    <row r="83">
      <c r="A83" s="1">
        <v>81.0</v>
      </c>
      <c r="B83" s="4" t="s">
        <v>108</v>
      </c>
      <c r="C83" s="5" t="str">
        <f>IFERROR(__xludf.DUMMYFUNCTION("GOOGLETRANSLATE(D:D,""auto"",""en"")"),"Yang Mi Wolf disco concert")</f>
        <v>Yang Mi Wolf disco concert</v>
      </c>
      <c r="D83" s="4" t="s">
        <v>80</v>
      </c>
      <c r="E83" s="4">
        <v>0.0</v>
      </c>
      <c r="F83" s="4">
        <v>32.0</v>
      </c>
      <c r="G83" s="4" t="s">
        <v>81</v>
      </c>
    </row>
    <row r="84">
      <c r="A84" s="1">
        <v>82.0</v>
      </c>
      <c r="B84" s="4" t="s">
        <v>108</v>
      </c>
      <c r="C84" s="5" t="str">
        <f>IFERROR(__xludf.DUMMYFUNCTION("GOOGLETRANSLATE(D:D,""auto"",""en"")"),"Dalian Wanda party to re-communicate")</f>
        <v>Dalian Wanda party to re-communicate</v>
      </c>
      <c r="D84" s="4" t="s">
        <v>165</v>
      </c>
      <c r="E84" s="4">
        <v>0.0</v>
      </c>
      <c r="F84" s="4">
        <v>33.0</v>
      </c>
      <c r="G84" s="4" t="s">
        <v>166</v>
      </c>
    </row>
    <row r="85">
      <c r="A85" s="1">
        <v>83.0</v>
      </c>
      <c r="B85" s="4" t="s">
        <v>108</v>
      </c>
      <c r="C85" s="5" t="str">
        <f>IFERROR(__xludf.DUMMYFUNCTION("GOOGLETRANSLATE(D:D,""auto"",""en"")"),"Wedding pro dad humiliated father")</f>
        <v>Wedding pro dad humiliated father</v>
      </c>
      <c r="D85" s="4" t="s">
        <v>167</v>
      </c>
      <c r="E85" s="4">
        <v>0.0</v>
      </c>
      <c r="F85" s="4">
        <v>34.0</v>
      </c>
      <c r="G85" s="4" t="s">
        <v>168</v>
      </c>
    </row>
    <row r="86">
      <c r="A86" s="1">
        <v>84.0</v>
      </c>
      <c r="B86" s="4" t="s">
        <v>108</v>
      </c>
      <c r="C86" s="5" t="str">
        <f>IFERROR(__xludf.DUMMYFUNCTION("GOOGLETRANSLATE(D:D,""auto"",""en"")"),"3.91 million to buy a mobile phone number")</f>
        <v>3.91 million to buy a mobile phone number</v>
      </c>
      <c r="D86" s="4" t="s">
        <v>169</v>
      </c>
      <c r="E86" s="4">
        <v>0.0</v>
      </c>
      <c r="F86" s="4">
        <v>35.0</v>
      </c>
      <c r="G86" s="4" t="s">
        <v>170</v>
      </c>
    </row>
    <row r="87">
      <c r="A87" s="1">
        <v>85.0</v>
      </c>
      <c r="B87" s="4" t="s">
        <v>108</v>
      </c>
      <c r="C87" s="5" t="str">
        <f>IFERROR(__xludf.DUMMYFUNCTION("GOOGLETRANSLATE(D:D,""auto"",""en"")"),"Zheng Shuang lawyer sent a letter to Dick obediently")</f>
        <v>Zheng Shuang lawyer sent a letter to Dick obediently</v>
      </c>
      <c r="D87" s="4" t="s">
        <v>78</v>
      </c>
      <c r="E87" s="4">
        <v>0.0</v>
      </c>
      <c r="F87" s="4">
        <v>36.0</v>
      </c>
      <c r="G87" s="4" t="s">
        <v>79</v>
      </c>
    </row>
    <row r="88">
      <c r="A88" s="1">
        <v>86.0</v>
      </c>
      <c r="B88" s="4" t="s">
        <v>108</v>
      </c>
      <c r="C88" s="5" t="str">
        <f>IFERROR(__xludf.DUMMYFUNCTION("GOOGLETRANSLATE(D:D,""auto"",""en"")"),"Taobao Annual Statement released")</f>
        <v>Taobao Annual Statement released</v>
      </c>
      <c r="D88" s="4" t="s">
        <v>171</v>
      </c>
      <c r="E88" s="4">
        <v>0.0</v>
      </c>
      <c r="F88" s="4">
        <v>37.0</v>
      </c>
      <c r="G88" s="4" t="s">
        <v>172</v>
      </c>
    </row>
    <row r="89">
      <c r="A89" s="1">
        <v>87.0</v>
      </c>
      <c r="B89" s="4" t="s">
        <v>108</v>
      </c>
      <c r="C89" s="5" t="str">
        <f>IFERROR(__xludf.DUMMYFUNCTION("GOOGLETRANSLATE(D:D,""auto"",""en"")"),"Diphtheria exposed new romance")</f>
        <v>Diphtheria exposed new romance</v>
      </c>
      <c r="D89" s="4" t="s">
        <v>173</v>
      </c>
      <c r="E89" s="4">
        <v>0.0</v>
      </c>
      <c r="F89" s="4">
        <v>38.0</v>
      </c>
      <c r="G89" s="4" t="s">
        <v>174</v>
      </c>
    </row>
    <row r="90">
      <c r="A90" s="1">
        <v>88.0</v>
      </c>
      <c r="B90" s="4" t="s">
        <v>108</v>
      </c>
      <c r="C90" s="5" t="str">
        <f>IFERROR(__xludf.DUMMYFUNCTION("GOOGLETRANSLATE(D:D,""auto"",""en"")"),"Chang Cheng served as vice president of millet")</f>
        <v>Chang Cheng served as vice president of millet</v>
      </c>
      <c r="D90" s="4" t="s">
        <v>175</v>
      </c>
      <c r="E90" s="4">
        <v>0.0</v>
      </c>
      <c r="F90" s="4">
        <v>39.0</v>
      </c>
      <c r="G90" s="4" t="s">
        <v>176</v>
      </c>
    </row>
    <row r="91">
      <c r="A91" s="1">
        <v>89.0</v>
      </c>
      <c r="B91" s="4" t="s">
        <v>108</v>
      </c>
      <c r="C91" s="5" t="str">
        <f>IFERROR(__xludf.DUMMYFUNCTION("GOOGLETRANSLATE(D:D,""auto"",""en"")"),"After starting to recognize love Kim Hee Chul text")</f>
        <v>After starting to recognize love Kim Hee Chul text</v>
      </c>
      <c r="D91" s="4" t="s">
        <v>177</v>
      </c>
      <c r="E91" s="4">
        <v>0.0</v>
      </c>
      <c r="F91" s="4">
        <v>40.0</v>
      </c>
      <c r="G91" s="4" t="s">
        <v>178</v>
      </c>
    </row>
    <row r="92">
      <c r="A92" s="1">
        <v>90.0</v>
      </c>
      <c r="B92" s="4" t="s">
        <v>108</v>
      </c>
      <c r="C92" s="5" t="str">
        <f>IFERROR(__xludf.DUMMYFUNCTION("GOOGLETRANSLATE(D:D,""auto"",""en"")"),"2019 China's most beautiful stars")</f>
        <v>2019 China's most beautiful stars</v>
      </c>
      <c r="D92" s="4" t="s">
        <v>179</v>
      </c>
      <c r="E92" s="4">
        <v>0.0</v>
      </c>
      <c r="F92" s="4">
        <v>41.0</v>
      </c>
      <c r="G92" s="4" t="s">
        <v>180</v>
      </c>
    </row>
    <row r="93">
      <c r="A93" s="1">
        <v>91.0</v>
      </c>
      <c r="B93" s="4" t="s">
        <v>108</v>
      </c>
      <c r="C93" s="5" t="str">
        <f>IFERROR(__xludf.DUMMYFUNCTION("GOOGLETRANSLATE(D:D,""auto"",""en"")"),"Chongqing real estate fire main identity")</f>
        <v>Chongqing real estate fire main identity</v>
      </c>
      <c r="D93" s="4" t="s">
        <v>181</v>
      </c>
      <c r="E93" s="4">
        <v>0.0</v>
      </c>
      <c r="F93" s="4">
        <v>42.0</v>
      </c>
      <c r="G93" s="4" t="s">
        <v>182</v>
      </c>
    </row>
    <row r="94">
      <c r="A94" s="1">
        <v>92.0</v>
      </c>
      <c r="B94" s="4" t="s">
        <v>108</v>
      </c>
      <c r="C94" s="5" t="str">
        <f>IFERROR(__xludf.DUMMYFUNCTION("GOOGLETRANSLATE(D:D,""auto"",""en"")"),"Mike party denied the derailed")</f>
        <v>Mike party denied the derailed</v>
      </c>
      <c r="D94" s="4" t="s">
        <v>68</v>
      </c>
      <c r="E94" s="4">
        <v>0.0</v>
      </c>
      <c r="F94" s="4">
        <v>43.0</v>
      </c>
      <c r="G94" s="4" t="s">
        <v>69</v>
      </c>
    </row>
    <row r="95">
      <c r="A95" s="1">
        <v>93.0</v>
      </c>
      <c r="B95" s="4" t="s">
        <v>108</v>
      </c>
      <c r="C95" s="5" t="str">
        <f>IFERROR(__xludf.DUMMYFUNCTION("GOOGLETRANSLATE(D:D,""auto"",""en"")"),"Lu Lu Xin is sweet haircut")</f>
        <v>Lu Lu Xin is sweet haircut</v>
      </c>
      <c r="D95" s="4" t="s">
        <v>72</v>
      </c>
      <c r="E95" s="4">
        <v>0.0</v>
      </c>
      <c r="F95" s="4">
        <v>44.0</v>
      </c>
      <c r="G95" s="4" t="s">
        <v>73</v>
      </c>
    </row>
    <row r="96">
      <c r="A96" s="1">
        <v>94.0</v>
      </c>
      <c r="B96" s="4" t="s">
        <v>108</v>
      </c>
      <c r="C96" s="5" t="str">
        <f>IFERROR(__xludf.DUMMYFUNCTION("GOOGLETRANSLATE(D:D,""auto"",""en"")"),"Li Tie will be exposed football coach")</f>
        <v>Li Tie will be exposed football coach</v>
      </c>
      <c r="D96" s="4" t="s">
        <v>70</v>
      </c>
      <c r="E96" s="4">
        <v>0.0</v>
      </c>
      <c r="F96" s="4">
        <v>45.0</v>
      </c>
      <c r="G96" s="4" t="s">
        <v>71</v>
      </c>
    </row>
    <row r="97">
      <c r="A97" s="1">
        <v>95.0</v>
      </c>
      <c r="B97" s="4" t="s">
        <v>108</v>
      </c>
      <c r="C97" s="5" t="str">
        <f>IFERROR(__xludf.DUMMYFUNCTION("GOOGLETRANSLATE(D:D,""auto"",""en"")"),"Wang Lei letter to employees")</f>
        <v>Wang Lei letter to employees</v>
      </c>
      <c r="D97" s="4" t="s">
        <v>183</v>
      </c>
      <c r="E97" s="4">
        <v>0.0</v>
      </c>
      <c r="F97" s="4">
        <v>46.0</v>
      </c>
      <c r="G97" s="4" t="s">
        <v>184</v>
      </c>
    </row>
    <row r="98">
      <c r="A98" s="1">
        <v>96.0</v>
      </c>
      <c r="B98" s="4" t="s">
        <v>108</v>
      </c>
      <c r="C98" s="5" t="str">
        <f>IFERROR(__xludf.DUMMYFUNCTION("GOOGLETRANSLATE(D:D,""auto"",""en"")"),"Throw a coin to pay 120,000 aircraft")</f>
        <v>Throw a coin to pay 120,000 aircraft</v>
      </c>
      <c r="D98" s="4" t="s">
        <v>185</v>
      </c>
      <c r="E98" s="4">
        <v>0.0</v>
      </c>
      <c r="F98" s="4">
        <v>47.0</v>
      </c>
      <c r="G98" s="4" t="s">
        <v>186</v>
      </c>
    </row>
    <row r="99">
      <c r="A99" s="1">
        <v>97.0</v>
      </c>
      <c r="B99" s="4" t="s">
        <v>108</v>
      </c>
      <c r="C99" s="5" t="str">
        <f>IFERROR(__xludf.DUMMYFUNCTION("GOOGLETRANSLATE(D:D,""auto"",""en"")"),"11 years of raising non-biological son")</f>
        <v>11 years of raising non-biological son</v>
      </c>
      <c r="D99" s="4" t="s">
        <v>187</v>
      </c>
      <c r="E99" s="4">
        <v>0.0</v>
      </c>
      <c r="F99" s="4">
        <v>48.0</v>
      </c>
      <c r="G99" s="4" t="s">
        <v>188</v>
      </c>
    </row>
    <row r="100">
      <c r="A100" s="1">
        <v>98.0</v>
      </c>
      <c r="B100" s="4" t="s">
        <v>108</v>
      </c>
      <c r="C100" s="5" t="str">
        <f>IFERROR(__xludf.DUMMYFUNCTION("GOOGLETRANSLATE(D:D,""auto"",""en"")"),"Ni Ping ex-husband appeared Film Festival")</f>
        <v>Ni Ping ex-husband appeared Film Festival</v>
      </c>
      <c r="D100" s="4" t="s">
        <v>58</v>
      </c>
      <c r="E100" s="4">
        <v>0.0</v>
      </c>
      <c r="F100" s="4">
        <v>49.0</v>
      </c>
      <c r="G100" s="4" t="s">
        <v>59</v>
      </c>
    </row>
    <row r="101">
      <c r="A101" s="1">
        <v>99.0</v>
      </c>
      <c r="B101" s="4" t="s">
        <v>108</v>
      </c>
      <c r="C101" s="5" t="str">
        <f>IFERROR(__xludf.DUMMYFUNCTION("GOOGLETRANSLATE(D:D,""auto"",""en"")"),"42 million people in Shanghai Bund New Year's Eve")</f>
        <v>42 million people in Shanghai Bund New Year's Eve</v>
      </c>
      <c r="D101" s="4" t="s">
        <v>189</v>
      </c>
      <c r="E101" s="4">
        <v>0.0</v>
      </c>
      <c r="F101" s="4">
        <v>50.0</v>
      </c>
      <c r="G101" s="4" t="s">
        <v>190</v>
      </c>
    </row>
    <row r="102">
      <c r="A102" s="1">
        <v>100.0</v>
      </c>
      <c r="B102" s="4" t="s">
        <v>191</v>
      </c>
      <c r="C102" s="5" t="str">
        <f>IFERROR(__xludf.DUMMYFUNCTION("GOOGLETRANSLATE(D:D,""auto"",""en"")"),"New Year's first Japan-China 1 billion award")</f>
        <v>New Year's first Japan-China 1 billion award</v>
      </c>
      <c r="D102" s="4" t="s">
        <v>192</v>
      </c>
      <c r="E102" s="4">
        <v>0.0</v>
      </c>
      <c r="F102" s="4">
        <v>1.0</v>
      </c>
      <c r="G102" s="4" t="s">
        <v>193</v>
      </c>
    </row>
    <row r="103">
      <c r="A103" s="1">
        <v>101.0</v>
      </c>
      <c r="B103" s="4" t="s">
        <v>191</v>
      </c>
      <c r="C103" s="5" t="str">
        <f>IFERROR(__xludf.DUMMYFUNCTION("GOOGLETRANSLATE(D:D,""auto"",""en"")"),"Chongqing real estate fire main identity")</f>
        <v>Chongqing real estate fire main identity</v>
      </c>
      <c r="D103" s="4" t="s">
        <v>181</v>
      </c>
      <c r="E103" s="4">
        <v>0.0</v>
      </c>
      <c r="F103" s="4">
        <v>2.0</v>
      </c>
      <c r="G103" s="4" t="s">
        <v>182</v>
      </c>
    </row>
    <row r="104">
      <c r="A104" s="1">
        <v>102.0</v>
      </c>
      <c r="B104" s="4" t="s">
        <v>191</v>
      </c>
      <c r="C104" s="5" t="str">
        <f>IFERROR(__xludf.DUMMYFUNCTION("GOOGLETRANSLATE(D:D,""auto"",""en"")"),"Shenyang, a bus burst fire")</f>
        <v>Shenyang, a bus burst fire</v>
      </c>
      <c r="D104" s="4" t="s">
        <v>147</v>
      </c>
      <c r="E104" s="4">
        <v>0.0</v>
      </c>
      <c r="F104" s="4">
        <v>3.0</v>
      </c>
      <c r="G104" s="4" t="s">
        <v>148</v>
      </c>
    </row>
    <row r="105">
      <c r="A105" s="1">
        <v>103.0</v>
      </c>
      <c r="B105" s="4" t="s">
        <v>191</v>
      </c>
      <c r="C105" s="5" t="str">
        <f>IFERROR(__xludf.DUMMYFUNCTION("GOOGLETRANSLATE(D:D,""auto"",""en"")"),"Foshan response to congestion charging station")</f>
        <v>Foshan response to congestion charging station</v>
      </c>
      <c r="D105" s="4" t="s">
        <v>194</v>
      </c>
      <c r="E105" s="4">
        <v>0.0</v>
      </c>
      <c r="F105" s="4">
        <v>4.0</v>
      </c>
      <c r="G105" s="4" t="s">
        <v>195</v>
      </c>
    </row>
    <row r="106">
      <c r="A106" s="1">
        <v>104.0</v>
      </c>
      <c r="B106" s="4" t="s">
        <v>191</v>
      </c>
      <c r="C106" s="5" t="str">
        <f>IFERROR(__xludf.DUMMYFUNCTION("GOOGLETRANSLATE(D:D,""auto"",""en"")"),"Woman arrested for insulting Chinese")</f>
        <v>Woman arrested for insulting Chinese</v>
      </c>
      <c r="D106" s="4" t="s">
        <v>145</v>
      </c>
      <c r="E106" s="4">
        <v>0.0</v>
      </c>
      <c r="F106" s="4">
        <v>5.0</v>
      </c>
      <c r="G106" s="4" t="s">
        <v>146</v>
      </c>
    </row>
    <row r="107">
      <c r="A107" s="1">
        <v>105.0</v>
      </c>
      <c r="B107" s="4" t="s">
        <v>191</v>
      </c>
      <c r="C107" s="5" t="str">
        <f>IFERROR(__xludf.DUMMYFUNCTION("GOOGLETRANSLATE(D:D,""auto"",""en"")"),"Japan 5.6 earthquake")</f>
        <v>Japan 5.6 earthquake</v>
      </c>
      <c r="D107" s="4" t="s">
        <v>196</v>
      </c>
      <c r="E107" s="4">
        <v>0.0</v>
      </c>
      <c r="F107" s="4">
        <v>6.0</v>
      </c>
      <c r="G107" s="4" t="s">
        <v>197</v>
      </c>
    </row>
    <row r="108">
      <c r="A108" s="1">
        <v>106.0</v>
      </c>
      <c r="B108" s="4" t="s">
        <v>191</v>
      </c>
      <c r="C108" s="5" t="str">
        <f>IFERROR(__xludf.DUMMYFUNCTION("GOOGLETRANSLATE(D:D,""auto"",""en"")"),"Department who responded annual leave compensation")</f>
        <v>Department who responded annual leave compensation</v>
      </c>
      <c r="D108" s="4" t="s">
        <v>198</v>
      </c>
      <c r="E108" s="4">
        <v>0.0</v>
      </c>
      <c r="F108" s="4">
        <v>7.0</v>
      </c>
      <c r="G108" s="4" t="s">
        <v>199</v>
      </c>
    </row>
    <row r="109">
      <c r="A109" s="1">
        <v>107.0</v>
      </c>
      <c r="B109" s="4" t="s">
        <v>191</v>
      </c>
      <c r="C109" s="5" t="str">
        <f>IFERROR(__xludf.DUMMYFUNCTION("GOOGLETRANSLATE(D:D,""auto"",""en"")"),"8000 koalas were killed wildfires")</f>
        <v>8000 koalas were killed wildfires</v>
      </c>
      <c r="D109" s="4" t="s">
        <v>200</v>
      </c>
      <c r="E109" s="4">
        <v>0.0</v>
      </c>
      <c r="F109" s="4">
        <v>8.0</v>
      </c>
      <c r="G109" s="4" t="s">
        <v>201</v>
      </c>
    </row>
    <row r="110">
      <c r="A110" s="1">
        <v>108.0</v>
      </c>
      <c r="B110" s="4" t="s">
        <v>191</v>
      </c>
      <c r="C110" s="5" t="str">
        <f>IFERROR(__xludf.DUMMYFUNCTION("GOOGLETRANSLATE(D:D,""auto"",""en"")"),"The girls lost to a beach park")</f>
        <v>The girls lost to a beach park</v>
      </c>
      <c r="D110" s="4" t="s">
        <v>202</v>
      </c>
      <c r="E110" s="4">
        <v>0.0</v>
      </c>
      <c r="F110" s="4">
        <v>9.0</v>
      </c>
      <c r="G110" s="4" t="s">
        <v>203</v>
      </c>
    </row>
    <row r="111">
      <c r="A111" s="1">
        <v>109.0</v>
      </c>
      <c r="B111" s="4" t="s">
        <v>191</v>
      </c>
      <c r="C111" s="5" t="str">
        <f>IFERROR(__xludf.DUMMYFUNCTION("GOOGLETRANSLATE(D:D,""auto"",""en"")"),"Sicong Sanya birthday")</f>
        <v>Sicong Sanya birthday</v>
      </c>
      <c r="D111" s="4" t="s">
        <v>204</v>
      </c>
      <c r="E111" s="4">
        <v>0.0</v>
      </c>
      <c r="F111" s="4">
        <v>10.0</v>
      </c>
      <c r="G111" s="4" t="s">
        <v>205</v>
      </c>
    </row>
    <row r="112">
      <c r="A112" s="1">
        <v>110.0</v>
      </c>
      <c r="B112" s="4" t="s">
        <v>191</v>
      </c>
      <c r="C112" s="5" t="str">
        <f>IFERROR(__xludf.DUMMYFUNCTION("GOOGLETRANSLATE(D:D,""auto"",""en"")"),"Sun Yang response to drug test event")</f>
        <v>Sun Yang response to drug test event</v>
      </c>
      <c r="D112" s="4" t="s">
        <v>206</v>
      </c>
      <c r="E112" s="4">
        <v>0.0</v>
      </c>
      <c r="F112" s="4">
        <v>11.0</v>
      </c>
      <c r="G112" s="4" t="s">
        <v>207</v>
      </c>
    </row>
    <row r="113">
      <c r="A113" s="1">
        <v>111.0</v>
      </c>
      <c r="B113" s="4" t="s">
        <v>191</v>
      </c>
      <c r="C113" s="5" t="str">
        <f>IFERROR(__xludf.DUMMYFUNCTION("GOOGLETRANSLATE(D:D,""auto"",""en"")"),"Zhang Xuan official second child birth")</f>
        <v>Zhang Xuan official second child birth</v>
      </c>
      <c r="D113" s="4" t="s">
        <v>208</v>
      </c>
      <c r="E113" s="4">
        <v>0.0</v>
      </c>
      <c r="F113" s="4">
        <v>12.0</v>
      </c>
      <c r="G113" s="4" t="s">
        <v>209</v>
      </c>
    </row>
    <row r="114">
      <c r="A114" s="1">
        <v>112.0</v>
      </c>
      <c r="B114" s="4" t="s">
        <v>191</v>
      </c>
      <c r="C114" s="5" t="str">
        <f>IFERROR(__xludf.DUMMYFUNCTION("GOOGLETRANSLATE(D:D,""auto"",""en"")"),"Trump ordered air strikes")</f>
        <v>Trump ordered air strikes</v>
      </c>
      <c r="D114" s="4" t="s">
        <v>210</v>
      </c>
      <c r="E114" s="4">
        <v>0.0</v>
      </c>
      <c r="F114" s="4">
        <v>13.0</v>
      </c>
      <c r="G114" s="4" t="s">
        <v>211</v>
      </c>
    </row>
    <row r="115">
      <c r="A115" s="1">
        <v>113.0</v>
      </c>
      <c r="B115" s="4" t="s">
        <v>191</v>
      </c>
      <c r="C115" s="5" t="str">
        <f>IFERROR(__xludf.DUMMYFUNCTION("GOOGLETRANSLATE(D:D,""auto"",""en"")"),"Tian exposed a renamed Li Tianyi")</f>
        <v>Tian exposed a renamed Li Tianyi</v>
      </c>
      <c r="D115" s="4" t="s">
        <v>212</v>
      </c>
      <c r="E115" s="4">
        <v>0.0</v>
      </c>
      <c r="F115" s="4">
        <v>14.0</v>
      </c>
      <c r="G115" s="4" t="s">
        <v>213</v>
      </c>
    </row>
    <row r="116">
      <c r="A116" s="1">
        <v>114.0</v>
      </c>
      <c r="B116" s="4" t="s">
        <v>191</v>
      </c>
      <c r="C116" s="5" t="str">
        <f>IFERROR(__xludf.DUMMYFUNCTION("GOOGLETRANSLATE(D:D,""auto"",""en"")"),"Xu Jing drying as foreign boyfriend")</f>
        <v>Xu Jing drying as foreign boyfriend</v>
      </c>
      <c r="D116" s="4" t="s">
        <v>214</v>
      </c>
      <c r="E116" s="4">
        <v>0.0</v>
      </c>
      <c r="F116" s="4">
        <v>15.0</v>
      </c>
      <c r="G116" s="4" t="s">
        <v>215</v>
      </c>
    </row>
    <row r="117">
      <c r="A117" s="1">
        <v>115.0</v>
      </c>
      <c r="B117" s="4" t="s">
        <v>191</v>
      </c>
      <c r="C117" s="5" t="str">
        <f>IFERROR(__xludf.DUMMYFUNCTION("GOOGLETRANSLATE(D:D,""auto"",""en"")"),"Iran three days of national mourning")</f>
        <v>Iran three days of national mourning</v>
      </c>
      <c r="D117" s="4" t="s">
        <v>216</v>
      </c>
      <c r="E117" s="4">
        <v>0.0</v>
      </c>
      <c r="F117" s="4">
        <v>16.0</v>
      </c>
      <c r="G117" s="4" t="s">
        <v>217</v>
      </c>
    </row>
    <row r="118">
      <c r="A118" s="1">
        <v>116.0</v>
      </c>
      <c r="B118" s="4" t="s">
        <v>191</v>
      </c>
      <c r="C118" s="5" t="str">
        <f>IFERROR(__xludf.DUMMYFUNCTION("GOOGLETRANSLATE(D:D,""auto"",""en"")"),"Courier will be divided into five grades")</f>
        <v>Courier will be divided into five grades</v>
      </c>
      <c r="D118" s="4" t="s">
        <v>218</v>
      </c>
      <c r="E118" s="4">
        <v>0.0</v>
      </c>
      <c r="F118" s="4">
        <v>17.0</v>
      </c>
      <c r="G118" s="4" t="s">
        <v>219</v>
      </c>
    </row>
    <row r="119">
      <c r="A119" s="1">
        <v>117.0</v>
      </c>
      <c r="B119" s="4" t="s">
        <v>191</v>
      </c>
      <c r="C119" s="5" t="str">
        <f>IFERROR(__xludf.DUMMYFUNCTION("GOOGLETRANSLATE(D:D,""auto"",""en"")"),"Jinfu Jiang prosecution of ex-girlfriend")</f>
        <v>Jinfu Jiang prosecution of ex-girlfriend</v>
      </c>
      <c r="D119" s="4" t="s">
        <v>220</v>
      </c>
      <c r="E119" s="4">
        <v>0.0</v>
      </c>
      <c r="F119" s="4">
        <v>18.0</v>
      </c>
      <c r="G119" s="4" t="s">
        <v>221</v>
      </c>
    </row>
    <row r="120">
      <c r="A120" s="1">
        <v>118.0</v>
      </c>
      <c r="B120" s="4" t="s">
        <v>191</v>
      </c>
      <c r="C120" s="5" t="str">
        <f>IFERROR(__xludf.DUMMYFUNCTION("GOOGLETRANSLATE(D:D,""auto"",""en"")"),"The US State Department issued an urgent warning")</f>
        <v>The US State Department issued an urgent warning</v>
      </c>
      <c r="D120" s="4" t="s">
        <v>222</v>
      </c>
      <c r="E120" s="4">
        <v>0.0</v>
      </c>
      <c r="F120" s="4">
        <v>19.0</v>
      </c>
      <c r="G120" s="4" t="s">
        <v>223</v>
      </c>
    </row>
    <row r="121">
      <c r="A121" s="1">
        <v>119.0</v>
      </c>
      <c r="B121" s="4" t="s">
        <v>191</v>
      </c>
      <c r="C121" s="5" t="str">
        <f>IFERROR(__xludf.DUMMYFUNCTION("GOOGLETRANSLATE(D:D,""auto"",""en"")"),"Li Qin style uniforms on line")</f>
        <v>Li Qin style uniforms on line</v>
      </c>
      <c r="D121" s="4" t="s">
        <v>224</v>
      </c>
      <c r="E121" s="4">
        <v>0.0</v>
      </c>
      <c r="F121" s="4">
        <v>20.0</v>
      </c>
      <c r="G121" s="4" t="s">
        <v>225</v>
      </c>
    </row>
    <row r="122">
      <c r="A122" s="1">
        <v>120.0</v>
      </c>
      <c r="B122" s="4" t="s">
        <v>191</v>
      </c>
      <c r="C122" s="5" t="str">
        <f>IFERROR(__xludf.DUMMYFUNCTION("GOOGLETRANSLATE(D:D,""auto"",""en"")"),"Zhang Ziyi two sub-exposure viviparous")</f>
        <v>Zhang Ziyi two sub-exposure viviparous</v>
      </c>
      <c r="D122" s="4" t="s">
        <v>226</v>
      </c>
      <c r="E122" s="4">
        <v>0.0</v>
      </c>
      <c r="F122" s="4">
        <v>21.0</v>
      </c>
      <c r="G122" s="4" t="s">
        <v>227</v>
      </c>
    </row>
    <row r="123">
      <c r="A123" s="1">
        <v>121.0</v>
      </c>
      <c r="B123" s="4" t="s">
        <v>191</v>
      </c>
      <c r="C123" s="5" t="str">
        <f>IFERROR(__xludf.DUMMYFUNCTION("GOOGLETRANSLATE(D:D,""auto"",""en"")"),"Tencent response to violence layoffs")</f>
        <v>Tencent response to violence layoffs</v>
      </c>
      <c r="D123" s="4" t="s">
        <v>143</v>
      </c>
      <c r="E123" s="4">
        <v>0.0</v>
      </c>
      <c r="F123" s="4">
        <v>22.0</v>
      </c>
      <c r="G123" s="4" t="s">
        <v>144</v>
      </c>
    </row>
    <row r="124">
      <c r="A124" s="1">
        <v>122.0</v>
      </c>
      <c r="B124" s="4" t="s">
        <v>191</v>
      </c>
      <c r="C124" s="5" t="str">
        <f>IFERROR(__xludf.DUMMYFUNCTION("GOOGLETRANSLATE(D:D,""auto"",""en"")"),"One night lost one hundred thousand collapse into tears")</f>
        <v>One night lost one hundred thousand collapse into tears</v>
      </c>
      <c r="D124" s="4" t="s">
        <v>228</v>
      </c>
      <c r="E124" s="4">
        <v>0.0</v>
      </c>
      <c r="F124" s="4">
        <v>23.0</v>
      </c>
      <c r="G124" s="4" t="s">
        <v>229</v>
      </c>
    </row>
    <row r="125">
      <c r="A125" s="1">
        <v>123.0</v>
      </c>
      <c r="B125" s="4" t="s">
        <v>191</v>
      </c>
      <c r="C125" s="5" t="str">
        <f>IFERROR(__xludf.DUMMYFUNCTION("GOOGLETRANSLATE(D:D,""auto"",""en"")"),"Chang Cheng quit millet response")</f>
        <v>Chang Cheng quit millet response</v>
      </c>
      <c r="D125" s="4" t="s">
        <v>230</v>
      </c>
      <c r="E125" s="4">
        <v>0.0</v>
      </c>
      <c r="F125" s="4">
        <v>24.0</v>
      </c>
      <c r="G125" s="4" t="s">
        <v>231</v>
      </c>
    </row>
    <row r="126">
      <c r="A126" s="1">
        <v>124.0</v>
      </c>
      <c r="B126" s="4" t="s">
        <v>191</v>
      </c>
      <c r="C126" s="5" t="str">
        <f>IFERROR(__xludf.DUMMYFUNCTION("GOOGLETRANSLATE(D:D,""auto"",""en"")"),"Even behind Chen and Zhao Ruirui")</f>
        <v>Even behind Chen and Zhao Ruirui</v>
      </c>
      <c r="D126" s="4" t="s">
        <v>232</v>
      </c>
      <c r="E126" s="4">
        <v>0.0</v>
      </c>
      <c r="F126" s="4">
        <v>25.0</v>
      </c>
      <c r="G126" s="4" t="s">
        <v>233</v>
      </c>
    </row>
    <row r="127">
      <c r="A127" s="1">
        <v>125.0</v>
      </c>
      <c r="B127" s="4" t="s">
        <v>191</v>
      </c>
      <c r="C127" s="5" t="str">
        <f>IFERROR(__xludf.DUMMYFUNCTION("GOOGLETRANSLATE(D:D,""auto"",""en"")"),"Xiaozhan withdrawal suspect settlement")</f>
        <v>Xiaozhan withdrawal suspect settlement</v>
      </c>
      <c r="D127" s="4" t="s">
        <v>234</v>
      </c>
      <c r="E127" s="4">
        <v>0.0</v>
      </c>
      <c r="F127" s="4">
        <v>26.0</v>
      </c>
      <c r="G127" s="4" t="s">
        <v>235</v>
      </c>
    </row>
    <row r="128">
      <c r="A128" s="1">
        <v>126.0</v>
      </c>
      <c r="B128" s="4" t="s">
        <v>191</v>
      </c>
      <c r="C128" s="5" t="str">
        <f>IFERROR(__xludf.DUMMYFUNCTION("GOOGLETRANSLATE(D:D,""auto"",""en"")"),"Wuhan informed pneumonia")</f>
        <v>Wuhan informed pneumonia</v>
      </c>
      <c r="D128" s="4" t="s">
        <v>236</v>
      </c>
      <c r="E128" s="4">
        <v>0.0</v>
      </c>
      <c r="F128" s="4">
        <v>27.0</v>
      </c>
      <c r="G128" s="4" t="s">
        <v>237</v>
      </c>
    </row>
    <row r="129">
      <c r="A129" s="1">
        <v>127.0</v>
      </c>
      <c r="B129" s="4" t="s">
        <v>191</v>
      </c>
      <c r="C129" s="5" t="str">
        <f>IFERROR(__xludf.DUMMYFUNCTION("GOOGLETRANSLATE(D:D,""auto"",""en"")"),"Gu Ying Lee is now playing the game")</f>
        <v>Gu Ying Lee is now playing the game</v>
      </c>
      <c r="D129" s="4" t="s">
        <v>238</v>
      </c>
      <c r="E129" s="4">
        <v>0.0</v>
      </c>
      <c r="F129" s="4">
        <v>28.0</v>
      </c>
      <c r="G129" s="4" t="s">
        <v>239</v>
      </c>
    </row>
    <row r="130">
      <c r="A130" s="1">
        <v>128.0</v>
      </c>
      <c r="B130" s="4" t="s">
        <v>191</v>
      </c>
      <c r="C130" s="5" t="str">
        <f>IFERROR(__xludf.DUMMYFUNCTION("GOOGLETRANSLATE(D:D,""auto"",""en"")"),"B Station greatly increased the market value of 5 billion")</f>
        <v>B Station greatly increased the market value of 5 billion</v>
      </c>
      <c r="D130" s="4" t="s">
        <v>240</v>
      </c>
      <c r="E130" s="4">
        <v>0.0</v>
      </c>
      <c r="F130" s="4">
        <v>29.0</v>
      </c>
      <c r="G130" s="4" t="s">
        <v>241</v>
      </c>
    </row>
    <row r="131">
      <c r="A131" s="1">
        <v>129.0</v>
      </c>
      <c r="B131" s="4" t="s">
        <v>191</v>
      </c>
      <c r="C131" s="5" t="str">
        <f>IFERROR(__xludf.DUMMYFUNCTION("GOOGLETRANSLATE(D:D,""auto"",""en"")"),"Army Wolf disco version")</f>
        <v>Army Wolf disco version</v>
      </c>
      <c r="D131" s="4" t="s">
        <v>242</v>
      </c>
      <c r="E131" s="4">
        <v>0.0</v>
      </c>
      <c r="F131" s="4">
        <v>30.0</v>
      </c>
      <c r="G131" s="4" t="s">
        <v>243</v>
      </c>
    </row>
    <row r="132">
      <c r="A132" s="1">
        <v>130.0</v>
      </c>
      <c r="B132" s="4" t="s">
        <v>191</v>
      </c>
      <c r="C132" s="5" t="str">
        <f>IFERROR(__xludf.DUMMYFUNCTION("GOOGLETRANSLATE(D:D,""auto"",""en"")"),"Chang Cheng quit the association response")</f>
        <v>Chang Cheng quit the association response</v>
      </c>
      <c r="D132" s="4" t="s">
        <v>163</v>
      </c>
      <c r="E132" s="4">
        <v>0.0</v>
      </c>
      <c r="F132" s="4">
        <v>31.0</v>
      </c>
      <c r="G132" s="4" t="s">
        <v>164</v>
      </c>
    </row>
    <row r="133">
      <c r="A133" s="1">
        <v>131.0</v>
      </c>
      <c r="B133" s="4" t="s">
        <v>191</v>
      </c>
      <c r="C133" s="5" t="str">
        <f>IFERROR(__xludf.DUMMYFUNCTION("GOOGLETRANSLATE(D:D,""auto"",""en"")"),"Deng Chao Sun Li sweet confession")</f>
        <v>Deng Chao Sun Li sweet confession</v>
      </c>
      <c r="D133" s="4" t="s">
        <v>244</v>
      </c>
      <c r="E133" s="4">
        <v>0.0</v>
      </c>
      <c r="F133" s="4">
        <v>32.0</v>
      </c>
      <c r="G133" s="4" t="s">
        <v>245</v>
      </c>
    </row>
    <row r="134">
      <c r="A134" s="1">
        <v>132.0</v>
      </c>
      <c r="B134" s="4" t="s">
        <v>191</v>
      </c>
      <c r="C134" s="5" t="str">
        <f>IFERROR(__xludf.DUMMYFUNCTION("GOOGLETRANSLATE(D:D,""auto"",""en"")"),"Li talk about New Year's Eve finale")</f>
        <v>Li talk about New Year's Eve finale</v>
      </c>
      <c r="D134" s="4" t="s">
        <v>246</v>
      </c>
      <c r="E134" s="4">
        <v>0.0</v>
      </c>
      <c r="F134" s="4">
        <v>33.0</v>
      </c>
      <c r="G134" s="4" t="s">
        <v>247</v>
      </c>
    </row>
    <row r="135">
      <c r="A135" s="1">
        <v>133.0</v>
      </c>
      <c r="B135" s="4" t="s">
        <v>191</v>
      </c>
      <c r="C135" s="5" t="str">
        <f>IFERROR(__xludf.DUMMYFUNCTION("GOOGLETRANSLATE(D:D,""auto"",""en"")"),"2020 wave of large-scale rain and snow")</f>
        <v>2020 wave of large-scale rain and snow</v>
      </c>
      <c r="D135" s="4" t="s">
        <v>248</v>
      </c>
      <c r="E135" s="4">
        <v>0.0</v>
      </c>
      <c r="F135" s="4">
        <v>34.0</v>
      </c>
      <c r="G135" s="4" t="s">
        <v>249</v>
      </c>
    </row>
    <row r="136">
      <c r="A136" s="1">
        <v>134.0</v>
      </c>
      <c r="B136" s="4" t="s">
        <v>191</v>
      </c>
      <c r="C136" s="5" t="str">
        <f>IFERROR(__xludf.DUMMYFUNCTION("GOOGLETRANSLATE(D:D,""auto"",""en"")"),"3.91 million to buy a mobile phone number")</f>
        <v>3.91 million to buy a mobile phone number</v>
      </c>
      <c r="D136" s="4" t="s">
        <v>169</v>
      </c>
      <c r="E136" s="4">
        <v>0.0</v>
      </c>
      <c r="F136" s="4">
        <v>35.0</v>
      </c>
      <c r="G136" s="4" t="s">
        <v>170</v>
      </c>
    </row>
    <row r="137">
      <c r="A137" s="1">
        <v>135.0</v>
      </c>
      <c r="B137" s="4" t="s">
        <v>191</v>
      </c>
      <c r="C137" s="5" t="str">
        <f>IFERROR(__xludf.DUMMYFUNCTION("GOOGLETRANSLATE(D:D,""auto"",""en"")"),"Korea was 5G user Tucao")</f>
        <v>Korea was 5G user Tucao</v>
      </c>
      <c r="D137" s="4" t="s">
        <v>250</v>
      </c>
      <c r="E137" s="4">
        <v>0.0</v>
      </c>
      <c r="F137" s="4">
        <v>36.0</v>
      </c>
      <c r="G137" s="4" t="s">
        <v>251</v>
      </c>
    </row>
    <row r="138">
      <c r="A138" s="1">
        <v>136.0</v>
      </c>
      <c r="B138" s="4" t="s">
        <v>191</v>
      </c>
      <c r="C138" s="5" t="str">
        <f>IFERROR(__xludf.DUMMYFUNCTION("GOOGLETRANSLATE(D:D,""auto"",""en"")"),"Fu Seoul to talk about a second child")</f>
        <v>Fu Seoul to talk about a second child</v>
      </c>
      <c r="D138" s="4" t="s">
        <v>252</v>
      </c>
      <c r="E138" s="4">
        <v>0.0</v>
      </c>
      <c r="F138" s="4">
        <v>37.0</v>
      </c>
      <c r="G138" s="4" t="s">
        <v>253</v>
      </c>
    </row>
    <row r="139">
      <c r="A139" s="1">
        <v>137.0</v>
      </c>
      <c r="B139" s="4" t="s">
        <v>191</v>
      </c>
      <c r="C139" s="5" t="str">
        <f>IFERROR(__xludf.DUMMYFUNCTION("GOOGLETRANSLATE(D:D,""auto"",""en"")"),"Iraq attacked Iran, Major General")</f>
        <v>Iraq attacked Iran, Major General</v>
      </c>
      <c r="D139" s="4" t="s">
        <v>254</v>
      </c>
      <c r="E139" s="4">
        <v>0.0</v>
      </c>
      <c r="F139" s="4">
        <v>38.0</v>
      </c>
      <c r="G139" s="4" t="s">
        <v>255</v>
      </c>
    </row>
    <row r="140">
      <c r="A140" s="1">
        <v>138.0</v>
      </c>
      <c r="B140" s="4" t="s">
        <v>191</v>
      </c>
      <c r="C140" s="5" t="str">
        <f>IFERROR(__xludf.DUMMYFUNCTION("GOOGLETRANSLATE(D:D,""auto"",""en"")"),"2020 Marine Corps MV")</f>
        <v>2020 Marine Corps MV</v>
      </c>
      <c r="D140" s="4" t="s">
        <v>256</v>
      </c>
      <c r="E140" s="4">
        <v>0.0</v>
      </c>
      <c r="F140" s="4">
        <v>39.0</v>
      </c>
      <c r="G140" s="4" t="s">
        <v>257</v>
      </c>
    </row>
    <row r="141">
      <c r="A141" s="1">
        <v>139.0</v>
      </c>
      <c r="B141" s="4" t="s">
        <v>191</v>
      </c>
      <c r="C141" s="5" t="str">
        <f>IFERROR(__xludf.DUMMYFUNCTION("GOOGLETRANSLATE(D:D,""auto"",""en"")"),"Married guy just put four tables wine")</f>
        <v>Married guy just put four tables wine</v>
      </c>
      <c r="D141" s="4" t="s">
        <v>258</v>
      </c>
      <c r="E141" s="4">
        <v>0.0</v>
      </c>
      <c r="F141" s="4">
        <v>40.0</v>
      </c>
      <c r="G141" s="4" t="s">
        <v>259</v>
      </c>
    </row>
    <row r="142">
      <c r="A142" s="1">
        <v>140.0</v>
      </c>
      <c r="B142" s="4" t="s">
        <v>191</v>
      </c>
      <c r="C142" s="5" t="str">
        <f>IFERROR(__xludf.DUMMYFUNCTION("GOOGLETRANSLATE(D:D,""auto"",""en"")"),"Jiamusi airport fire")</f>
        <v>Jiamusi airport fire</v>
      </c>
      <c r="D142" s="4" t="s">
        <v>123</v>
      </c>
      <c r="E142" s="4">
        <v>0.0</v>
      </c>
      <c r="F142" s="4">
        <v>41.0</v>
      </c>
      <c r="G142" s="4" t="s">
        <v>124</v>
      </c>
    </row>
    <row r="143">
      <c r="A143" s="1">
        <v>141.0</v>
      </c>
      <c r="B143" s="4" t="s">
        <v>191</v>
      </c>
      <c r="C143" s="5" t="str">
        <f>IFERROR(__xludf.DUMMYFUNCTION("GOOGLETRANSLATE(D:D,""auto"",""en"")"),"Zhang Xin to take your shoes off in response to high-speed rail")</f>
        <v>Zhang Xin to take your shoes off in response to high-speed rail</v>
      </c>
      <c r="D143" s="4" t="s">
        <v>131</v>
      </c>
      <c r="E143" s="4">
        <v>0.0</v>
      </c>
      <c r="F143" s="4">
        <v>42.0</v>
      </c>
      <c r="G143" s="4" t="s">
        <v>132</v>
      </c>
    </row>
    <row r="144">
      <c r="A144" s="1">
        <v>142.0</v>
      </c>
      <c r="B144" s="4" t="s">
        <v>191</v>
      </c>
      <c r="C144" s="5" t="str">
        <f>IFERROR(__xludf.DUMMYFUNCTION("GOOGLETRANSLATE(D:D,""auto"",""en"")"),"Henan into the center of rain and snow")</f>
        <v>Henan into the center of rain and snow</v>
      </c>
      <c r="D144" s="4" t="s">
        <v>111</v>
      </c>
      <c r="E144" s="4">
        <v>0.0</v>
      </c>
      <c r="F144" s="4">
        <v>43.0</v>
      </c>
      <c r="G144" s="4" t="s">
        <v>112</v>
      </c>
    </row>
    <row r="145">
      <c r="A145" s="1">
        <v>143.0</v>
      </c>
      <c r="B145" s="4" t="s">
        <v>191</v>
      </c>
      <c r="C145" s="5" t="str">
        <f>IFERROR(__xludf.DUMMYFUNCTION("GOOGLETRANSLATE(D:D,""auto"",""en"")"),"Chen and opposition to women's volleyball broadcast")</f>
        <v>Chen and opposition to women's volleyball broadcast</v>
      </c>
      <c r="D145" s="4" t="s">
        <v>121</v>
      </c>
      <c r="E145" s="4">
        <v>0.0</v>
      </c>
      <c r="F145" s="4">
        <v>44.0</v>
      </c>
      <c r="G145" s="4" t="s">
        <v>122</v>
      </c>
    </row>
    <row r="146">
      <c r="A146" s="1">
        <v>144.0</v>
      </c>
      <c r="B146" s="4" t="s">
        <v>191</v>
      </c>
      <c r="C146" s="5" t="str">
        <f>IFERROR(__xludf.DUMMYFUNCTION("GOOGLETRANSLATE(D:D,""auto"",""en"")"),"Baghdad airport attacked")</f>
        <v>Baghdad airport attacked</v>
      </c>
      <c r="D146" s="4" t="s">
        <v>260</v>
      </c>
      <c r="E146" s="4">
        <v>0.0</v>
      </c>
      <c r="F146" s="4">
        <v>45.0</v>
      </c>
      <c r="G146" s="4" t="s">
        <v>261</v>
      </c>
    </row>
    <row r="147">
      <c r="A147" s="1">
        <v>145.0</v>
      </c>
      <c r="B147" s="4" t="s">
        <v>191</v>
      </c>
      <c r="C147" s="5" t="str">
        <f>IFERROR(__xludf.DUMMYFUNCTION("GOOGLETRANSLATE(D:D,""auto"",""en"")"),"Malaysia Airlines responded after take-off return")</f>
        <v>Malaysia Airlines responded after take-off return</v>
      </c>
      <c r="D147" s="4" t="s">
        <v>151</v>
      </c>
      <c r="E147" s="4">
        <v>0.0</v>
      </c>
      <c r="F147" s="4">
        <v>46.0</v>
      </c>
      <c r="G147" s="4" t="s">
        <v>152</v>
      </c>
    </row>
    <row r="148">
      <c r="A148" s="1">
        <v>146.0</v>
      </c>
      <c r="B148" s="4" t="s">
        <v>191</v>
      </c>
      <c r="C148" s="5" t="str">
        <f>IFERROR(__xludf.DUMMYFUNCTION("GOOGLETRANSLATE(D:D,""auto"",""en"")"),"Tianjin women's volleyball team Teng News Network")</f>
        <v>Tianjin women's volleyball team Teng News Network</v>
      </c>
      <c r="D148" s="4" t="s">
        <v>262</v>
      </c>
      <c r="E148" s="4">
        <v>0.0</v>
      </c>
      <c r="F148" s="4">
        <v>47.0</v>
      </c>
      <c r="G148" s="4" t="s">
        <v>263</v>
      </c>
    </row>
    <row r="149">
      <c r="A149" s="1">
        <v>147.0</v>
      </c>
      <c r="B149" s="4" t="s">
        <v>191</v>
      </c>
      <c r="C149" s="5" t="str">
        <f>IFERROR(__xludf.DUMMYFUNCTION("GOOGLETRANSLATE(D:D,""auto"",""en"")"),"Unicom ending 66 is fixed Liang")</f>
        <v>Unicom ending 66 is fixed Liang</v>
      </c>
      <c r="D149" s="4" t="s">
        <v>135</v>
      </c>
      <c r="E149" s="4">
        <v>0.0</v>
      </c>
      <c r="F149" s="4">
        <v>48.0</v>
      </c>
      <c r="G149" s="4" t="s">
        <v>136</v>
      </c>
    </row>
    <row r="150">
      <c r="A150" s="1">
        <v>148.0</v>
      </c>
      <c r="B150" s="4" t="s">
        <v>191</v>
      </c>
      <c r="C150" s="5" t="str">
        <f>IFERROR(__xludf.DUMMYFUNCTION("GOOGLETRANSLATE(D:D,""auto"",""en"")"),"China market capitalization of 500 released")</f>
        <v>China market capitalization of 500 released</v>
      </c>
      <c r="D150" s="4" t="s">
        <v>264</v>
      </c>
      <c r="E150" s="4">
        <v>0.0</v>
      </c>
      <c r="F150" s="4">
        <v>49.0</v>
      </c>
      <c r="G150" s="4" t="s">
        <v>265</v>
      </c>
    </row>
    <row r="151">
      <c r="A151" s="1">
        <v>149.0</v>
      </c>
      <c r="B151" s="4" t="s">
        <v>191</v>
      </c>
      <c r="C151" s="5" t="str">
        <f>IFERROR(__xludf.DUMMYFUNCTION("GOOGLETRANSLATE(D:D,""auto"",""en"")"),"Taiwan Blackhawk black box found")</f>
        <v>Taiwan Blackhawk black box found</v>
      </c>
      <c r="D151" s="4" t="s">
        <v>266</v>
      </c>
      <c r="E151" s="4">
        <v>0.0</v>
      </c>
      <c r="F151" s="4">
        <v>50.0</v>
      </c>
      <c r="G151" s="4" t="s">
        <v>267</v>
      </c>
    </row>
    <row r="152">
      <c r="A152" s="1">
        <v>150.0</v>
      </c>
      <c r="B152" s="4" t="s">
        <v>268</v>
      </c>
      <c r="C152" s="5" t="str">
        <f>IFERROR(__xludf.DUMMYFUNCTION("GOOGLETRANSLATE(D:D,""auto"",""en"")"),"2020's first large-scale rain and snow")</f>
        <v>2020's first large-scale rain and snow</v>
      </c>
      <c r="D152" s="4" t="s">
        <v>269</v>
      </c>
      <c r="E152" s="4">
        <v>0.0</v>
      </c>
      <c r="F152" s="4">
        <v>1.0</v>
      </c>
      <c r="G152" s="4" t="s">
        <v>270</v>
      </c>
    </row>
    <row r="153">
      <c r="A153" s="1">
        <v>151.0</v>
      </c>
      <c r="B153" s="4" t="s">
        <v>268</v>
      </c>
      <c r="C153" s="5" t="str">
        <f>IFERROR(__xludf.DUMMYFUNCTION("GOOGLETRANSLATE(D:D,""auto"",""en"")"),"Jinfu Jiang vocal ex-girlfriend")</f>
        <v>Jinfu Jiang vocal ex-girlfriend</v>
      </c>
      <c r="D153" s="4" t="s">
        <v>271</v>
      </c>
      <c r="E153" s="4">
        <v>0.0</v>
      </c>
      <c r="F153" s="4">
        <v>2.0</v>
      </c>
      <c r="G153" s="4" t="s">
        <v>272</v>
      </c>
    </row>
    <row r="154">
      <c r="A154" s="1">
        <v>152.0</v>
      </c>
      <c r="B154" s="4" t="s">
        <v>268</v>
      </c>
      <c r="C154" s="5" t="str">
        <f>IFERROR(__xludf.DUMMYFUNCTION("GOOGLETRANSLATE(D:D,""auto"",""en"")"),"77-year-old professor of naked tax 82,080,000")</f>
        <v>77-year-old professor of naked tax 82,080,000</v>
      </c>
      <c r="D154" s="4" t="s">
        <v>273</v>
      </c>
      <c r="E154" s="4">
        <v>0.0</v>
      </c>
      <c r="F154" s="4">
        <v>3.0</v>
      </c>
      <c r="G154" s="4" t="s">
        <v>274</v>
      </c>
    </row>
    <row r="155">
      <c r="A155" s="1">
        <v>153.0</v>
      </c>
      <c r="B155" s="4" t="s">
        <v>268</v>
      </c>
      <c r="C155" s="5" t="str">
        <f>IFERROR(__xludf.DUMMYFUNCTION("GOOGLETRANSLATE(D:D,""auto"",""en"")"),"Li Qin style uniforms on line")</f>
        <v>Li Qin style uniforms on line</v>
      </c>
      <c r="D155" s="4" t="s">
        <v>224</v>
      </c>
      <c r="E155" s="4">
        <v>0.0</v>
      </c>
      <c r="F155" s="4">
        <v>4.0</v>
      </c>
      <c r="G155" s="4" t="s">
        <v>225</v>
      </c>
    </row>
    <row r="156">
      <c r="A156" s="1">
        <v>154.0</v>
      </c>
      <c r="B156" s="4" t="s">
        <v>268</v>
      </c>
      <c r="C156" s="5" t="str">
        <f>IFERROR(__xludf.DUMMYFUNCTION("GOOGLETRANSLATE(D:D,""auto"",""en"")"),"Putin to talk about the attack on Iranian military officers")</f>
        <v>Putin to talk about the attack on Iranian military officers</v>
      </c>
      <c r="D156" s="4" t="s">
        <v>275</v>
      </c>
      <c r="E156" s="4">
        <v>0.0</v>
      </c>
      <c r="F156" s="4">
        <v>5.0</v>
      </c>
      <c r="G156" s="4" t="s">
        <v>276</v>
      </c>
    </row>
    <row r="157">
      <c r="A157" s="1">
        <v>155.0</v>
      </c>
      <c r="B157" s="4" t="s">
        <v>268</v>
      </c>
      <c r="C157" s="5" t="str">
        <f>IFERROR(__xludf.DUMMYFUNCTION("GOOGLETRANSLATE(D:D,""auto"",""en"")"),"Li Landi in tears")</f>
        <v>Li Landi in tears</v>
      </c>
      <c r="D157" s="4" t="s">
        <v>277</v>
      </c>
      <c r="E157" s="4">
        <v>0.0</v>
      </c>
      <c r="F157" s="4">
        <v>6.0</v>
      </c>
      <c r="G157" s="4" t="s">
        <v>278</v>
      </c>
    </row>
    <row r="158">
      <c r="A158" s="1">
        <v>156.0</v>
      </c>
      <c r="B158" s="4" t="s">
        <v>268</v>
      </c>
      <c r="C158" s="5" t="str">
        <f>IFERROR(__xludf.DUMMYFUNCTION("GOOGLETRANSLATE(D:D,""auto"",""en"")"),"Major attack on Iran exposed details")</f>
        <v>Major attack on Iran exposed details</v>
      </c>
      <c r="D158" s="4" t="s">
        <v>279</v>
      </c>
      <c r="E158" s="4">
        <v>0.0</v>
      </c>
      <c r="F158" s="4">
        <v>7.0</v>
      </c>
      <c r="G158" s="4" t="s">
        <v>280</v>
      </c>
    </row>
    <row r="159">
      <c r="A159" s="1">
        <v>157.0</v>
      </c>
      <c r="B159" s="4" t="s">
        <v>268</v>
      </c>
      <c r="C159" s="5" t="str">
        <f>IFERROR(__xludf.DUMMYFUNCTION("GOOGLETRANSLATE(D:D,""auto"",""en"")"),"Ma Tianyu Zhang Han lifted")</f>
        <v>Ma Tianyu Zhang Han lifted</v>
      </c>
      <c r="D159" s="4" t="s">
        <v>281</v>
      </c>
      <c r="E159" s="4">
        <v>0.0</v>
      </c>
      <c r="F159" s="4">
        <v>8.0</v>
      </c>
      <c r="G159" s="4" t="s">
        <v>282</v>
      </c>
    </row>
    <row r="160">
      <c r="A160" s="1">
        <v>158.0</v>
      </c>
      <c r="B160" s="4" t="s">
        <v>268</v>
      </c>
      <c r="C160" s="5" t="str">
        <f>IFERROR(__xludf.DUMMYFUNCTION("GOOGLETRANSLATE(D:D,""auto"",""en"")"),"One person then approved the national football")</f>
        <v>One person then approved the national football</v>
      </c>
      <c r="D160" s="4" t="s">
        <v>283</v>
      </c>
      <c r="E160" s="4">
        <v>0.0</v>
      </c>
      <c r="F160" s="4">
        <v>9.0</v>
      </c>
      <c r="G160" s="4" t="s">
        <v>284</v>
      </c>
    </row>
    <row r="161">
      <c r="A161" s="1">
        <v>159.0</v>
      </c>
      <c r="B161" s="4" t="s">
        <v>268</v>
      </c>
      <c r="C161" s="5" t="str">
        <f>IFERROR(__xludf.DUMMYFUNCTION("GOOGLETRANSLATE(D:D,""auto"",""en"")"),"Cities in the United States increased vigilance")</f>
        <v>Cities in the United States increased vigilance</v>
      </c>
      <c r="D161" s="4" t="s">
        <v>285</v>
      </c>
      <c r="E161" s="4">
        <v>0.0</v>
      </c>
      <c r="F161" s="4">
        <v>10.0</v>
      </c>
      <c r="G161" s="4" t="s">
        <v>286</v>
      </c>
    </row>
    <row r="162">
      <c r="A162" s="1">
        <v>160.0</v>
      </c>
      <c r="B162" s="4" t="s">
        <v>268</v>
      </c>
      <c r="C162" s="5" t="str">
        <f>IFERROR(__xludf.DUMMYFUNCTION("GOOGLETRANSLATE(D:D,""auto"",""en"")"),"CBA to open heavy fines")</f>
        <v>CBA to open heavy fines</v>
      </c>
      <c r="D162" s="4" t="s">
        <v>287</v>
      </c>
      <c r="E162" s="4">
        <v>0.0</v>
      </c>
      <c r="F162" s="4">
        <v>11.0</v>
      </c>
      <c r="G162" s="4" t="s">
        <v>288</v>
      </c>
    </row>
    <row r="163">
      <c r="A163" s="1">
        <v>161.0</v>
      </c>
      <c r="B163" s="4" t="s">
        <v>268</v>
      </c>
      <c r="C163" s="5" t="str">
        <f>IFERROR(__xludf.DUMMYFUNCTION("GOOGLETRANSLATE(D:D,""auto"",""en"")"),"Sulaymaniyah remains will transport")</f>
        <v>Sulaymaniyah remains will transport</v>
      </c>
      <c r="D163" s="4" t="s">
        <v>289</v>
      </c>
      <c r="E163" s="4">
        <v>0.0</v>
      </c>
      <c r="F163" s="4">
        <v>12.0</v>
      </c>
      <c r="G163" s="4" t="s">
        <v>290</v>
      </c>
    </row>
    <row r="164">
      <c r="A164" s="1">
        <v>162.0</v>
      </c>
      <c r="B164" s="4" t="s">
        <v>268</v>
      </c>
      <c r="C164" s="5" t="str">
        <f>IFERROR(__xludf.DUMMYFUNCTION("GOOGLETRANSLATE(D:D,""auto"",""en"")"),"Air China responded disclosure of information")</f>
        <v>Air China responded disclosure of information</v>
      </c>
      <c r="D164" s="4" t="s">
        <v>291</v>
      </c>
      <c r="E164" s="4">
        <v>0.0</v>
      </c>
      <c r="F164" s="4">
        <v>13.0</v>
      </c>
      <c r="G164" s="4" t="s">
        <v>292</v>
      </c>
    </row>
    <row r="165">
      <c r="A165" s="1">
        <v>163.0</v>
      </c>
      <c r="B165" s="4" t="s">
        <v>268</v>
      </c>
      <c r="C165" s="5" t="str">
        <f>IFERROR(__xludf.DUMMYFUNCTION("GOOGLETRANSLATE(D:D,""auto"",""en"")"),"Iran said it would retaliate United States")</f>
        <v>Iran said it would retaliate United States</v>
      </c>
      <c r="D165" s="4" t="s">
        <v>293</v>
      </c>
      <c r="E165" s="4">
        <v>0.0</v>
      </c>
      <c r="F165" s="4">
        <v>14.0</v>
      </c>
      <c r="G165" s="4" t="s">
        <v>294</v>
      </c>
    </row>
    <row r="166">
      <c r="A166" s="1">
        <v>164.0</v>
      </c>
      <c r="B166" s="4" t="s">
        <v>268</v>
      </c>
      <c r="C166" s="5" t="str">
        <f>IFERROR(__xludf.DUMMYFUNCTION("GOOGLETRANSLATE(D:D,""auto"",""en"")"),"On the high-speed toll abnormal official")</f>
        <v>On the high-speed toll abnormal official</v>
      </c>
      <c r="D166" s="4" t="s">
        <v>295</v>
      </c>
      <c r="E166" s="4">
        <v>0.0</v>
      </c>
      <c r="F166" s="4">
        <v>15.0</v>
      </c>
      <c r="G166" s="4" t="s">
        <v>296</v>
      </c>
    </row>
    <row r="167">
      <c r="A167" s="1">
        <v>165.0</v>
      </c>
      <c r="B167" s="4" t="s">
        <v>268</v>
      </c>
      <c r="C167" s="5" t="str">
        <f>IFERROR(__xludf.DUMMYFUNCTION("GOOGLETRANSLATE(D:D,""auto"",""en"")"),"Zhu Yuling victory over Meng")</f>
        <v>Zhu Yuling victory over Meng</v>
      </c>
      <c r="D167" s="4" t="s">
        <v>297</v>
      </c>
      <c r="E167" s="4">
        <v>0.0</v>
      </c>
      <c r="F167" s="4">
        <v>16.0</v>
      </c>
      <c r="G167" s="4" t="s">
        <v>298</v>
      </c>
    </row>
    <row r="168">
      <c r="A168" s="1">
        <v>166.0</v>
      </c>
      <c r="B168" s="4" t="s">
        <v>268</v>
      </c>
      <c r="C168" s="5" t="str">
        <f>IFERROR(__xludf.DUMMYFUNCTION("GOOGLETRANSLATE(D:D,""auto"",""en"")"),"Xiaozhan sun cat to visit the set photos")</f>
        <v>Xiaozhan sun cat to visit the set photos</v>
      </c>
      <c r="D168" s="4" t="s">
        <v>299</v>
      </c>
      <c r="E168" s="4">
        <v>0.0</v>
      </c>
      <c r="F168" s="4">
        <v>17.0</v>
      </c>
      <c r="G168" s="4" t="s">
        <v>300</v>
      </c>
    </row>
    <row r="169">
      <c r="A169" s="1">
        <v>167.0</v>
      </c>
      <c r="B169" s="4" t="s">
        <v>268</v>
      </c>
      <c r="C169" s="5" t="str">
        <f>IFERROR(__xludf.DUMMYFUNCTION("GOOGLETRANSLATE(D:D,""auto"",""en"")"),"People's Daily, the three asked ETC")</f>
        <v>People's Daily, the three asked ETC</v>
      </c>
      <c r="D169" s="4" t="s">
        <v>301</v>
      </c>
      <c r="E169" s="4">
        <v>0.0</v>
      </c>
      <c r="F169" s="4">
        <v>18.0</v>
      </c>
      <c r="G169" s="4" t="s">
        <v>302</v>
      </c>
    </row>
    <row r="170">
      <c r="A170" s="1">
        <v>168.0</v>
      </c>
      <c r="B170" s="4" t="s">
        <v>268</v>
      </c>
      <c r="C170" s="5" t="str">
        <f>IFERROR(__xludf.DUMMYFUNCTION("GOOGLETRANSLATE(D:D,""auto"",""en"")"),"Washington on alert")</f>
        <v>Washington on alert</v>
      </c>
      <c r="D170" s="4" t="s">
        <v>303</v>
      </c>
      <c r="E170" s="4">
        <v>0.0</v>
      </c>
      <c r="F170" s="4">
        <v>19.0</v>
      </c>
      <c r="G170" s="4" t="s">
        <v>304</v>
      </c>
    </row>
    <row r="171">
      <c r="A171" s="1">
        <v>169.0</v>
      </c>
      <c r="B171" s="4" t="s">
        <v>268</v>
      </c>
      <c r="C171" s="5" t="str">
        <f>IFERROR(__xludf.DUMMYFUNCTION("GOOGLETRANSLATE(D:D,""auto"",""en"")"),"Zhu Yuling strong win")</f>
        <v>Zhu Yuling strong win</v>
      </c>
      <c r="D171" s="4" t="s">
        <v>305</v>
      </c>
      <c r="E171" s="4">
        <v>0.0</v>
      </c>
      <c r="F171" s="4">
        <v>20.0</v>
      </c>
      <c r="G171" s="4" t="s">
        <v>306</v>
      </c>
    </row>
    <row r="172">
      <c r="A172" s="1">
        <v>170.0</v>
      </c>
      <c r="B172" s="4" t="s">
        <v>268</v>
      </c>
      <c r="C172" s="5" t="str">
        <f>IFERROR(__xludf.DUMMYFUNCTION("GOOGLETRANSLATE(D:D,""auto"",""en"")"),"Sulejmani funeral")</f>
        <v>Sulejmani funeral</v>
      </c>
      <c r="D172" s="4" t="s">
        <v>307</v>
      </c>
      <c r="E172" s="4">
        <v>0.0</v>
      </c>
      <c r="F172" s="4">
        <v>21.0</v>
      </c>
      <c r="G172" s="4" t="s">
        <v>308</v>
      </c>
    </row>
    <row r="173">
      <c r="A173" s="1">
        <v>171.0</v>
      </c>
      <c r="B173" s="4" t="s">
        <v>268</v>
      </c>
      <c r="C173" s="5" t="str">
        <f>IFERROR(__xludf.DUMMYFUNCTION("GOOGLETRANSLATE(D:D,""auto"",""en"")"),"Wuhan informed pneumonia")</f>
        <v>Wuhan informed pneumonia</v>
      </c>
      <c r="D173" s="4" t="s">
        <v>236</v>
      </c>
      <c r="E173" s="4">
        <v>0.0</v>
      </c>
      <c r="F173" s="4">
        <v>22.0</v>
      </c>
      <c r="G173" s="4" t="s">
        <v>237</v>
      </c>
    </row>
    <row r="174">
      <c r="A174" s="1">
        <v>172.0</v>
      </c>
      <c r="B174" s="4" t="s">
        <v>268</v>
      </c>
      <c r="C174" s="5" t="str">
        <f>IFERROR(__xludf.DUMMYFUNCTION("GOOGLETRANSLATE(D:D,""auto"",""en"")"),"Iran three days of national mourning")</f>
        <v>Iran three days of national mourning</v>
      </c>
      <c r="D174" s="4" t="s">
        <v>216</v>
      </c>
      <c r="E174" s="4">
        <v>0.0</v>
      </c>
      <c r="F174" s="4">
        <v>23.0</v>
      </c>
      <c r="G174" s="4" t="s">
        <v>217</v>
      </c>
    </row>
    <row r="175">
      <c r="A175" s="1">
        <v>173.0</v>
      </c>
      <c r="B175" s="4" t="s">
        <v>268</v>
      </c>
      <c r="C175" s="5" t="str">
        <f>IFERROR(__xludf.DUMMYFUNCTION("GOOGLETRANSLATE(D:D,""auto"",""en"")"),"The US State Department issued an urgent warning")</f>
        <v>The US State Department issued an urgent warning</v>
      </c>
      <c r="D175" s="4" t="s">
        <v>222</v>
      </c>
      <c r="E175" s="4">
        <v>0.0</v>
      </c>
      <c r="F175" s="4">
        <v>24.0</v>
      </c>
      <c r="G175" s="4" t="s">
        <v>223</v>
      </c>
    </row>
    <row r="176">
      <c r="A176" s="1">
        <v>174.0</v>
      </c>
      <c r="B176" s="4" t="s">
        <v>268</v>
      </c>
      <c r="C176" s="5" t="str">
        <f>IFERROR(__xludf.DUMMYFUNCTION("GOOGLETRANSLATE(D:D,""auto"",""en"")"),"Zhang Ziyi suspect was traced to the delivery room")</f>
        <v>Zhang Ziyi suspect was traced to the delivery room</v>
      </c>
      <c r="D176" s="4" t="s">
        <v>309</v>
      </c>
      <c r="E176" s="4">
        <v>0.0</v>
      </c>
      <c r="F176" s="4">
        <v>25.0</v>
      </c>
      <c r="G176" s="4" t="s">
        <v>310</v>
      </c>
    </row>
    <row r="177">
      <c r="A177" s="1">
        <v>175.0</v>
      </c>
      <c r="B177" s="4" t="s">
        <v>268</v>
      </c>
      <c r="C177" s="5" t="str">
        <f>IFERROR(__xludf.DUMMYFUNCTION("GOOGLETRANSLATE(D:D,""auto"",""en"")"),"New drops suspended driver review")</f>
        <v>New drops suspended driver review</v>
      </c>
      <c r="D177" s="4" t="s">
        <v>311</v>
      </c>
      <c r="E177" s="4">
        <v>0.0</v>
      </c>
      <c r="F177" s="4">
        <v>26.0</v>
      </c>
      <c r="G177" s="4" t="s">
        <v>312</v>
      </c>
    </row>
    <row r="178">
      <c r="A178" s="1">
        <v>176.0</v>
      </c>
      <c r="B178" s="4" t="s">
        <v>268</v>
      </c>
      <c r="C178" s="5" t="str">
        <f>IFERROR(__xludf.DUMMYFUNCTION("GOOGLETRANSLATE(D:D,""auto"",""en"")"),"Iranians burning the American flag")</f>
        <v>Iranians burning the American flag</v>
      </c>
      <c r="D178" s="4" t="s">
        <v>313</v>
      </c>
      <c r="E178" s="4">
        <v>0.0</v>
      </c>
      <c r="F178" s="4">
        <v>27.0</v>
      </c>
      <c r="G178" s="4" t="s">
        <v>314</v>
      </c>
    </row>
    <row r="179">
      <c r="A179" s="1">
        <v>177.0</v>
      </c>
      <c r="B179" s="4" t="s">
        <v>268</v>
      </c>
      <c r="C179" s="5" t="str">
        <f>IFERROR(__xludf.DUMMYFUNCTION("GOOGLETRANSLATE(D:D,""auto"",""en"")"),"Jiayin Lei couple with box")</f>
        <v>Jiayin Lei couple with box</v>
      </c>
      <c r="D179" s="4" t="s">
        <v>315</v>
      </c>
      <c r="E179" s="4">
        <v>0.0</v>
      </c>
      <c r="F179" s="4">
        <v>28.0</v>
      </c>
      <c r="G179" s="4" t="s">
        <v>316</v>
      </c>
    </row>
    <row r="180">
      <c r="A180" s="1">
        <v>178.0</v>
      </c>
      <c r="B180" s="4" t="s">
        <v>268</v>
      </c>
      <c r="C180" s="5" t="str">
        <f>IFERROR(__xludf.DUMMYFUNCTION("GOOGLETRANSLATE(D:D,""auto"",""en"")"),"Fan Bingbing Li to further cooperation")</f>
        <v>Fan Bingbing Li to further cooperation</v>
      </c>
      <c r="D180" s="4" t="s">
        <v>317</v>
      </c>
      <c r="E180" s="4">
        <v>0.0</v>
      </c>
      <c r="F180" s="4">
        <v>29.0</v>
      </c>
      <c r="G180" s="4" t="s">
        <v>318</v>
      </c>
    </row>
    <row r="181">
      <c r="A181" s="1">
        <v>179.0</v>
      </c>
      <c r="B181" s="4" t="s">
        <v>268</v>
      </c>
      <c r="C181" s="5" t="str">
        <f>IFERROR(__xludf.DUMMYFUNCTION("GOOGLETRANSLATE(D:D,""auto"",""en"")"),"Black Box Black Hawk completed initial impression")</f>
        <v>Black Box Black Hawk completed initial impression</v>
      </c>
      <c r="D181" s="4" t="s">
        <v>319</v>
      </c>
      <c r="E181" s="4">
        <v>0.0</v>
      </c>
      <c r="F181" s="4">
        <v>30.0</v>
      </c>
      <c r="G181" s="4" t="s">
        <v>320</v>
      </c>
    </row>
    <row r="182">
      <c r="A182" s="1">
        <v>180.0</v>
      </c>
      <c r="B182" s="4" t="s">
        <v>268</v>
      </c>
      <c r="C182" s="5" t="str">
        <f>IFERROR(__xludf.DUMMYFUNCTION("GOOGLETRANSLATE(D:D,""auto"",""en"")"),"12 year-old boy saved the whole building residents")</f>
        <v>12 year-old boy saved the whole building residents</v>
      </c>
      <c r="D182" s="4" t="s">
        <v>321</v>
      </c>
      <c r="E182" s="4">
        <v>0.0</v>
      </c>
      <c r="F182" s="4">
        <v>31.0</v>
      </c>
      <c r="G182" s="4" t="s">
        <v>322</v>
      </c>
    </row>
    <row r="183">
      <c r="A183" s="1">
        <v>181.0</v>
      </c>
      <c r="B183" s="4" t="s">
        <v>268</v>
      </c>
      <c r="C183" s="5" t="str">
        <f>IFERROR(__xludf.DUMMYFUNCTION("GOOGLETRANSLATE(D:D,""auto"",""en"")"),"Amber recalls Shirley")</f>
        <v>Amber recalls Shirley</v>
      </c>
      <c r="D183" s="4" t="s">
        <v>323</v>
      </c>
      <c r="E183" s="4">
        <v>0.0</v>
      </c>
      <c r="F183" s="4">
        <v>32.0</v>
      </c>
      <c r="G183" s="4" t="s">
        <v>324</v>
      </c>
    </row>
    <row r="184">
      <c r="A184" s="1">
        <v>182.0</v>
      </c>
      <c r="B184" s="4" t="s">
        <v>268</v>
      </c>
      <c r="C184" s="5" t="str">
        <f>IFERROR(__xludf.DUMMYFUNCTION("GOOGLETRANSLATE(D:D,""auto"",""en"")"),"Hebei, a woman was kept for 20 years")</f>
        <v>Hebei, a woman was kept for 20 years</v>
      </c>
      <c r="D184" s="4" t="s">
        <v>325</v>
      </c>
      <c r="E184" s="4">
        <v>0.0</v>
      </c>
      <c r="F184" s="4">
        <v>33.0</v>
      </c>
      <c r="G184" s="4" t="s">
        <v>326</v>
      </c>
    </row>
    <row r="185">
      <c r="A185" s="1">
        <v>183.0</v>
      </c>
      <c r="B185" s="4" t="s">
        <v>268</v>
      </c>
      <c r="C185" s="5" t="str">
        <f>IFERROR(__xludf.DUMMYFUNCTION("GOOGLETRANSLATE(D:D,""auto"",""en"")"),"Zhao Liying hate rainbow fart fans")</f>
        <v>Zhao Liying hate rainbow fart fans</v>
      </c>
      <c r="D185" s="4" t="s">
        <v>327</v>
      </c>
      <c r="E185" s="4">
        <v>0.0</v>
      </c>
      <c r="F185" s="4">
        <v>34.0</v>
      </c>
      <c r="G185" s="4" t="s">
        <v>328</v>
      </c>
    </row>
    <row r="186">
      <c r="A186" s="1">
        <v>184.0</v>
      </c>
      <c r="B186" s="4" t="s">
        <v>268</v>
      </c>
      <c r="C186" s="5" t="str">
        <f>IFERROR(__xludf.DUMMYFUNCTION("GOOGLETRANSLATE(D:D,""auto"",""en"")"),"Trump ordered air strikes")</f>
        <v>Trump ordered air strikes</v>
      </c>
      <c r="D186" s="4" t="s">
        <v>210</v>
      </c>
      <c r="E186" s="4">
        <v>0.0</v>
      </c>
      <c r="F186" s="4">
        <v>35.0</v>
      </c>
      <c r="G186" s="4" t="s">
        <v>211</v>
      </c>
    </row>
    <row r="187">
      <c r="A187" s="1">
        <v>185.0</v>
      </c>
      <c r="B187" s="4" t="s">
        <v>268</v>
      </c>
      <c r="C187" s="5" t="str">
        <f>IFERROR(__xludf.DUMMYFUNCTION("GOOGLETRANSLATE(D:D,""auto"",""en"")"),"Jinfu Jiang prosecution of ex-girlfriend")</f>
        <v>Jinfu Jiang prosecution of ex-girlfriend</v>
      </c>
      <c r="D187" s="4" t="s">
        <v>220</v>
      </c>
      <c r="E187" s="4">
        <v>0.0</v>
      </c>
      <c r="F187" s="4">
        <v>36.0</v>
      </c>
      <c r="G187" s="4" t="s">
        <v>221</v>
      </c>
    </row>
    <row r="188">
      <c r="A188" s="1">
        <v>186.0</v>
      </c>
      <c r="B188" s="4" t="s">
        <v>268</v>
      </c>
      <c r="C188" s="5" t="str">
        <f>IFERROR(__xludf.DUMMYFUNCTION("GOOGLETRANSLATE(D:D,""auto"",""en"")"),"Xiaozhan withdrawal suspect settlement")</f>
        <v>Xiaozhan withdrawal suspect settlement</v>
      </c>
      <c r="D188" s="4" t="s">
        <v>234</v>
      </c>
      <c r="E188" s="4">
        <v>0.0</v>
      </c>
      <c r="F188" s="4">
        <v>37.0</v>
      </c>
      <c r="G188" s="4" t="s">
        <v>235</v>
      </c>
    </row>
    <row r="189">
      <c r="A189" s="1">
        <v>187.0</v>
      </c>
      <c r="B189" s="4" t="s">
        <v>268</v>
      </c>
      <c r="C189" s="5" t="str">
        <f>IFERROR(__xludf.DUMMYFUNCTION("GOOGLETRANSLATE(D:D,""auto"",""en"")"),"Wu Lei hasty shave")</f>
        <v>Wu Lei hasty shave</v>
      </c>
      <c r="D189" s="4" t="s">
        <v>329</v>
      </c>
      <c r="E189" s="4">
        <v>0.0</v>
      </c>
      <c r="F189" s="4">
        <v>38.0</v>
      </c>
      <c r="G189" s="4" t="s">
        <v>330</v>
      </c>
    </row>
    <row r="190">
      <c r="A190" s="1">
        <v>188.0</v>
      </c>
      <c r="B190" s="4" t="s">
        <v>268</v>
      </c>
      <c r="C190" s="5" t="str">
        <f>IFERROR(__xludf.DUMMYFUNCTION("GOOGLETRANSLATE(D:D,""auto"",""en"")"),"Zhang Xuan official second child birth")</f>
        <v>Zhang Xuan official second child birth</v>
      </c>
      <c r="D190" s="4" t="s">
        <v>208</v>
      </c>
      <c r="E190" s="4">
        <v>0.0</v>
      </c>
      <c r="F190" s="4">
        <v>39.0</v>
      </c>
      <c r="G190" s="4" t="s">
        <v>209</v>
      </c>
    </row>
    <row r="191">
      <c r="A191" s="1">
        <v>189.0</v>
      </c>
      <c r="B191" s="4" t="s">
        <v>268</v>
      </c>
      <c r="C191" s="5" t="str">
        <f>IFERROR(__xludf.DUMMYFUNCTION("GOOGLETRANSLATE(D:D,""auto"",""en"")"),"Tong Yao seconds delete eat melon article")</f>
        <v>Tong Yao seconds delete eat melon article</v>
      </c>
      <c r="D191" s="4" t="s">
        <v>331</v>
      </c>
      <c r="E191" s="4">
        <v>0.0</v>
      </c>
      <c r="F191" s="4">
        <v>40.0</v>
      </c>
      <c r="G191" s="4" t="s">
        <v>332</v>
      </c>
    </row>
    <row r="192">
      <c r="A192" s="1">
        <v>190.0</v>
      </c>
      <c r="B192" s="4" t="s">
        <v>268</v>
      </c>
      <c r="C192" s="5" t="str">
        <f>IFERROR(__xludf.DUMMYFUNCTION("GOOGLETRANSLATE(D:D,""auto"",""en"")"),"Shenyang, a bus burst fire")</f>
        <v>Shenyang, a bus burst fire</v>
      </c>
      <c r="D192" s="4" t="s">
        <v>147</v>
      </c>
      <c r="E192" s="4">
        <v>0.0</v>
      </c>
      <c r="F192" s="4">
        <v>41.0</v>
      </c>
      <c r="G192" s="4" t="s">
        <v>148</v>
      </c>
    </row>
    <row r="193">
      <c r="A193" s="1">
        <v>191.0</v>
      </c>
      <c r="B193" s="4" t="s">
        <v>268</v>
      </c>
      <c r="C193" s="5" t="str">
        <f>IFERROR(__xludf.DUMMYFUNCTION("GOOGLETRANSLATE(D:D,""auto"",""en"")"),"Deng Chao appeared in a family of four")</f>
        <v>Deng Chao appeared in a family of four</v>
      </c>
      <c r="D193" s="4" t="s">
        <v>333</v>
      </c>
      <c r="E193" s="4">
        <v>0.0</v>
      </c>
      <c r="F193" s="4">
        <v>42.0</v>
      </c>
      <c r="G193" s="4" t="s">
        <v>334</v>
      </c>
    </row>
    <row r="194">
      <c r="A194" s="1">
        <v>192.0</v>
      </c>
      <c r="B194" s="4" t="s">
        <v>268</v>
      </c>
      <c r="C194" s="5" t="str">
        <f>IFERROR(__xludf.DUMMYFUNCTION("GOOGLETRANSLATE(D:D,""auto"",""en"")"),"He noted Qingyu in error")</f>
        <v>He noted Qingyu in error</v>
      </c>
      <c r="D194" s="4" t="s">
        <v>335</v>
      </c>
      <c r="E194" s="4">
        <v>0.0</v>
      </c>
      <c r="F194" s="4">
        <v>43.0</v>
      </c>
      <c r="G194" s="4" t="s">
        <v>336</v>
      </c>
    </row>
    <row r="195">
      <c r="A195" s="1">
        <v>193.0</v>
      </c>
      <c r="B195" s="4" t="s">
        <v>268</v>
      </c>
      <c r="C195" s="5" t="str">
        <f>IFERROR(__xludf.DUMMYFUNCTION("GOOGLETRANSLATE(D:D,""auto"",""en"")"),"Fan Bingbing debut feather cloak")</f>
        <v>Fan Bingbing debut feather cloak</v>
      </c>
      <c r="D195" s="4" t="s">
        <v>337</v>
      </c>
      <c r="E195" s="4">
        <v>0.0</v>
      </c>
      <c r="F195" s="4">
        <v>44.0</v>
      </c>
      <c r="G195" s="4" t="s">
        <v>338</v>
      </c>
    </row>
    <row r="196">
      <c r="A196" s="1">
        <v>194.0</v>
      </c>
      <c r="B196" s="4" t="s">
        <v>268</v>
      </c>
      <c r="C196" s="5" t="str">
        <f>IFERROR(__xludf.DUMMYFUNCTION("GOOGLETRANSLATE(D:D,""auto"",""en"")"),"One night lost one hundred thousand collapse into tears")</f>
        <v>One night lost one hundred thousand collapse into tears</v>
      </c>
      <c r="D196" s="4" t="s">
        <v>228</v>
      </c>
      <c r="E196" s="4">
        <v>0.0</v>
      </c>
      <c r="F196" s="4">
        <v>45.0</v>
      </c>
      <c r="G196" s="4" t="s">
        <v>229</v>
      </c>
    </row>
    <row r="197">
      <c r="A197" s="1">
        <v>195.0</v>
      </c>
      <c r="B197" s="4" t="s">
        <v>268</v>
      </c>
      <c r="C197" s="5" t="str">
        <f>IFERROR(__xludf.DUMMYFUNCTION("GOOGLETRANSLATE(D:D,""auto"",""en"")"),"Boiled Yellow River in Inner Mongolia now")</f>
        <v>Boiled Yellow River in Inner Mongolia now</v>
      </c>
      <c r="D197" s="4" t="s">
        <v>339</v>
      </c>
      <c r="E197" s="4">
        <v>0.0</v>
      </c>
      <c r="F197" s="4">
        <v>46.0</v>
      </c>
      <c r="G197" s="4" t="s">
        <v>340</v>
      </c>
    </row>
    <row r="198">
      <c r="A198" s="1">
        <v>196.0</v>
      </c>
      <c r="B198" s="4" t="s">
        <v>268</v>
      </c>
      <c r="C198" s="5" t="str">
        <f>IFERROR(__xludf.DUMMYFUNCTION("GOOGLETRANSLATE(D:D,""auto"",""en"")"),"Jimmy Lin sing classical repertoire")</f>
        <v>Jimmy Lin sing classical repertoire</v>
      </c>
      <c r="D198" s="4" t="s">
        <v>341</v>
      </c>
      <c r="E198" s="4">
        <v>0.0</v>
      </c>
      <c r="F198" s="4">
        <v>47.0</v>
      </c>
      <c r="G198" s="4" t="s">
        <v>342</v>
      </c>
    </row>
    <row r="199">
      <c r="A199" s="1">
        <v>197.0</v>
      </c>
      <c r="B199" s="4" t="s">
        <v>268</v>
      </c>
      <c r="C199" s="5" t="str">
        <f>IFERROR(__xludf.DUMMYFUNCTION("GOOGLETRANSLATE(D:D,""auto"",""en"")"),"Courier will be divided into five grades")</f>
        <v>Courier will be divided into five grades</v>
      </c>
      <c r="D199" s="4" t="s">
        <v>218</v>
      </c>
      <c r="E199" s="4">
        <v>0.0</v>
      </c>
      <c r="F199" s="4">
        <v>48.0</v>
      </c>
      <c r="G199" s="4" t="s">
        <v>219</v>
      </c>
    </row>
    <row r="200">
      <c r="A200" s="1">
        <v>198.0</v>
      </c>
      <c r="B200" s="4" t="s">
        <v>268</v>
      </c>
      <c r="C200" s="5" t="str">
        <f>IFERROR(__xludf.DUMMYFUNCTION("GOOGLETRANSLATE(D:D,""auto"",""en"")"),"Basketball subsequent conflict Jiangsu")</f>
        <v>Basketball subsequent conflict Jiangsu</v>
      </c>
      <c r="D200" s="4" t="s">
        <v>343</v>
      </c>
      <c r="E200" s="4">
        <v>0.0</v>
      </c>
      <c r="F200" s="4">
        <v>49.0</v>
      </c>
      <c r="G200" s="4" t="s">
        <v>344</v>
      </c>
    </row>
    <row r="201">
      <c r="A201" s="1">
        <v>199.0</v>
      </c>
      <c r="B201" s="4" t="s">
        <v>268</v>
      </c>
      <c r="C201" s="5" t="str">
        <f>IFERROR(__xludf.DUMMYFUNCTION("GOOGLETRANSLATE(D:D,""auto"",""en"")"),"Karena Ng Raymond talk about marriage")</f>
        <v>Karena Ng Raymond talk about marriage</v>
      </c>
      <c r="D201" s="4" t="s">
        <v>345</v>
      </c>
      <c r="E201" s="4">
        <v>0.0</v>
      </c>
      <c r="F201" s="4">
        <v>50.0</v>
      </c>
      <c r="G201" s="4" t="s">
        <v>346</v>
      </c>
    </row>
    <row r="202">
      <c r="A202" s="1">
        <v>200.0</v>
      </c>
      <c r="B202" s="4" t="s">
        <v>347</v>
      </c>
      <c r="C202" s="5" t="str">
        <f>IFERROR(__xludf.DUMMYFUNCTION("GOOGLETRANSLATE(D:D,""auto"",""en"")"),"Sulejmani funeral")</f>
        <v>Sulejmani funeral</v>
      </c>
      <c r="D202" s="4" t="s">
        <v>307</v>
      </c>
      <c r="E202" s="4">
        <v>0.0</v>
      </c>
      <c r="F202" s="4">
        <v>1.0</v>
      </c>
      <c r="G202" s="4" t="s">
        <v>308</v>
      </c>
    </row>
    <row r="203">
      <c r="A203" s="1">
        <v>201.0</v>
      </c>
      <c r="B203" s="4" t="s">
        <v>347</v>
      </c>
      <c r="C203" s="5" t="str">
        <f>IFERROR(__xludf.DUMMYFUNCTION("GOOGLETRANSLATE(D:D,""auto"",""en"")"),"Iran said it would retaliate United States")</f>
        <v>Iran said it would retaliate United States</v>
      </c>
      <c r="D203" s="4" t="s">
        <v>293</v>
      </c>
      <c r="E203" s="4">
        <v>0.0</v>
      </c>
      <c r="F203" s="4">
        <v>2.0</v>
      </c>
      <c r="G203" s="4" t="s">
        <v>294</v>
      </c>
    </row>
    <row r="204">
      <c r="A204" s="1">
        <v>202.0</v>
      </c>
      <c r="B204" s="4" t="s">
        <v>347</v>
      </c>
      <c r="C204" s="5" t="str">
        <f>IFERROR(__xludf.DUMMYFUNCTION("GOOGLETRANSLATE(D:D,""auto"",""en"")"),"Zhao Liying hate rainbow fart fans")</f>
        <v>Zhao Liying hate rainbow fart fans</v>
      </c>
      <c r="D204" s="4" t="s">
        <v>327</v>
      </c>
      <c r="E204" s="4">
        <v>0.0</v>
      </c>
      <c r="F204" s="4">
        <v>3.0</v>
      </c>
      <c r="G204" s="4" t="s">
        <v>328</v>
      </c>
    </row>
    <row r="205">
      <c r="A205" s="1">
        <v>203.0</v>
      </c>
      <c r="B205" s="4" t="s">
        <v>347</v>
      </c>
      <c r="C205" s="5" t="str">
        <f>IFERROR(__xludf.DUMMYFUNCTION("GOOGLETRANSLATE(D:D,""auto"",""en"")"),"Hebei, a woman was kept for 20 years")</f>
        <v>Hebei, a woman was kept for 20 years</v>
      </c>
      <c r="D205" s="4" t="s">
        <v>325</v>
      </c>
      <c r="E205" s="4">
        <v>0.0</v>
      </c>
      <c r="F205" s="4">
        <v>4.0</v>
      </c>
      <c r="G205" s="4" t="s">
        <v>326</v>
      </c>
    </row>
    <row r="206">
      <c r="A206" s="1">
        <v>204.0</v>
      </c>
      <c r="B206" s="4" t="s">
        <v>347</v>
      </c>
      <c r="C206" s="5" t="str">
        <f>IFERROR(__xludf.DUMMYFUNCTION("GOOGLETRANSLATE(D:D,""auto"",""en"")"),"QG win Flying Cow tears")</f>
        <v>QG win Flying Cow tears</v>
      </c>
      <c r="D206" s="4" t="s">
        <v>348</v>
      </c>
      <c r="E206" s="4">
        <v>0.0</v>
      </c>
      <c r="F206" s="4">
        <v>5.0</v>
      </c>
      <c r="G206" s="4" t="s">
        <v>349</v>
      </c>
    </row>
    <row r="207">
      <c r="A207" s="1">
        <v>205.0</v>
      </c>
      <c r="B207" s="4" t="s">
        <v>347</v>
      </c>
      <c r="C207" s="5" t="str">
        <f>IFERROR(__xludf.DUMMYFUNCTION("GOOGLETRANSLATE(D:D,""auto"",""en"")"),"Zhu Yuling strong win")</f>
        <v>Zhu Yuling strong win</v>
      </c>
      <c r="D207" s="4" t="s">
        <v>305</v>
      </c>
      <c r="E207" s="4">
        <v>0.0</v>
      </c>
      <c r="F207" s="4">
        <v>6.0</v>
      </c>
      <c r="G207" s="4" t="s">
        <v>306</v>
      </c>
    </row>
    <row r="208">
      <c r="A208" s="1">
        <v>206.0</v>
      </c>
      <c r="B208" s="4" t="s">
        <v>347</v>
      </c>
      <c r="C208" s="5" t="str">
        <f>IFERROR(__xludf.DUMMYFUNCTION("GOOGLETRANSLATE(D:D,""auto"",""en"")"),"New drops suspended driver review")</f>
        <v>New drops suspended driver review</v>
      </c>
      <c r="D208" s="4" t="s">
        <v>311</v>
      </c>
      <c r="E208" s="4">
        <v>0.0</v>
      </c>
      <c r="F208" s="4">
        <v>7.0</v>
      </c>
      <c r="G208" s="4" t="s">
        <v>312</v>
      </c>
    </row>
    <row r="209">
      <c r="A209" s="1">
        <v>207.0</v>
      </c>
      <c r="B209" s="4" t="s">
        <v>347</v>
      </c>
      <c r="C209" s="5" t="str">
        <f>IFERROR(__xludf.DUMMYFUNCTION("GOOGLETRANSLATE(D:D,""auto"",""en"")"),"Zhuhai Xiangzhou 3.5 earthquake")</f>
        <v>Zhuhai Xiangzhou 3.5 earthquake</v>
      </c>
      <c r="D209" s="4" t="s">
        <v>350</v>
      </c>
      <c r="E209" s="4">
        <v>0.0</v>
      </c>
      <c r="F209" s="4">
        <v>8.0</v>
      </c>
      <c r="G209" s="4" t="s">
        <v>351</v>
      </c>
    </row>
    <row r="210">
      <c r="A210" s="1">
        <v>208.0</v>
      </c>
      <c r="B210" s="4" t="s">
        <v>347</v>
      </c>
      <c r="C210" s="5" t="str">
        <f>IFERROR(__xludf.DUMMYFUNCTION("GOOGLETRANSLATE(D:D,""auto"",""en"")"),"The attack on the Iraqi capital")</f>
        <v>The attack on the Iraqi capital</v>
      </c>
      <c r="D210" s="4" t="s">
        <v>352</v>
      </c>
      <c r="E210" s="4">
        <v>0.0</v>
      </c>
      <c r="F210" s="4">
        <v>9.0</v>
      </c>
      <c r="G210" s="4" t="s">
        <v>353</v>
      </c>
    </row>
    <row r="211">
      <c r="A211" s="1">
        <v>209.0</v>
      </c>
      <c r="B211" s="4" t="s">
        <v>347</v>
      </c>
      <c r="C211" s="5" t="str">
        <f>IFERROR(__xludf.DUMMYFUNCTION("GOOGLETRANSLATE(D:D,""auto"",""en"")"),"Pique compliments on things Wu Lei")</f>
        <v>Pique compliments on things Wu Lei</v>
      </c>
      <c r="D211" s="4" t="s">
        <v>354</v>
      </c>
      <c r="E211" s="4">
        <v>0.0</v>
      </c>
      <c r="F211" s="4">
        <v>10.0</v>
      </c>
      <c r="G211" s="4" t="s">
        <v>355</v>
      </c>
    </row>
    <row r="212">
      <c r="A212" s="1">
        <v>210.0</v>
      </c>
      <c r="B212" s="4" t="s">
        <v>347</v>
      </c>
      <c r="C212" s="5" t="str">
        <f>IFERROR(__xludf.DUMMYFUNCTION("GOOGLETRANSLATE(D:D,""auto"",""en"")"),"Iran received US letter")</f>
        <v>Iran received US letter</v>
      </c>
      <c r="D212" s="4" t="s">
        <v>356</v>
      </c>
      <c r="E212" s="4">
        <v>0.0</v>
      </c>
      <c r="F212" s="4">
        <v>11.0</v>
      </c>
      <c r="G212" s="4" t="s">
        <v>357</v>
      </c>
    </row>
    <row r="213">
      <c r="A213" s="1">
        <v>211.0</v>
      </c>
      <c r="B213" s="4" t="s">
        <v>347</v>
      </c>
      <c r="C213" s="5" t="str">
        <f>IFERROR(__xludf.DUMMYFUNCTION("GOOGLETRANSLATE(D:D,""auto"",""en"")"),"Zheng Shuang makeup to play the piano")</f>
        <v>Zheng Shuang makeup to play the piano</v>
      </c>
      <c r="D213" s="4" t="s">
        <v>358</v>
      </c>
      <c r="E213" s="4">
        <v>0.0</v>
      </c>
      <c r="F213" s="4">
        <v>12.0</v>
      </c>
      <c r="G213" s="4" t="s">
        <v>359</v>
      </c>
    </row>
    <row r="214">
      <c r="A214" s="1">
        <v>212.0</v>
      </c>
      <c r="B214" s="4" t="s">
        <v>347</v>
      </c>
      <c r="C214" s="5" t="str">
        <f>IFERROR(__xludf.DUMMYFUNCTION("GOOGLETRANSLATE(D:D,""auto"",""en"")"),"Ma Rong won fans flowers")</f>
        <v>Ma Rong won fans flowers</v>
      </c>
      <c r="D214" s="4" t="s">
        <v>360</v>
      </c>
      <c r="E214" s="4">
        <v>0.0</v>
      </c>
      <c r="F214" s="4">
        <v>13.0</v>
      </c>
      <c r="G214" s="4" t="s">
        <v>361</v>
      </c>
    </row>
    <row r="215">
      <c r="A215" s="1">
        <v>213.0</v>
      </c>
      <c r="B215" s="4" t="s">
        <v>347</v>
      </c>
      <c r="C215" s="5" t="str">
        <f>IFERROR(__xludf.DUMMYFUNCTION("GOOGLETRANSLATE(D:D,""auto"",""en"")"),"Wu Lei Li Tie to talk about absolutely flat Barcelona")</f>
        <v>Wu Lei Li Tie to talk about absolutely flat Barcelona</v>
      </c>
      <c r="D215" s="4" t="s">
        <v>362</v>
      </c>
      <c r="E215" s="4">
        <v>0.0</v>
      </c>
      <c r="F215" s="4">
        <v>14.0</v>
      </c>
      <c r="G215" s="4" t="s">
        <v>363</v>
      </c>
    </row>
    <row r="216">
      <c r="A216" s="1">
        <v>214.0</v>
      </c>
      <c r="B216" s="4" t="s">
        <v>347</v>
      </c>
      <c r="C216" s="5" t="str">
        <f>IFERROR(__xludf.DUMMYFUNCTION("GOOGLETRANSLATE(D:D,""auto"",""en"")"),"US outbreak of anti-war demonstrations")</f>
        <v>US outbreak of anti-war demonstrations</v>
      </c>
      <c r="D216" s="4" t="s">
        <v>364</v>
      </c>
      <c r="E216" s="4">
        <v>0.0</v>
      </c>
      <c r="F216" s="4">
        <v>15.0</v>
      </c>
      <c r="G216" s="4" t="s">
        <v>365</v>
      </c>
    </row>
    <row r="217">
      <c r="A217" s="1">
        <v>215.0</v>
      </c>
      <c r="B217" s="4" t="s">
        <v>347</v>
      </c>
      <c r="C217" s="5" t="str">
        <f>IFERROR(__xludf.DUMMYFUNCTION("GOOGLETRANSLATE(D:D,""auto"",""en"")"),"Wu Lei break Barca goal")</f>
        <v>Wu Lei break Barca goal</v>
      </c>
      <c r="D217" s="4" t="s">
        <v>366</v>
      </c>
      <c r="E217" s="4">
        <v>0.0</v>
      </c>
      <c r="F217" s="4">
        <v>16.0</v>
      </c>
      <c r="G217" s="4" t="s">
        <v>367</v>
      </c>
    </row>
    <row r="218">
      <c r="A218" s="1">
        <v>216.0</v>
      </c>
      <c r="B218" s="4" t="s">
        <v>347</v>
      </c>
      <c r="C218" s="5" t="str">
        <f>IFERROR(__xludf.DUMMYFUNCTION("GOOGLETRANSLATE(D:D,""auto"",""en"")"),"Trump again warned Iran")</f>
        <v>Trump again warned Iran</v>
      </c>
      <c r="D218" s="4" t="s">
        <v>368</v>
      </c>
      <c r="E218" s="4">
        <v>0.0</v>
      </c>
      <c r="F218" s="4">
        <v>17.0</v>
      </c>
      <c r="G218" s="4" t="s">
        <v>369</v>
      </c>
    </row>
    <row r="219">
      <c r="A219" s="1">
        <v>217.0</v>
      </c>
      <c r="B219" s="4" t="s">
        <v>347</v>
      </c>
      <c r="C219" s="5" t="str">
        <f>IFERROR(__xludf.DUMMYFUNCTION("GOOGLETRANSLATE(D:D,""auto"",""en"")"),"British Prime Minister dissatisfaction with US air strikes")</f>
        <v>British Prime Minister dissatisfaction with US air strikes</v>
      </c>
      <c r="D219" s="4" t="s">
        <v>370</v>
      </c>
      <c r="E219" s="4">
        <v>0.0</v>
      </c>
      <c r="F219" s="4">
        <v>18.0</v>
      </c>
      <c r="G219" s="4" t="s">
        <v>371</v>
      </c>
    </row>
    <row r="220">
      <c r="A220" s="1">
        <v>218.0</v>
      </c>
      <c r="B220" s="4" t="s">
        <v>347</v>
      </c>
      <c r="C220" s="5" t="str">
        <f>IFERROR(__xludf.DUMMYFUNCTION("GOOGLETRANSLATE(D:D,""auto"",""en"")"),"Blizzard blue warning issued")</f>
        <v>Blizzard blue warning issued</v>
      </c>
      <c r="D220" s="4" t="s">
        <v>372</v>
      </c>
      <c r="E220" s="4">
        <v>0.0</v>
      </c>
      <c r="F220" s="4">
        <v>19.0</v>
      </c>
      <c r="G220" s="4" t="s">
        <v>373</v>
      </c>
    </row>
    <row r="221">
      <c r="A221" s="1">
        <v>219.0</v>
      </c>
      <c r="B221" s="4" t="s">
        <v>347</v>
      </c>
      <c r="C221" s="5" t="str">
        <f>IFERROR(__xludf.DUMMYFUNCTION("GOOGLETRANSLATE(D:D,""auto"",""en"")"),"Kenya attacks on US military bases")</f>
        <v>Kenya attacks on US military bases</v>
      </c>
      <c r="D221" s="4" t="s">
        <v>374</v>
      </c>
      <c r="E221" s="4">
        <v>0.0</v>
      </c>
      <c r="F221" s="4">
        <v>20.0</v>
      </c>
      <c r="G221" s="4" t="s">
        <v>375</v>
      </c>
    </row>
    <row r="222">
      <c r="A222" s="1">
        <v>220.0</v>
      </c>
      <c r="B222" s="4" t="s">
        <v>347</v>
      </c>
      <c r="C222" s="5" t="str">
        <f>IFERROR(__xludf.DUMMYFUNCTION("GOOGLETRANSLATE(D:D,""auto"",""en"")"),"Female Financial cheated 10 million")</f>
        <v>Female Financial cheated 10 million</v>
      </c>
      <c r="D222" s="4" t="s">
        <v>376</v>
      </c>
      <c r="E222" s="4">
        <v>0.0</v>
      </c>
      <c r="F222" s="4">
        <v>21.0</v>
      </c>
      <c r="G222" s="4" t="s">
        <v>377</v>
      </c>
    </row>
    <row r="223">
      <c r="A223" s="1">
        <v>221.0</v>
      </c>
      <c r="B223" s="4" t="s">
        <v>347</v>
      </c>
      <c r="C223" s="5" t="str">
        <f>IFERROR(__xludf.DUMMYFUNCTION("GOOGLETRANSLATE(D:D,""auto"",""en"")"),"Iranian Major General body was brought back")</f>
        <v>Iranian Major General body was brought back</v>
      </c>
      <c r="D223" s="4" t="s">
        <v>378</v>
      </c>
      <c r="E223" s="4">
        <v>0.0</v>
      </c>
      <c r="F223" s="4">
        <v>22.0</v>
      </c>
      <c r="G223" s="4" t="s">
        <v>379</v>
      </c>
    </row>
    <row r="224">
      <c r="A224" s="1">
        <v>222.0</v>
      </c>
      <c r="B224" s="4" t="s">
        <v>347</v>
      </c>
      <c r="C224" s="5" t="str">
        <f>IFERROR(__xludf.DUMMYFUNCTION("GOOGLETRANSLATE(D:D,""auto"",""en"")"),"Ming Fang responded brother commit suicide")</f>
        <v>Ming Fang responded brother commit suicide</v>
      </c>
      <c r="D224" s="4" t="s">
        <v>380</v>
      </c>
      <c r="E224" s="4">
        <v>0.0</v>
      </c>
      <c r="F224" s="4">
        <v>23.0</v>
      </c>
      <c r="G224" s="4" t="s">
        <v>381</v>
      </c>
    </row>
    <row r="225">
      <c r="A225" s="1">
        <v>223.0</v>
      </c>
      <c r="B225" s="4" t="s">
        <v>347</v>
      </c>
      <c r="C225" s="5" t="str">
        <f>IFERROR(__xludf.DUMMYFUNCTION("GOOGLETRANSLATE(D:D,""auto"",""en"")"),"Jiayin Lei couple with box")</f>
        <v>Jiayin Lei couple with box</v>
      </c>
      <c r="D225" s="4" t="s">
        <v>315</v>
      </c>
      <c r="E225" s="4">
        <v>0.0</v>
      </c>
      <c r="F225" s="4">
        <v>24.0</v>
      </c>
      <c r="G225" s="4" t="s">
        <v>316</v>
      </c>
    </row>
    <row r="226">
      <c r="A226" s="1">
        <v>224.0</v>
      </c>
      <c r="B226" s="4" t="s">
        <v>347</v>
      </c>
      <c r="C226" s="5" t="str">
        <f>IFERROR(__xludf.DUMMYFUNCTION("GOOGLETRANSLATE(D:D,""auto"",""en"")"),"US aircraft carrier arrived in the Gulf of Oman")</f>
        <v>US aircraft carrier arrived in the Gulf of Oman</v>
      </c>
      <c r="D226" s="4" t="s">
        <v>382</v>
      </c>
      <c r="E226" s="4">
        <v>0.0</v>
      </c>
      <c r="F226" s="4">
        <v>25.0</v>
      </c>
      <c r="G226" s="4" t="s">
        <v>383</v>
      </c>
    </row>
    <row r="227">
      <c r="A227" s="1">
        <v>225.0</v>
      </c>
      <c r="B227" s="4" t="s">
        <v>347</v>
      </c>
      <c r="C227" s="5" t="str">
        <f>IFERROR(__xludf.DUMMYFUNCTION("GOOGLETRANSLATE(D:D,""auto"",""en"")"),"Spanish Commentary screaming Wu Lei")</f>
        <v>Spanish Commentary screaming Wu Lei</v>
      </c>
      <c r="D227" s="4" t="s">
        <v>384</v>
      </c>
      <c r="E227" s="4">
        <v>0.0</v>
      </c>
      <c r="F227" s="4">
        <v>26.0</v>
      </c>
      <c r="G227" s="4" t="s">
        <v>385</v>
      </c>
    </row>
    <row r="228">
      <c r="A228" s="1">
        <v>226.0</v>
      </c>
      <c r="B228" s="4" t="s">
        <v>347</v>
      </c>
      <c r="C228" s="5" t="str">
        <f>IFERROR(__xludf.DUMMYFUNCTION("GOOGLETRANSLATE(D:D,""auto"",""en"")"),"Deng Sha suspected second child")</f>
        <v>Deng Sha suspected second child</v>
      </c>
      <c r="D228" s="4" t="s">
        <v>386</v>
      </c>
      <c r="E228" s="4">
        <v>0.0</v>
      </c>
      <c r="F228" s="4">
        <v>27.0</v>
      </c>
      <c r="G228" s="4" t="s">
        <v>387</v>
      </c>
    </row>
    <row r="229">
      <c r="A229" s="1">
        <v>227.0</v>
      </c>
      <c r="B229" s="4" t="s">
        <v>347</v>
      </c>
      <c r="C229" s="5" t="str">
        <f>IFERROR(__xludf.DUMMYFUNCTION("GOOGLETRANSLATE(D:D,""auto"",""en"")"),"Spanish relegation difficult")</f>
        <v>Spanish relegation difficult</v>
      </c>
      <c r="D229" s="4" t="s">
        <v>388</v>
      </c>
      <c r="E229" s="4">
        <v>0.0</v>
      </c>
      <c r="F229" s="4">
        <v>28.0</v>
      </c>
      <c r="G229" s="4" t="s">
        <v>389</v>
      </c>
    </row>
    <row r="230">
      <c r="A230" s="1">
        <v>228.0</v>
      </c>
      <c r="B230" s="4" t="s">
        <v>347</v>
      </c>
      <c r="C230" s="5" t="str">
        <f>IFERROR(__xludf.DUMMYFUNCTION("GOOGLETRANSLATE(D:D,""auto"",""en"")"),"Trump serious warning Iran")</f>
        <v>Trump serious warning Iran</v>
      </c>
      <c r="D230" s="4" t="s">
        <v>390</v>
      </c>
      <c r="E230" s="4">
        <v>0.0</v>
      </c>
      <c r="F230" s="4">
        <v>29.0</v>
      </c>
      <c r="G230" s="4" t="s">
        <v>391</v>
      </c>
    </row>
    <row r="231">
      <c r="A231" s="1">
        <v>229.0</v>
      </c>
      <c r="B231" s="4" t="s">
        <v>347</v>
      </c>
      <c r="C231" s="5" t="str">
        <f>IFERROR(__xludf.DUMMYFUNCTION("GOOGLETRANSLATE(D:D,""auto"",""en"")"),"Wang Han had lost his son")</f>
        <v>Wang Han had lost his son</v>
      </c>
      <c r="D231" s="4" t="s">
        <v>392</v>
      </c>
      <c r="E231" s="4">
        <v>0.0</v>
      </c>
      <c r="F231" s="4">
        <v>30.0</v>
      </c>
      <c r="G231" s="4" t="s">
        <v>393</v>
      </c>
    </row>
    <row r="232">
      <c r="A232" s="1">
        <v>230.0</v>
      </c>
      <c r="B232" s="4" t="s">
        <v>347</v>
      </c>
      <c r="C232" s="5" t="str">
        <f>IFERROR(__xludf.DUMMYFUNCTION("GOOGLETRANSLATE(D:D,""auto"",""en"")"),"Fan Bingbing is too much retouching")</f>
        <v>Fan Bingbing is too much retouching</v>
      </c>
      <c r="D232" s="4" t="s">
        <v>394</v>
      </c>
      <c r="E232" s="4">
        <v>0.0</v>
      </c>
      <c r="F232" s="4">
        <v>31.0</v>
      </c>
      <c r="G232" s="4" t="s">
        <v>395</v>
      </c>
    </row>
    <row r="233">
      <c r="A233" s="1">
        <v>231.0</v>
      </c>
      <c r="B233" s="4" t="s">
        <v>347</v>
      </c>
      <c r="C233" s="5" t="str">
        <f>IFERROR(__xludf.DUMMYFUNCTION("GOOGLETRANSLATE(D:D,""auto"",""en"")"),"Wuhan rule out pneumonia SARS")</f>
        <v>Wuhan rule out pneumonia SARS</v>
      </c>
      <c r="D233" s="4" t="s">
        <v>396</v>
      </c>
      <c r="E233" s="4">
        <v>0.0</v>
      </c>
      <c r="F233" s="4">
        <v>32.0</v>
      </c>
      <c r="G233" s="4" t="s">
        <v>397</v>
      </c>
    </row>
    <row r="234">
      <c r="A234" s="1">
        <v>232.0</v>
      </c>
      <c r="B234" s="4" t="s">
        <v>347</v>
      </c>
      <c r="C234" s="5" t="str">
        <f>IFERROR(__xludf.DUMMYFUNCTION("GOOGLETRANSLATE(D:D,""auto"",""en"")"),"Iran or suspend Iran's nuclear agreement")</f>
        <v>Iran or suspend Iran's nuclear agreement</v>
      </c>
      <c r="D234" s="4" t="s">
        <v>398</v>
      </c>
      <c r="E234" s="4">
        <v>0.0</v>
      </c>
      <c r="F234" s="4">
        <v>33.0</v>
      </c>
      <c r="G234" s="4" t="s">
        <v>399</v>
      </c>
    </row>
    <row r="235">
      <c r="A235" s="1">
        <v>233.0</v>
      </c>
      <c r="B235" s="4" t="s">
        <v>347</v>
      </c>
      <c r="C235" s="5" t="str">
        <f>IFERROR(__xludf.DUMMYFUNCTION("GOOGLETRANSLATE(D:D,""auto"",""en"")"),"Iran says no intention to go to war with the United States")</f>
        <v>Iran says no intention to go to war with the United States</v>
      </c>
      <c r="D235" s="4" t="s">
        <v>400</v>
      </c>
      <c r="E235" s="4">
        <v>0.0</v>
      </c>
      <c r="F235" s="4">
        <v>34.0</v>
      </c>
      <c r="G235" s="4" t="s">
        <v>401</v>
      </c>
    </row>
    <row r="236">
      <c r="A236" s="1">
        <v>234.0</v>
      </c>
      <c r="B236" s="4" t="s">
        <v>347</v>
      </c>
      <c r="C236" s="5" t="str">
        <f>IFERROR(__xludf.DUMMYFUNCTION("GOOGLETRANSLATE(D:D,""auto"",""en"")"),"People's Daily, the three asked ETC")</f>
        <v>People's Daily, the three asked ETC</v>
      </c>
      <c r="D236" s="4" t="s">
        <v>301</v>
      </c>
      <c r="E236" s="4">
        <v>0.0</v>
      </c>
      <c r="F236" s="4">
        <v>35.0</v>
      </c>
      <c r="G236" s="4" t="s">
        <v>302</v>
      </c>
    </row>
    <row r="237">
      <c r="A237" s="1">
        <v>235.0</v>
      </c>
      <c r="B237" s="4" t="s">
        <v>347</v>
      </c>
      <c r="C237" s="5" t="str">
        <f>IFERROR(__xludf.DUMMYFUNCTION("GOOGLETRANSLATE(D:D,""auto"",""en"")"),"Toll prices")</f>
        <v>Toll prices</v>
      </c>
      <c r="D237" s="4" t="s">
        <v>402</v>
      </c>
      <c r="E237" s="4">
        <v>0.0</v>
      </c>
      <c r="F237" s="4">
        <v>36.0</v>
      </c>
      <c r="G237" s="4" t="s">
        <v>403</v>
      </c>
    </row>
    <row r="238">
      <c r="A238" s="1">
        <v>236.0</v>
      </c>
      <c r="B238" s="4" t="s">
        <v>347</v>
      </c>
      <c r="C238" s="5" t="str">
        <f>IFERROR(__xludf.DUMMYFUNCTION("GOOGLETRANSLATE(D:D,""auto"",""en"")"),"Espanyol Barcelona draw")</f>
        <v>Espanyol Barcelona draw</v>
      </c>
      <c r="D238" s="4" t="s">
        <v>404</v>
      </c>
      <c r="E238" s="4">
        <v>0.0</v>
      </c>
      <c r="F238" s="4">
        <v>37.0</v>
      </c>
      <c r="G238" s="4" t="s">
        <v>405</v>
      </c>
    </row>
    <row r="239">
      <c r="A239" s="1">
        <v>237.0</v>
      </c>
      <c r="B239" s="4" t="s">
        <v>347</v>
      </c>
      <c r="C239" s="5" t="str">
        <f>IFERROR(__xludf.DUMMYFUNCTION("GOOGLETRANSLATE(D:D,""auto"",""en"")"),"American youth are afraid of conscription")</f>
        <v>American youth are afraid of conscription</v>
      </c>
      <c r="D239" s="4" t="s">
        <v>406</v>
      </c>
      <c r="E239" s="4">
        <v>0.0</v>
      </c>
      <c r="F239" s="4">
        <v>38.0</v>
      </c>
      <c r="G239" s="4" t="s">
        <v>407</v>
      </c>
    </row>
    <row r="240">
      <c r="A240" s="1">
        <v>238.0</v>
      </c>
      <c r="B240" s="4" t="s">
        <v>347</v>
      </c>
      <c r="C240" s="5" t="str">
        <f>IFERROR(__xludf.DUMMYFUNCTION("GOOGLETRANSLATE(D:D,""auto"",""en"")"),"Building under construction collapsed in Cambodia")</f>
        <v>Building under construction collapsed in Cambodia</v>
      </c>
      <c r="D240" s="4" t="s">
        <v>408</v>
      </c>
      <c r="E240" s="4">
        <v>0.0</v>
      </c>
      <c r="F240" s="4">
        <v>39.0</v>
      </c>
      <c r="G240" s="4" t="s">
        <v>409</v>
      </c>
    </row>
    <row r="241">
      <c r="A241" s="1">
        <v>239.0</v>
      </c>
      <c r="B241" s="4" t="s">
        <v>347</v>
      </c>
      <c r="C241" s="5" t="str">
        <f>IFERROR(__xludf.DUMMYFUNCTION("GOOGLETRANSLATE(D:D,""auto"",""en"")"),"On the high-speed toll abnormal official")</f>
        <v>On the high-speed toll abnormal official</v>
      </c>
      <c r="D241" s="4" t="s">
        <v>295</v>
      </c>
      <c r="E241" s="4">
        <v>0.0</v>
      </c>
      <c r="F241" s="4">
        <v>40.0</v>
      </c>
      <c r="G241" s="4" t="s">
        <v>296</v>
      </c>
    </row>
    <row r="242">
      <c r="A242" s="1">
        <v>240.0</v>
      </c>
      <c r="B242" s="4" t="s">
        <v>347</v>
      </c>
      <c r="C242" s="5" t="str">
        <f>IFERROR(__xludf.DUMMYFUNCTION("GOOGLETRANSLATE(D:D,""auto"",""en"")"),"Deng Chao appeared in a family of four")</f>
        <v>Deng Chao appeared in a family of four</v>
      </c>
      <c r="D242" s="4" t="s">
        <v>333</v>
      </c>
      <c r="E242" s="4">
        <v>0.0</v>
      </c>
      <c r="F242" s="4">
        <v>41.0</v>
      </c>
      <c r="G242" s="4" t="s">
        <v>334</v>
      </c>
    </row>
    <row r="243">
      <c r="A243" s="1">
        <v>241.0</v>
      </c>
      <c r="B243" s="4" t="s">
        <v>347</v>
      </c>
      <c r="C243" s="5" t="str">
        <f>IFERROR(__xludf.DUMMYFUNCTION("GOOGLETRANSLATE(D:D,""auto"",""en"")"),"Karena Ng Raymond talk about marriage")</f>
        <v>Karena Ng Raymond talk about marriage</v>
      </c>
      <c r="D243" s="4" t="s">
        <v>345</v>
      </c>
      <c r="E243" s="4">
        <v>0.0</v>
      </c>
      <c r="F243" s="4">
        <v>42.0</v>
      </c>
      <c r="G243" s="4" t="s">
        <v>346</v>
      </c>
    </row>
    <row r="244">
      <c r="A244" s="1">
        <v>242.0</v>
      </c>
      <c r="B244" s="4" t="s">
        <v>347</v>
      </c>
      <c r="C244" s="5" t="str">
        <f>IFERROR(__xludf.DUMMYFUNCTION("GOOGLETRANSLATE(D:D,""auto"",""en"")"),"2020's first large-scale rain and snow")</f>
        <v>2020's first large-scale rain and snow</v>
      </c>
      <c r="D244" s="4" t="s">
        <v>269</v>
      </c>
      <c r="E244" s="4">
        <v>0.0</v>
      </c>
      <c r="F244" s="4">
        <v>43.0</v>
      </c>
      <c r="G244" s="4" t="s">
        <v>270</v>
      </c>
    </row>
    <row r="245">
      <c r="A245" s="1">
        <v>243.0</v>
      </c>
      <c r="B245" s="4" t="s">
        <v>347</v>
      </c>
      <c r="C245" s="5" t="str">
        <f>IFERROR(__xludf.DUMMYFUNCTION("GOOGLETRANSLATE(D:D,""auto"",""en"")"),"The US State Department issued an urgent warning")</f>
        <v>The US State Department issued an urgent warning</v>
      </c>
      <c r="D245" s="4" t="s">
        <v>222</v>
      </c>
      <c r="E245" s="4">
        <v>0.0</v>
      </c>
      <c r="F245" s="4">
        <v>44.0</v>
      </c>
      <c r="G245" s="4" t="s">
        <v>223</v>
      </c>
    </row>
    <row r="246">
      <c r="A246" s="1">
        <v>244.0</v>
      </c>
      <c r="B246" s="4" t="s">
        <v>347</v>
      </c>
      <c r="C246" s="5" t="str">
        <f>IFERROR(__xludf.DUMMYFUNCTION("GOOGLETRANSLATE(D:D,""auto"",""en"")"),"CBA to open heavy fines")</f>
        <v>CBA to open heavy fines</v>
      </c>
      <c r="D246" s="4" t="s">
        <v>287</v>
      </c>
      <c r="E246" s="4">
        <v>0.0</v>
      </c>
      <c r="F246" s="4">
        <v>45.0</v>
      </c>
      <c r="G246" s="4" t="s">
        <v>288</v>
      </c>
    </row>
    <row r="247">
      <c r="A247" s="1">
        <v>245.0</v>
      </c>
      <c r="B247" s="4" t="s">
        <v>347</v>
      </c>
      <c r="C247" s="5" t="str">
        <f>IFERROR(__xludf.DUMMYFUNCTION("GOOGLETRANSLATE(D:D,""auto"",""en"")"),"Putin to talk about the attack on Iranian military officers")</f>
        <v>Putin to talk about the attack on Iranian military officers</v>
      </c>
      <c r="D247" s="4" t="s">
        <v>275</v>
      </c>
      <c r="E247" s="4">
        <v>0.0</v>
      </c>
      <c r="F247" s="4">
        <v>46.0</v>
      </c>
      <c r="G247" s="4" t="s">
        <v>276</v>
      </c>
    </row>
    <row r="248">
      <c r="A248" s="1">
        <v>246.0</v>
      </c>
      <c r="B248" s="4" t="s">
        <v>347</v>
      </c>
      <c r="C248" s="5" t="str">
        <f>IFERROR(__xludf.DUMMYFUNCTION("GOOGLETRANSLATE(D:D,""auto"",""en"")"),"Major attack on Iran exposed details")</f>
        <v>Major attack on Iran exposed details</v>
      </c>
      <c r="D248" s="4" t="s">
        <v>279</v>
      </c>
      <c r="E248" s="4">
        <v>0.0</v>
      </c>
      <c r="F248" s="4">
        <v>47.0</v>
      </c>
      <c r="G248" s="4" t="s">
        <v>280</v>
      </c>
    </row>
    <row r="249">
      <c r="A249" s="1">
        <v>247.0</v>
      </c>
      <c r="B249" s="4" t="s">
        <v>347</v>
      </c>
      <c r="C249" s="5" t="str">
        <f>IFERROR(__xludf.DUMMYFUNCTION("GOOGLETRANSLATE(D:D,""auto"",""en"")"),"Xiaozhan sun cat to visit the set photos")</f>
        <v>Xiaozhan sun cat to visit the set photos</v>
      </c>
      <c r="D249" s="4" t="s">
        <v>299</v>
      </c>
      <c r="E249" s="4">
        <v>0.0</v>
      </c>
      <c r="F249" s="4">
        <v>48.0</v>
      </c>
      <c r="G249" s="4" t="s">
        <v>300</v>
      </c>
    </row>
    <row r="250">
      <c r="A250" s="1">
        <v>248.0</v>
      </c>
      <c r="B250" s="4" t="s">
        <v>347</v>
      </c>
      <c r="C250" s="5" t="str">
        <f>IFERROR(__xludf.DUMMYFUNCTION("GOOGLETRANSLATE(D:D,""auto"",""en"")"),"Li Qin style uniforms on line")</f>
        <v>Li Qin style uniforms on line</v>
      </c>
      <c r="D250" s="4" t="s">
        <v>224</v>
      </c>
      <c r="E250" s="4">
        <v>0.0</v>
      </c>
      <c r="F250" s="4">
        <v>49.0</v>
      </c>
      <c r="G250" s="4" t="s">
        <v>225</v>
      </c>
    </row>
    <row r="251">
      <c r="A251" s="1">
        <v>249.0</v>
      </c>
      <c r="B251" s="4" t="s">
        <v>347</v>
      </c>
      <c r="C251" s="5" t="str">
        <f>IFERROR(__xludf.DUMMYFUNCTION("GOOGLETRANSLATE(D:D,""auto"",""en"")"),"Pet box office breaking 400 million")</f>
        <v>Pet box office breaking 400 million</v>
      </c>
      <c r="D251" s="4" t="s">
        <v>410</v>
      </c>
      <c r="E251" s="4">
        <v>0.0</v>
      </c>
      <c r="F251" s="4">
        <v>50.0</v>
      </c>
      <c r="G251" s="4" t="s">
        <v>411</v>
      </c>
    </row>
    <row r="252">
      <c r="A252" s="1">
        <v>250.0</v>
      </c>
      <c r="B252" s="4" t="s">
        <v>412</v>
      </c>
      <c r="C252" s="5" t="str">
        <f>IFERROR(__xludf.DUMMYFUNCTION("GOOGLETRANSLATE(D:D,""auto"",""en"")"),"Iran says no intention to go to war with the United States")</f>
        <v>Iran says no intention to go to war with the United States</v>
      </c>
      <c r="D252" s="4" t="s">
        <v>400</v>
      </c>
      <c r="E252" s="4">
        <v>0.0</v>
      </c>
      <c r="F252" s="4">
        <v>1.0</v>
      </c>
      <c r="G252" s="4" t="s">
        <v>401</v>
      </c>
    </row>
    <row r="253">
      <c r="A253" s="1">
        <v>251.0</v>
      </c>
      <c r="B253" s="4" t="s">
        <v>412</v>
      </c>
      <c r="C253" s="5" t="str">
        <f>IFERROR(__xludf.DUMMYFUNCTION("GOOGLETRANSLATE(D:D,""auto"",""en"")"),"Ming Fang responded brother commit suicide")</f>
        <v>Ming Fang responded brother commit suicide</v>
      </c>
      <c r="D253" s="4" t="s">
        <v>380</v>
      </c>
      <c r="E253" s="4">
        <v>0.0</v>
      </c>
      <c r="F253" s="4">
        <v>2.0</v>
      </c>
      <c r="G253" s="4" t="s">
        <v>381</v>
      </c>
    </row>
    <row r="254">
      <c r="A254" s="1">
        <v>252.0</v>
      </c>
      <c r="B254" s="4" t="s">
        <v>412</v>
      </c>
      <c r="C254" s="5" t="str">
        <f>IFERROR(__xludf.DUMMYFUNCTION("GOOGLETRANSLATE(D:D,""auto"",""en"")"),"East is Red V successful maiden flight")</f>
        <v>East is Red V successful maiden flight</v>
      </c>
      <c r="D254" s="4" t="s">
        <v>413</v>
      </c>
      <c r="E254" s="4">
        <v>0.0</v>
      </c>
      <c r="F254" s="4">
        <v>3.0</v>
      </c>
      <c r="G254" s="4" t="s">
        <v>414</v>
      </c>
    </row>
    <row r="255">
      <c r="A255" s="1">
        <v>253.0</v>
      </c>
      <c r="B255" s="4" t="s">
        <v>412</v>
      </c>
      <c r="C255" s="5" t="str">
        <f>IFERROR(__xludf.DUMMYFUNCTION("GOOGLETRANSLATE(D:D,""auto"",""en"")"),"Celina Jade sidelines Han Geng kiss")</f>
        <v>Celina Jade sidelines Han Geng kiss</v>
      </c>
      <c r="D255" s="4" t="s">
        <v>415</v>
      </c>
      <c r="E255" s="4">
        <v>0.0</v>
      </c>
      <c r="F255" s="4">
        <v>4.0</v>
      </c>
      <c r="G255" s="4" t="s">
        <v>416</v>
      </c>
    </row>
    <row r="256">
      <c r="A256" s="1">
        <v>254.0</v>
      </c>
      <c r="B256" s="4" t="s">
        <v>412</v>
      </c>
      <c r="C256" s="5" t="str">
        <f>IFERROR(__xludf.DUMMYFUNCTION("GOOGLETRANSLATE(D:D,""auto"",""en"")"),"Iran announced suspension of nuclear deal")</f>
        <v>Iran announced suspension of nuclear deal</v>
      </c>
      <c r="D256" s="4" t="s">
        <v>417</v>
      </c>
      <c r="E256" s="4">
        <v>0.0</v>
      </c>
      <c r="F256" s="4">
        <v>5.0</v>
      </c>
      <c r="G256" s="4" t="s">
        <v>418</v>
      </c>
    </row>
    <row r="257">
      <c r="A257" s="1">
        <v>255.0</v>
      </c>
      <c r="B257" s="4" t="s">
        <v>412</v>
      </c>
      <c r="C257" s="5" t="str">
        <f>IFERROR(__xludf.DUMMYFUNCTION("GOOGLETRANSLATE(D:D,""auto"",""en"")"),"Baghdad explosion occurred several times")</f>
        <v>Baghdad explosion occurred several times</v>
      </c>
      <c r="D257" s="4" t="s">
        <v>419</v>
      </c>
      <c r="E257" s="4">
        <v>0.0</v>
      </c>
      <c r="F257" s="4">
        <v>6.0</v>
      </c>
      <c r="G257" s="4" t="s">
        <v>420</v>
      </c>
    </row>
    <row r="258">
      <c r="A258" s="1">
        <v>256.0</v>
      </c>
      <c r="B258" s="4" t="s">
        <v>412</v>
      </c>
      <c r="C258" s="5" t="str">
        <f>IFERROR(__xludf.DUMMYFUNCTION("GOOGLETRANSLATE(D:D,""auto"",""en"")"),"Jolin Tsai concert liable downtown market")</f>
        <v>Jolin Tsai concert liable downtown market</v>
      </c>
      <c r="D258" s="4" t="s">
        <v>421</v>
      </c>
      <c r="E258" s="4">
        <v>0.0</v>
      </c>
      <c r="F258" s="4">
        <v>7.0</v>
      </c>
      <c r="G258" s="4" t="s">
        <v>422</v>
      </c>
    </row>
    <row r="259">
      <c r="A259" s="1">
        <v>257.0</v>
      </c>
      <c r="B259" s="4" t="s">
        <v>412</v>
      </c>
      <c r="C259" s="5" t="str">
        <f>IFERROR(__xludf.DUMMYFUNCTION("GOOGLETRANSLATE(D:D,""auto"",""en"")"),"WHO talk pneumonia")</f>
        <v>WHO talk pneumonia</v>
      </c>
      <c r="D259" s="4" t="s">
        <v>423</v>
      </c>
      <c r="E259" s="4">
        <v>0.0</v>
      </c>
      <c r="F259" s="4">
        <v>8.0</v>
      </c>
      <c r="G259" s="4" t="s">
        <v>424</v>
      </c>
    </row>
    <row r="260">
      <c r="A260" s="1">
        <v>258.0</v>
      </c>
      <c r="B260" s="4" t="s">
        <v>412</v>
      </c>
      <c r="C260" s="5" t="str">
        <f>IFERROR(__xludf.DUMMYFUNCTION("GOOGLETRANSLATE(D:D,""auto"",""en"")"),"Newfield earthquake earthquake construction")</f>
        <v>Newfield earthquake earthquake construction</v>
      </c>
      <c r="D260" s="4" t="s">
        <v>425</v>
      </c>
      <c r="E260" s="4">
        <v>0.0</v>
      </c>
      <c r="F260" s="4">
        <v>9.0</v>
      </c>
      <c r="G260" s="4" t="s">
        <v>426</v>
      </c>
    </row>
    <row r="261">
      <c r="A261" s="1">
        <v>259.0</v>
      </c>
      <c r="B261" s="4" t="s">
        <v>412</v>
      </c>
      <c r="C261" s="5" t="str">
        <f>IFERROR(__xludf.DUMMYFUNCTION("GOOGLETRANSLATE(D:D,""auto"",""en"")"),"US troops in Iraq to reach a resolution")</f>
        <v>US troops in Iraq to reach a resolution</v>
      </c>
      <c r="D261" s="4" t="s">
        <v>427</v>
      </c>
      <c r="E261" s="4">
        <v>0.0</v>
      </c>
      <c r="F261" s="4">
        <v>10.0</v>
      </c>
      <c r="G261" s="4" t="s">
        <v>428</v>
      </c>
    </row>
    <row r="262">
      <c r="A262" s="1">
        <v>260.0</v>
      </c>
      <c r="B262" s="4" t="s">
        <v>412</v>
      </c>
      <c r="C262" s="5" t="str">
        <f>IFERROR(__xludf.DUMMYFUNCTION("GOOGLETRANSLATE(D:D,""auto"",""en"")"),"Liang arrears pin number is 28 yuan")</f>
        <v>Liang arrears pin number is 28 yuan</v>
      </c>
      <c r="D262" s="4" t="s">
        <v>429</v>
      </c>
      <c r="E262" s="4">
        <v>0.0</v>
      </c>
      <c r="F262" s="4">
        <v>11.0</v>
      </c>
      <c r="G262" s="4" t="s">
        <v>430</v>
      </c>
    </row>
    <row r="263">
      <c r="A263" s="1">
        <v>261.0</v>
      </c>
      <c r="B263" s="4" t="s">
        <v>412</v>
      </c>
      <c r="C263" s="5" t="str">
        <f>IFERROR(__xludf.DUMMYFUNCTION("GOOGLETRANSLATE(D:D,""auto"",""en"")"),"Iraq sent a letter to the United Nations")</f>
        <v>Iraq sent a letter to the United Nations</v>
      </c>
      <c r="D263" s="4" t="s">
        <v>431</v>
      </c>
      <c r="E263" s="4">
        <v>0.0</v>
      </c>
      <c r="F263" s="4">
        <v>12.0</v>
      </c>
      <c r="G263" s="4" t="s">
        <v>432</v>
      </c>
    </row>
    <row r="264">
      <c r="A264" s="1">
        <v>262.0</v>
      </c>
      <c r="B264" s="4" t="s">
        <v>412</v>
      </c>
      <c r="C264" s="5" t="str">
        <f>IFERROR(__xludf.DUMMYFUNCTION("GOOGLETRANSLATE(D:D,""auto"",""en"")"),"Tangshan stringent regulation of the property market now")</f>
        <v>Tangshan stringent regulation of the property market now</v>
      </c>
      <c r="D264" s="4" t="s">
        <v>433</v>
      </c>
      <c r="E264" s="4">
        <v>0.0</v>
      </c>
      <c r="F264" s="4">
        <v>13.0</v>
      </c>
      <c r="G264" s="4" t="s">
        <v>434</v>
      </c>
    </row>
    <row r="265">
      <c r="A265" s="1">
        <v>263.0</v>
      </c>
      <c r="B265" s="4" t="s">
        <v>412</v>
      </c>
      <c r="C265" s="5" t="str">
        <f>IFERROR(__xludf.DUMMYFUNCTION("GOOGLETRANSLATE(D:D,""auto"",""en"")")," Deng Xiao Zhan cover of Harper's Bazaar")</f>
        <v> Deng Xiao Zhan cover of Harper's Bazaar</v>
      </c>
      <c r="D265" s="4" t="s">
        <v>435</v>
      </c>
      <c r="E265" s="4">
        <v>0.0</v>
      </c>
      <c r="F265" s="4">
        <v>14.0</v>
      </c>
      <c r="G265" s="4" t="s">
        <v>436</v>
      </c>
    </row>
    <row r="266">
      <c r="A266" s="1">
        <v>264.0</v>
      </c>
      <c r="B266" s="4" t="s">
        <v>412</v>
      </c>
      <c r="C266" s="5" t="str">
        <f>IFERROR(__xludf.DUMMYFUNCTION("GOOGLETRANSLATE(D:D,""auto"",""en"")"),"Chinese tourists were chopped in Japan")</f>
        <v>Chinese tourists were chopped in Japan</v>
      </c>
      <c r="D266" s="4" t="s">
        <v>437</v>
      </c>
      <c r="E266" s="4">
        <v>0.0</v>
      </c>
      <c r="F266" s="4">
        <v>15.0</v>
      </c>
      <c r="G266" s="4" t="s">
        <v>438</v>
      </c>
    </row>
    <row r="267">
      <c r="A267" s="1">
        <v>265.0</v>
      </c>
      <c r="B267" s="4" t="s">
        <v>412</v>
      </c>
      <c r="C267" s="5" t="str">
        <f>IFERROR(__xludf.DUMMYFUNCTION("GOOGLETRANSLATE(D:D,""auto"",""en"")"),"Pennsylvania car accident")</f>
        <v>Pennsylvania car accident</v>
      </c>
      <c r="D267" s="4" t="s">
        <v>439</v>
      </c>
      <c r="E267" s="4">
        <v>0.0</v>
      </c>
      <c r="F267" s="4">
        <v>16.0</v>
      </c>
      <c r="G267" s="4" t="s">
        <v>440</v>
      </c>
    </row>
    <row r="268">
      <c r="A268" s="1">
        <v>266.0</v>
      </c>
      <c r="B268" s="4" t="s">
        <v>412</v>
      </c>
      <c r="C268" s="5" t="str">
        <f>IFERROR(__xludf.DUMMYFUNCTION("GOOGLETRANSLATE(D:D,""auto"",""en"")"),"Wuhan, a construction site collapse occurred")</f>
        <v>Wuhan, a construction site collapse occurred</v>
      </c>
      <c r="D268" s="4" t="s">
        <v>441</v>
      </c>
      <c r="E268" s="4">
        <v>0.0</v>
      </c>
      <c r="F268" s="4">
        <v>17.0</v>
      </c>
      <c r="G268" s="4" t="s">
        <v>442</v>
      </c>
    </row>
    <row r="269">
      <c r="A269" s="1">
        <v>267.0</v>
      </c>
      <c r="B269" s="4" t="s">
        <v>412</v>
      </c>
      <c r="C269" s="5" t="str">
        <f>IFERROR(__xludf.DUMMYFUNCTION("GOOGLETRANSLATE(D:D,""auto"",""en"")"),"Lee Mayfair traced new romance")</f>
        <v>Lee Mayfair traced new romance</v>
      </c>
      <c r="D269" s="4" t="s">
        <v>443</v>
      </c>
      <c r="E269" s="4">
        <v>0.0</v>
      </c>
      <c r="F269" s="4">
        <v>18.0</v>
      </c>
      <c r="G269" s="4" t="s">
        <v>444</v>
      </c>
    </row>
    <row r="270">
      <c r="A270" s="1">
        <v>268.0</v>
      </c>
      <c r="B270" s="4" t="s">
        <v>412</v>
      </c>
      <c r="C270" s="5" t="str">
        <f>IFERROR(__xludf.DUMMYFUNCTION("GOOGLETRANSLATE(D:D,""auto"",""en"")"),"Wuhan rule out pneumonia SARS")</f>
        <v>Wuhan rule out pneumonia SARS</v>
      </c>
      <c r="D270" s="4" t="s">
        <v>396</v>
      </c>
      <c r="E270" s="4">
        <v>0.0</v>
      </c>
      <c r="F270" s="4">
        <v>19.0</v>
      </c>
      <c r="G270" s="4" t="s">
        <v>397</v>
      </c>
    </row>
    <row r="271">
      <c r="A271" s="1">
        <v>269.0</v>
      </c>
      <c r="B271" s="4" t="s">
        <v>412</v>
      </c>
      <c r="C271" s="5" t="str">
        <f>IFERROR(__xludf.DUMMYFUNCTION("GOOGLETRANSLATE(D:D,""auto"",""en"")"),"Meng Fei praised Wu Lei")</f>
        <v>Meng Fei praised Wu Lei</v>
      </c>
      <c r="D271" s="4" t="s">
        <v>445</v>
      </c>
      <c r="E271" s="4">
        <v>0.0</v>
      </c>
      <c r="F271" s="4">
        <v>20.0</v>
      </c>
      <c r="G271" s="4" t="s">
        <v>446</v>
      </c>
    </row>
    <row r="272">
      <c r="A272" s="1">
        <v>270.0</v>
      </c>
      <c r="B272" s="4" t="s">
        <v>412</v>
      </c>
      <c r="C272" s="5" t="str">
        <f>IFERROR(__xludf.DUMMYFUNCTION("GOOGLETRANSLATE(D:D,""auto"",""en"")"),"Germany centenary building on fire")</f>
        <v>Germany centenary building on fire</v>
      </c>
      <c r="D272" s="4" t="s">
        <v>447</v>
      </c>
      <c r="E272" s="4">
        <v>0.0</v>
      </c>
      <c r="F272" s="4">
        <v>21.0</v>
      </c>
      <c r="G272" s="4" t="s">
        <v>448</v>
      </c>
    </row>
    <row r="273">
      <c r="A273" s="1">
        <v>271.0</v>
      </c>
      <c r="B273" s="4" t="s">
        <v>412</v>
      </c>
      <c r="C273" s="5" t="str">
        <f>IFERROR(__xludf.DUMMYFUNCTION("GOOGLETRANSLATE(D:D,""auto"",""en"")"),"Alipay annual bill")</f>
        <v>Alipay annual bill</v>
      </c>
      <c r="D273" s="4" t="s">
        <v>449</v>
      </c>
      <c r="E273" s="4">
        <v>0.0</v>
      </c>
      <c r="F273" s="4">
        <v>22.0</v>
      </c>
      <c r="G273" s="4" t="s">
        <v>450</v>
      </c>
    </row>
    <row r="274">
      <c r="A274" s="1">
        <v>272.0</v>
      </c>
      <c r="B274" s="4" t="s">
        <v>412</v>
      </c>
      <c r="C274" s="5" t="str">
        <f>IFERROR(__xludf.DUMMYFUNCTION("GOOGLETRANSLATE(D:D,""auto"",""en"")"),"Zhao Liying blue veil")</f>
        <v>Zhao Liying blue veil</v>
      </c>
      <c r="D274" s="4" t="s">
        <v>451</v>
      </c>
      <c r="E274" s="4">
        <v>0.0</v>
      </c>
      <c r="F274" s="4">
        <v>23.0</v>
      </c>
      <c r="G274" s="4" t="s">
        <v>452</v>
      </c>
    </row>
    <row r="275">
      <c r="A275" s="1">
        <v>273.0</v>
      </c>
      <c r="B275" s="4" t="s">
        <v>412</v>
      </c>
      <c r="C275" s="5" t="str">
        <f>IFERROR(__xludf.DUMMYFUNCTION("GOOGLETRANSLATE(D:D,""auto"",""en"")"),"Shanxi Jinzhong 3.7 earthquake")</f>
        <v>Shanxi Jinzhong 3.7 earthquake</v>
      </c>
      <c r="D275" s="4" t="s">
        <v>453</v>
      </c>
      <c r="E275" s="4">
        <v>0.0</v>
      </c>
      <c r="F275" s="4">
        <v>24.0</v>
      </c>
      <c r="G275" s="4" t="s">
        <v>454</v>
      </c>
    </row>
    <row r="276">
      <c r="A276" s="1">
        <v>274.0</v>
      </c>
      <c r="B276" s="4" t="s">
        <v>412</v>
      </c>
      <c r="C276" s="5" t="str">
        <f>IFERROR(__xludf.DUMMYFUNCTION("GOOGLETRANSLATE(D:D,""auto"",""en"")"),"Liuzhi Xuan push the referee expelled")</f>
        <v>Liuzhi Xuan push the referee expelled</v>
      </c>
      <c r="D276" s="4" t="s">
        <v>455</v>
      </c>
      <c r="E276" s="4">
        <v>0.0</v>
      </c>
      <c r="F276" s="4">
        <v>25.0</v>
      </c>
      <c r="G276" s="4" t="s">
        <v>456</v>
      </c>
    </row>
    <row r="277">
      <c r="A277" s="1">
        <v>275.0</v>
      </c>
      <c r="B277" s="4" t="s">
        <v>412</v>
      </c>
      <c r="C277" s="5" t="str">
        <f>IFERROR(__xludf.DUMMYFUNCTION("GOOGLETRANSLATE(D:D,""auto"",""en"")"),"Fan Bingbing is too much retouching")</f>
        <v>Fan Bingbing is too much retouching</v>
      </c>
      <c r="D277" s="4" t="s">
        <v>394</v>
      </c>
      <c r="E277" s="4">
        <v>0.0</v>
      </c>
      <c r="F277" s="4">
        <v>26.0</v>
      </c>
      <c r="G277" s="4" t="s">
        <v>395</v>
      </c>
    </row>
    <row r="278">
      <c r="A278" s="1">
        <v>276.0</v>
      </c>
      <c r="B278" s="4" t="s">
        <v>412</v>
      </c>
      <c r="C278" s="5" t="str">
        <f>IFERROR(__xludf.DUMMYFUNCTION("GOOGLETRANSLATE(D:D,""auto"",""en"")"),"Kenya attacks on US military bases")</f>
        <v>Kenya attacks on US military bases</v>
      </c>
      <c r="D278" s="4" t="s">
        <v>374</v>
      </c>
      <c r="E278" s="4">
        <v>0.0</v>
      </c>
      <c r="F278" s="4">
        <v>27.0</v>
      </c>
      <c r="G278" s="4" t="s">
        <v>375</v>
      </c>
    </row>
    <row r="279">
      <c r="A279" s="1">
        <v>277.0</v>
      </c>
      <c r="B279" s="4" t="s">
        <v>412</v>
      </c>
      <c r="C279" s="5" t="str">
        <f>IFERROR(__xludf.DUMMYFUNCTION("GOOGLETRANSLATE(D:D,""auto"",""en"")"),"After drying ZhouDongYu as wisdom teeth pulled")</f>
        <v>After drying ZhouDongYu as wisdom teeth pulled</v>
      </c>
      <c r="D279" s="4" t="s">
        <v>457</v>
      </c>
      <c r="E279" s="4">
        <v>0.0</v>
      </c>
      <c r="F279" s="4">
        <v>28.0</v>
      </c>
      <c r="G279" s="4" t="s">
        <v>458</v>
      </c>
    </row>
    <row r="280">
      <c r="A280" s="1">
        <v>278.0</v>
      </c>
      <c r="B280" s="4" t="s">
        <v>412</v>
      </c>
      <c r="C280" s="5" t="str">
        <f>IFERROR(__xludf.DUMMYFUNCTION("GOOGLETRANSLATE(D:D,""auto"",""en"")"),"Commentary bottle marry successful")</f>
        <v>Commentary bottle marry successful</v>
      </c>
      <c r="D280" s="4" t="s">
        <v>459</v>
      </c>
      <c r="E280" s="4">
        <v>0.0</v>
      </c>
      <c r="F280" s="4">
        <v>29.0</v>
      </c>
      <c r="G280" s="4" t="s">
        <v>460</v>
      </c>
    </row>
    <row r="281">
      <c r="A281" s="1">
        <v>279.0</v>
      </c>
      <c r="B281" s="4" t="s">
        <v>412</v>
      </c>
      <c r="C281" s="5" t="str">
        <f>IFERROR(__xludf.DUMMYFUNCTION("GOOGLETRANSLATE(D:D,""auto"",""en"")"),"Blizzard blue warning issued")</f>
        <v>Blizzard blue warning issued</v>
      </c>
      <c r="D281" s="4" t="s">
        <v>372</v>
      </c>
      <c r="E281" s="4">
        <v>0.0</v>
      </c>
      <c r="F281" s="4">
        <v>30.0</v>
      </c>
      <c r="G281" s="4" t="s">
        <v>373</v>
      </c>
    </row>
    <row r="282">
      <c r="A282" s="1">
        <v>280.0</v>
      </c>
      <c r="B282" s="4" t="s">
        <v>412</v>
      </c>
      <c r="C282" s="5" t="str">
        <f>IFERROR(__xludf.DUMMYFUNCTION("GOOGLETRANSLATE(D:D,""auto"",""en"")"),"Ma Rong party denies new romance")</f>
        <v>Ma Rong party denies new romance</v>
      </c>
      <c r="D282" s="4" t="s">
        <v>461</v>
      </c>
      <c r="E282" s="4">
        <v>0.0</v>
      </c>
      <c r="F282" s="4">
        <v>31.0</v>
      </c>
      <c r="G282" s="4" t="s">
        <v>462</v>
      </c>
    </row>
    <row r="283">
      <c r="A283" s="1">
        <v>281.0</v>
      </c>
      <c r="B283" s="4" t="s">
        <v>412</v>
      </c>
      <c r="C283" s="5" t="str">
        <f>IFERROR(__xludf.DUMMYFUNCTION("GOOGLETRANSLATE(D:D,""auto"",""en"")"),"Exposure to recruit international Li Tie rejected")</f>
        <v>Exposure to recruit international Li Tie rejected</v>
      </c>
      <c r="D283" s="4" t="s">
        <v>463</v>
      </c>
      <c r="E283" s="4">
        <v>0.0</v>
      </c>
      <c r="F283" s="4">
        <v>32.0</v>
      </c>
      <c r="G283" s="4" t="s">
        <v>464</v>
      </c>
    </row>
    <row r="284">
      <c r="A284" s="1">
        <v>282.0</v>
      </c>
      <c r="B284" s="4" t="s">
        <v>412</v>
      </c>
      <c r="C284" s="5" t="str">
        <f>IFERROR(__xludf.DUMMYFUNCTION("GOOGLETRANSLATE(D:D,""auto"",""en"")"),"Sulejmani daughter sound")</f>
        <v>Sulejmani daughter sound</v>
      </c>
      <c r="D284" s="4" t="s">
        <v>465</v>
      </c>
      <c r="E284" s="4">
        <v>0.0</v>
      </c>
      <c r="F284" s="4">
        <v>33.0</v>
      </c>
      <c r="G284" s="4" t="s">
        <v>466</v>
      </c>
    </row>
    <row r="285">
      <c r="A285" s="1">
        <v>283.0</v>
      </c>
      <c r="B285" s="4" t="s">
        <v>412</v>
      </c>
      <c r="C285" s="5" t="str">
        <f>IFERROR(__xludf.DUMMYFUNCTION("GOOGLETRANSLATE(D:D,""auto"",""en"")"),"Li Tie to lead the Orangemen first training")</f>
        <v>Li Tie to lead the Orangemen first training</v>
      </c>
      <c r="D285" s="4" t="s">
        <v>467</v>
      </c>
      <c r="E285" s="4">
        <v>0.0</v>
      </c>
      <c r="F285" s="4">
        <v>34.0</v>
      </c>
      <c r="G285" s="4" t="s">
        <v>468</v>
      </c>
    </row>
    <row r="286">
      <c r="A286" s="1">
        <v>284.0</v>
      </c>
      <c r="B286" s="4" t="s">
        <v>412</v>
      </c>
      <c r="C286" s="5" t="str">
        <f>IFERROR(__xludf.DUMMYFUNCTION("GOOGLETRANSLATE(D:D,""auto"",""en"")"),"Ma has promised wish to be dug out")</f>
        <v>Ma has promised wish to be dug out</v>
      </c>
      <c r="D286" s="4" t="s">
        <v>469</v>
      </c>
      <c r="E286" s="4">
        <v>0.0</v>
      </c>
      <c r="F286" s="4">
        <v>35.0</v>
      </c>
      <c r="G286" s="4" t="s">
        <v>470</v>
      </c>
    </row>
    <row r="287">
      <c r="A287" s="1">
        <v>285.0</v>
      </c>
      <c r="B287" s="4" t="s">
        <v>412</v>
      </c>
      <c r="C287" s="5" t="str">
        <f>IFERROR(__xludf.DUMMYFUNCTION("GOOGLETRANSLATE(D:D,""auto"",""en"")"),"Yu Zheng seconds to delete the text controversy")</f>
        <v>Yu Zheng seconds to delete the text controversy</v>
      </c>
      <c r="D287" s="4" t="s">
        <v>471</v>
      </c>
      <c r="E287" s="4">
        <v>0.0</v>
      </c>
      <c r="F287" s="4">
        <v>36.0</v>
      </c>
      <c r="G287" s="4" t="s">
        <v>472</v>
      </c>
    </row>
    <row r="288">
      <c r="A288" s="1">
        <v>286.0</v>
      </c>
      <c r="B288" s="4" t="s">
        <v>412</v>
      </c>
      <c r="C288" s="5" t="str">
        <f>IFERROR(__xludf.DUMMYFUNCTION("GOOGLETRANSLATE(D:D,""auto"",""en"")"),"Hayden sweet box with the rank and file")</f>
        <v>Hayden sweet box with the rank and file</v>
      </c>
      <c r="D288" s="4" t="s">
        <v>473</v>
      </c>
      <c r="E288" s="4">
        <v>0.0</v>
      </c>
      <c r="F288" s="4">
        <v>37.0</v>
      </c>
      <c r="G288" s="4" t="s">
        <v>474</v>
      </c>
    </row>
    <row r="289">
      <c r="A289" s="1">
        <v>287.0</v>
      </c>
      <c r="B289" s="4" t="s">
        <v>412</v>
      </c>
      <c r="C289" s="5" t="str">
        <f>IFERROR(__xludf.DUMMYFUNCTION("GOOGLETRANSLATE(D:D,""auto"",""en"")"),"Ministry of Foreign Affairs to respond to the US-Iraq conflicts")</f>
        <v>Ministry of Foreign Affairs to respond to the US-Iraq conflicts</v>
      </c>
      <c r="D289" s="4" t="s">
        <v>475</v>
      </c>
      <c r="E289" s="4">
        <v>0.0</v>
      </c>
      <c r="F289" s="4">
        <v>38.0</v>
      </c>
      <c r="G289" s="4" t="s">
        <v>476</v>
      </c>
    </row>
    <row r="290">
      <c r="A290" s="1">
        <v>288.0</v>
      </c>
      <c r="B290" s="4" t="s">
        <v>412</v>
      </c>
      <c r="C290" s="5" t="str">
        <f>IFERROR(__xludf.DUMMYFUNCTION("GOOGLETRANSLATE(D:D,""auto"",""en"")"),"Fujian lost to a expectant women")</f>
        <v>Fujian lost to a expectant women</v>
      </c>
      <c r="D290" s="4" t="s">
        <v>477</v>
      </c>
      <c r="E290" s="4">
        <v>0.0</v>
      </c>
      <c r="F290" s="4">
        <v>39.0</v>
      </c>
      <c r="G290" s="4" t="s">
        <v>478</v>
      </c>
    </row>
    <row r="291">
      <c r="A291" s="1">
        <v>289.0</v>
      </c>
      <c r="B291" s="4" t="s">
        <v>412</v>
      </c>
      <c r="C291" s="5" t="str">
        <f>IFERROR(__xludf.DUMMYFUNCTION("GOOGLETRANSLATE(D:D,""auto"",""en"")"),"Jingxian scale cloud over Fuzhou")</f>
        <v>Jingxian scale cloud over Fuzhou</v>
      </c>
      <c r="D291" s="4" t="s">
        <v>479</v>
      </c>
      <c r="E291" s="4">
        <v>0.0</v>
      </c>
      <c r="F291" s="4">
        <v>40.0</v>
      </c>
      <c r="G291" s="4" t="s">
        <v>480</v>
      </c>
    </row>
    <row r="292">
      <c r="A292" s="1">
        <v>290.0</v>
      </c>
      <c r="B292" s="4" t="s">
        <v>412</v>
      </c>
      <c r="C292" s="5" t="str">
        <f>IFERROR(__xludf.DUMMYFUNCTION("GOOGLETRANSLATE(D:D,""auto"",""en"")"),"Trump again warned Iran")</f>
        <v>Trump again warned Iran</v>
      </c>
      <c r="D292" s="4" t="s">
        <v>368</v>
      </c>
      <c r="E292" s="4">
        <v>0.0</v>
      </c>
      <c r="F292" s="4">
        <v>41.0</v>
      </c>
      <c r="G292" s="4" t="s">
        <v>369</v>
      </c>
    </row>
    <row r="293">
      <c r="A293" s="1">
        <v>291.0</v>
      </c>
      <c r="B293" s="4" t="s">
        <v>412</v>
      </c>
      <c r="C293" s="5" t="str">
        <f>IFERROR(__xludf.DUMMYFUNCTION("GOOGLETRANSLATE(D:D,""auto"",""en"")"),"Jordan Chan filter under beauty")</f>
        <v>Jordan Chan filter under beauty</v>
      </c>
      <c r="D293" s="4" t="s">
        <v>481</v>
      </c>
      <c r="E293" s="4">
        <v>0.0</v>
      </c>
      <c r="F293" s="4">
        <v>42.0</v>
      </c>
      <c r="G293" s="4" t="s">
        <v>482</v>
      </c>
    </row>
    <row r="294">
      <c r="A294" s="1">
        <v>292.0</v>
      </c>
      <c r="B294" s="4" t="s">
        <v>412</v>
      </c>
      <c r="C294" s="5" t="str">
        <f>IFERROR(__xludf.DUMMYFUNCTION("GOOGLETRANSLATE(D:D,""auto"",""en"")"),"German Foreign Minister angered Tehran")</f>
        <v>German Foreign Minister angered Tehran</v>
      </c>
      <c r="D294" s="4" t="s">
        <v>483</v>
      </c>
      <c r="E294" s="4">
        <v>0.0</v>
      </c>
      <c r="F294" s="4">
        <v>43.0</v>
      </c>
      <c r="G294" s="4" t="s">
        <v>484</v>
      </c>
    </row>
    <row r="295">
      <c r="A295" s="1">
        <v>293.0</v>
      </c>
      <c r="B295" s="4" t="s">
        <v>412</v>
      </c>
      <c r="C295" s="5" t="str">
        <f>IFERROR(__xludf.DUMMYFUNCTION("GOOGLETRANSLATE(D:D,""auto"",""en"")"),"US outbreak of anti-war demonstrations")</f>
        <v>US outbreak of anti-war demonstrations</v>
      </c>
      <c r="D295" s="4" t="s">
        <v>364</v>
      </c>
      <c r="E295" s="4">
        <v>0.0</v>
      </c>
      <c r="F295" s="4">
        <v>44.0</v>
      </c>
      <c r="G295" s="4" t="s">
        <v>365</v>
      </c>
    </row>
    <row r="296">
      <c r="A296" s="1">
        <v>294.0</v>
      </c>
      <c r="B296" s="4" t="s">
        <v>412</v>
      </c>
      <c r="C296" s="5" t="str">
        <f>IFERROR(__xludf.DUMMYFUNCTION("GOOGLETRANSLATE(D:D,""auto"",""en"")"),"Iran received US letter")</f>
        <v>Iran received US letter</v>
      </c>
      <c r="D296" s="4" t="s">
        <v>356</v>
      </c>
      <c r="E296" s="4">
        <v>0.0</v>
      </c>
      <c r="F296" s="4">
        <v>45.0</v>
      </c>
      <c r="G296" s="4" t="s">
        <v>357</v>
      </c>
    </row>
    <row r="297">
      <c r="A297" s="1">
        <v>295.0</v>
      </c>
      <c r="B297" s="4" t="s">
        <v>412</v>
      </c>
      <c r="C297" s="5" t="str">
        <f>IFERROR(__xludf.DUMMYFUNCTION("GOOGLETRANSLATE(D:D,""auto"",""en"")"),"Elevator negative 1 layer 27 layer slammed")</f>
        <v>Elevator negative 1 layer 27 layer slammed</v>
      </c>
      <c r="D297" s="4" t="s">
        <v>485</v>
      </c>
      <c r="E297" s="4">
        <v>0.0</v>
      </c>
      <c r="F297" s="4">
        <v>46.0</v>
      </c>
      <c r="G297" s="4" t="s">
        <v>486</v>
      </c>
    </row>
    <row r="298">
      <c r="A298" s="1">
        <v>296.0</v>
      </c>
      <c r="B298" s="4" t="s">
        <v>412</v>
      </c>
      <c r="C298" s="5" t="str">
        <f>IFERROR(__xludf.DUMMYFUNCTION("GOOGLETRANSLATE(D:D,""auto"",""en"")"),"Shiquan Street Suzhou near collapse")</f>
        <v>Shiquan Street Suzhou near collapse</v>
      </c>
      <c r="D298" s="4" t="s">
        <v>487</v>
      </c>
      <c r="E298" s="4">
        <v>0.0</v>
      </c>
      <c r="F298" s="4">
        <v>47.0</v>
      </c>
      <c r="G298" s="4" t="s">
        <v>488</v>
      </c>
    </row>
    <row r="299">
      <c r="A299" s="1">
        <v>297.0</v>
      </c>
      <c r="B299" s="4" t="s">
        <v>412</v>
      </c>
      <c r="C299" s="5" t="str">
        <f>IFERROR(__xludf.DUMMYFUNCTION("GOOGLETRANSLATE(D:D,""auto"",""en"")"),"Iran or suspend Iran's nuclear agreement")</f>
        <v>Iran or suspend Iran's nuclear agreement</v>
      </c>
      <c r="D299" s="4" t="s">
        <v>398</v>
      </c>
      <c r="E299" s="4">
        <v>0.0</v>
      </c>
      <c r="F299" s="4">
        <v>48.0</v>
      </c>
      <c r="G299" s="4" t="s">
        <v>399</v>
      </c>
    </row>
    <row r="300">
      <c r="A300" s="1">
        <v>298.0</v>
      </c>
      <c r="B300" s="4" t="s">
        <v>412</v>
      </c>
      <c r="C300" s="5" t="str">
        <f>IFERROR(__xludf.DUMMYFUNCTION("GOOGLETRANSLATE(D:D,""auto"",""en"")"),"77th Annual Golden Globe Awards")</f>
        <v>77th Annual Golden Globe Awards</v>
      </c>
      <c r="D300" s="4" t="s">
        <v>489</v>
      </c>
      <c r="E300" s="4">
        <v>0.0</v>
      </c>
      <c r="F300" s="4">
        <v>49.0</v>
      </c>
      <c r="G300" s="4" t="s">
        <v>490</v>
      </c>
    </row>
    <row r="301">
      <c r="A301" s="1">
        <v>299.0</v>
      </c>
      <c r="B301" s="4" t="s">
        <v>412</v>
      </c>
      <c r="C301" s="5" t="str">
        <f>IFERROR(__xludf.DUMMYFUNCTION("GOOGLETRANSLATE(D:D,""auto"",""en"")"),"Turkey sent troops to Libya")</f>
        <v>Turkey sent troops to Libya</v>
      </c>
      <c r="D301" s="4" t="s">
        <v>491</v>
      </c>
      <c r="E301" s="4">
        <v>0.0</v>
      </c>
      <c r="F301" s="4">
        <v>50.0</v>
      </c>
      <c r="G301" s="4" t="s">
        <v>492</v>
      </c>
    </row>
    <row r="302">
      <c r="A302" s="1">
        <v>300.0</v>
      </c>
      <c r="B302" s="4" t="s">
        <v>493</v>
      </c>
      <c r="C302" s="5" t="str">
        <f>IFERROR(__xludf.DUMMYFUNCTION("GOOGLETRANSLATE(D:D,""auto"",""en"")"),"Shanxi Jinzhong 3.7 earthquake")</f>
        <v>Shanxi Jinzhong 3.7 earthquake</v>
      </c>
      <c r="D302" s="4" t="s">
        <v>453</v>
      </c>
      <c r="E302" s="4">
        <v>0.0</v>
      </c>
      <c r="F302" s="4">
        <v>1.0</v>
      </c>
      <c r="G302" s="4" t="s">
        <v>454</v>
      </c>
    </row>
    <row r="303">
      <c r="A303" s="1">
        <v>301.0</v>
      </c>
      <c r="B303" s="4" t="s">
        <v>493</v>
      </c>
      <c r="C303" s="5" t="str">
        <f>IFERROR(__xludf.DUMMYFUNCTION("GOOGLETRANSLATE(D:D,""auto"",""en"")"),"Exposure to recruit international Li Tie rejected")</f>
        <v>Exposure to recruit international Li Tie rejected</v>
      </c>
      <c r="D303" s="4" t="s">
        <v>463</v>
      </c>
      <c r="E303" s="4">
        <v>0.0</v>
      </c>
      <c r="F303" s="4">
        <v>2.0</v>
      </c>
      <c r="G303" s="4" t="s">
        <v>464</v>
      </c>
    </row>
    <row r="304">
      <c r="A304" s="1">
        <v>302.0</v>
      </c>
      <c r="B304" s="4" t="s">
        <v>493</v>
      </c>
      <c r="C304" s="5" t="str">
        <f>IFERROR(__xludf.DUMMYFUNCTION("GOOGLETRANSLATE(D:D,""auto"",""en"")"),"Risk of further attacks on US military bases")</f>
        <v>Risk of further attacks on US military bases</v>
      </c>
      <c r="D304" s="4" t="s">
        <v>494</v>
      </c>
      <c r="E304" s="4">
        <v>0.0</v>
      </c>
      <c r="F304" s="4">
        <v>3.0</v>
      </c>
      <c r="G304" s="4" t="s">
        <v>495</v>
      </c>
    </row>
    <row r="305">
      <c r="A305" s="1">
        <v>303.0</v>
      </c>
      <c r="B305" s="4" t="s">
        <v>493</v>
      </c>
      <c r="C305" s="5" t="str">
        <f>IFERROR(__xludf.DUMMYFUNCTION("GOOGLETRANSLATE(D:D,""auto"",""en"")"),"Iran raised red banners")</f>
        <v>Iran raised red banners</v>
      </c>
      <c r="D305" s="4" t="s">
        <v>496</v>
      </c>
      <c r="E305" s="4">
        <v>0.0</v>
      </c>
      <c r="F305" s="4">
        <v>4.0</v>
      </c>
      <c r="G305" s="4" t="s">
        <v>497</v>
      </c>
    </row>
    <row r="306">
      <c r="A306" s="1">
        <v>304.0</v>
      </c>
      <c r="B306" s="4" t="s">
        <v>493</v>
      </c>
      <c r="C306" s="5" t="str">
        <f>IFERROR(__xludf.DUMMYFUNCTION("GOOGLETRANSLATE(D:D,""auto"",""en"")"),"Wuhan, a construction site collapse occurred")</f>
        <v>Wuhan, a construction site collapse occurred</v>
      </c>
      <c r="D306" s="4" t="s">
        <v>441</v>
      </c>
      <c r="E306" s="4">
        <v>0.0</v>
      </c>
      <c r="F306" s="4">
        <v>5.0</v>
      </c>
      <c r="G306" s="4" t="s">
        <v>442</v>
      </c>
    </row>
    <row r="307">
      <c r="A307" s="1">
        <v>305.0</v>
      </c>
      <c r="B307" s="4" t="s">
        <v>493</v>
      </c>
      <c r="C307" s="5" t="str">
        <f>IFERROR(__xludf.DUMMYFUNCTION("GOOGLETRANSLATE(D:D,""auto"",""en"")"),"Jingxian scale cloud over Fuzhou")</f>
        <v>Jingxian scale cloud over Fuzhou</v>
      </c>
      <c r="D307" s="4" t="s">
        <v>479</v>
      </c>
      <c r="E307" s="4">
        <v>0.0</v>
      </c>
      <c r="F307" s="4">
        <v>6.0</v>
      </c>
      <c r="G307" s="4" t="s">
        <v>480</v>
      </c>
    </row>
    <row r="308">
      <c r="A308" s="1">
        <v>306.0</v>
      </c>
      <c r="B308" s="4" t="s">
        <v>493</v>
      </c>
      <c r="C308" s="5" t="str">
        <f>IFERROR(__xludf.DUMMYFUNCTION("GOOGLETRANSLATE(D:D,""auto"",""en"")"),"Ming Zhu Di elegance offline")</f>
        <v>Ming Zhu Di elegance offline</v>
      </c>
      <c r="D308" s="4" t="s">
        <v>498</v>
      </c>
      <c r="E308" s="4">
        <v>0.0</v>
      </c>
      <c r="F308" s="4">
        <v>7.0</v>
      </c>
      <c r="G308" s="4" t="s">
        <v>499</v>
      </c>
    </row>
    <row r="309">
      <c r="A309" s="1">
        <v>307.0</v>
      </c>
      <c r="B309" s="4" t="s">
        <v>493</v>
      </c>
      <c r="C309" s="5" t="str">
        <f>IFERROR(__xludf.DUMMYFUNCTION("GOOGLETRANSLATE(D:D,""auto"",""en"")"),"Joe Chen Ming is sound")</f>
        <v>Joe Chen Ming is sound</v>
      </c>
      <c r="D309" s="4" t="s">
        <v>500</v>
      </c>
      <c r="E309" s="4">
        <v>0.0</v>
      </c>
      <c r="F309" s="4">
        <v>8.0</v>
      </c>
      <c r="G309" s="4" t="s">
        <v>501</v>
      </c>
    </row>
    <row r="310">
      <c r="A310" s="1">
        <v>308.0</v>
      </c>
      <c r="B310" s="4" t="s">
        <v>493</v>
      </c>
      <c r="C310" s="5" t="str">
        <f>IFERROR(__xludf.DUMMYFUNCTION("GOOGLETRANSLATE(D:D,""auto"",""en"")"),"Australia now Scarlet sky")</f>
        <v>Australia now Scarlet sky</v>
      </c>
      <c r="D310" s="4" t="s">
        <v>502</v>
      </c>
      <c r="E310" s="4">
        <v>0.0</v>
      </c>
      <c r="F310" s="4">
        <v>9.0</v>
      </c>
      <c r="G310" s="4" t="s">
        <v>503</v>
      </c>
    </row>
    <row r="311">
      <c r="A311" s="1">
        <v>309.0</v>
      </c>
      <c r="B311" s="4" t="s">
        <v>493</v>
      </c>
      <c r="C311" s="5" t="str">
        <f>IFERROR(__xludf.DUMMYFUNCTION("GOOGLETRANSLATE(D:D,""auto"",""en"")"),"Mei Ting foot aircraft display")</f>
        <v>Mei Ting foot aircraft display</v>
      </c>
      <c r="D311" s="4" t="s">
        <v>504</v>
      </c>
      <c r="E311" s="4">
        <v>0.0</v>
      </c>
      <c r="F311" s="4">
        <v>10.0</v>
      </c>
      <c r="G311" s="4" t="s">
        <v>505</v>
      </c>
    </row>
    <row r="312">
      <c r="A312" s="1">
        <v>310.0</v>
      </c>
      <c r="B312" s="4" t="s">
        <v>493</v>
      </c>
      <c r="C312" s="5" t="str">
        <f>IFERROR(__xludf.DUMMYFUNCTION("GOOGLETRANSLATE(D:D,""auto"",""en"")"),"Iran's foreign minister three questions Trump")</f>
        <v>Iran's foreign minister three questions Trump</v>
      </c>
      <c r="D312" s="4" t="s">
        <v>506</v>
      </c>
      <c r="E312" s="4">
        <v>0.0</v>
      </c>
      <c r="F312" s="4">
        <v>11.0</v>
      </c>
      <c r="G312" s="4" t="s">
        <v>507</v>
      </c>
    </row>
    <row r="313">
      <c r="A313" s="1">
        <v>311.0</v>
      </c>
      <c r="B313" s="4" t="s">
        <v>493</v>
      </c>
      <c r="C313" s="5" t="str">
        <f>IFERROR(__xludf.DUMMYFUNCTION("GOOGLETRANSLATE(D:D,""auto"",""en"")"),"Iranian President hit back at Trump")</f>
        <v>Iranian President hit back at Trump</v>
      </c>
      <c r="D313" s="4" t="s">
        <v>508</v>
      </c>
      <c r="E313" s="4">
        <v>0.0</v>
      </c>
      <c r="F313" s="4">
        <v>12.0</v>
      </c>
      <c r="G313" s="4" t="s">
        <v>509</v>
      </c>
    </row>
    <row r="314">
      <c r="A314" s="1">
        <v>312.0</v>
      </c>
      <c r="B314" s="4" t="s">
        <v>493</v>
      </c>
      <c r="C314" s="5" t="str">
        <f>IFERROR(__xludf.DUMMYFUNCTION("GOOGLETRANSLATE(D:D,""auto"",""en"")"),"Tong Liya Chen Sicheng exposed divorce")</f>
        <v>Tong Liya Chen Sicheng exposed divorce</v>
      </c>
      <c r="D314" s="4" t="s">
        <v>510</v>
      </c>
      <c r="E314" s="4">
        <v>0.0</v>
      </c>
      <c r="F314" s="4">
        <v>13.0</v>
      </c>
      <c r="G314" s="4" t="s">
        <v>511</v>
      </c>
    </row>
    <row r="315">
      <c r="A315" s="1">
        <v>313.0</v>
      </c>
      <c r="B315" s="4" t="s">
        <v>493</v>
      </c>
      <c r="C315" s="5" t="str">
        <f>IFERROR(__xludf.DUMMYFUNCTION("GOOGLETRANSLATE(D:D,""auto"",""en"")"),"Iran's foreign minister denied by the US")</f>
        <v>Iran's foreign minister denied by the US</v>
      </c>
      <c r="D315" s="4" t="s">
        <v>512</v>
      </c>
      <c r="E315" s="4">
        <v>0.0</v>
      </c>
      <c r="F315" s="4">
        <v>14.0</v>
      </c>
      <c r="G315" s="4" t="s">
        <v>513</v>
      </c>
    </row>
    <row r="316">
      <c r="A316" s="1">
        <v>314.0</v>
      </c>
      <c r="B316" s="4" t="s">
        <v>493</v>
      </c>
      <c r="C316" s="5" t="str">
        <f>IFERROR(__xludf.DUMMYFUNCTION("GOOGLETRANSLATE(D:D,""auto"",""en"")"),"Ma in response to rumors of layoffs")</f>
        <v>Ma in response to rumors of layoffs</v>
      </c>
      <c r="D316" s="4" t="s">
        <v>514</v>
      </c>
      <c r="E316" s="4">
        <v>0.0</v>
      </c>
      <c r="F316" s="4">
        <v>15.0</v>
      </c>
      <c r="G316" s="4" t="s">
        <v>515</v>
      </c>
    </row>
    <row r="317">
      <c r="A317" s="1">
        <v>315.0</v>
      </c>
      <c r="B317" s="4" t="s">
        <v>493</v>
      </c>
      <c r="C317" s="5" t="str">
        <f>IFERROR(__xludf.DUMMYFUNCTION("GOOGLETRANSLATE(D:D,""auto"",""en"")"),"Henan appear thundersnow phenomenon")</f>
        <v>Henan appear thundersnow phenomenon</v>
      </c>
      <c r="D317" s="4" t="s">
        <v>516</v>
      </c>
      <c r="E317" s="4">
        <v>0.0</v>
      </c>
      <c r="F317" s="4">
        <v>16.0</v>
      </c>
      <c r="G317" s="4" t="s">
        <v>517</v>
      </c>
    </row>
    <row r="318">
      <c r="A318" s="1">
        <v>316.0</v>
      </c>
      <c r="B318" s="4" t="s">
        <v>493</v>
      </c>
      <c r="C318" s="5" t="str">
        <f>IFERROR(__xludf.DUMMYFUNCTION("GOOGLETRANSLATE(D:D,""auto"",""en"")"),"Iran approved the bill Revenge")</f>
        <v>Iran approved the bill Revenge</v>
      </c>
      <c r="D318" s="4" t="s">
        <v>518</v>
      </c>
      <c r="E318" s="4">
        <v>0.0</v>
      </c>
      <c r="F318" s="4">
        <v>17.0</v>
      </c>
      <c r="G318" s="4" t="s">
        <v>519</v>
      </c>
    </row>
    <row r="319">
      <c r="A319" s="1">
        <v>317.0</v>
      </c>
      <c r="B319" s="4" t="s">
        <v>493</v>
      </c>
      <c r="C319" s="5" t="str">
        <f>IFERROR(__xludf.DUMMYFUNCTION("GOOGLETRANSLATE(D:D,""auto"",""en"")"),"Boy was pressed awarded 320 million")</f>
        <v>Boy was pressed awarded 320 million</v>
      </c>
      <c r="D319" s="4" t="s">
        <v>520</v>
      </c>
      <c r="E319" s="4">
        <v>0.0</v>
      </c>
      <c r="F319" s="4">
        <v>18.0</v>
      </c>
      <c r="G319" s="4" t="s">
        <v>521</v>
      </c>
    </row>
    <row r="320">
      <c r="A320" s="1">
        <v>318.0</v>
      </c>
      <c r="B320" s="4" t="s">
        <v>493</v>
      </c>
      <c r="C320" s="5" t="str">
        <f>IFERROR(__xludf.DUMMYFUNCTION("GOOGLETRANSLATE(D:D,""auto"",""en"")"),"Sulaymaniyah funeral stampede now")</f>
        <v>Sulaymaniyah funeral stampede now</v>
      </c>
      <c r="D320" s="4" t="s">
        <v>522</v>
      </c>
      <c r="E320" s="4">
        <v>0.0</v>
      </c>
      <c r="F320" s="4">
        <v>19.0</v>
      </c>
      <c r="G320" s="4" t="s">
        <v>523</v>
      </c>
    </row>
    <row r="321">
      <c r="A321" s="1">
        <v>319.0</v>
      </c>
      <c r="B321" s="4" t="s">
        <v>493</v>
      </c>
      <c r="C321" s="5" t="str">
        <f>IFERROR(__xludf.DUMMYFUNCTION("GOOGLETRANSLATE(D:D,""auto"",""en"")"),"Zheng Shuang sent us a statement")</f>
        <v>Zheng Shuang sent us a statement</v>
      </c>
      <c r="D321" s="4" t="s">
        <v>524</v>
      </c>
      <c r="E321" s="4">
        <v>0.0</v>
      </c>
      <c r="F321" s="4">
        <v>20.0</v>
      </c>
      <c r="G321" s="4" t="s">
        <v>525</v>
      </c>
    </row>
    <row r="322">
      <c r="A322" s="1">
        <v>320.0</v>
      </c>
      <c r="B322" s="4" t="s">
        <v>493</v>
      </c>
      <c r="C322" s="5" t="str">
        <f>IFERROR(__xludf.DUMMYFUNCTION("GOOGLETRANSLATE(D:D,""auto"",""en"")"),"6.3 earthquake occurred in Indonesia")</f>
        <v>6.3 earthquake occurred in Indonesia</v>
      </c>
      <c r="D322" s="4" t="s">
        <v>526</v>
      </c>
      <c r="E322" s="4">
        <v>0.0</v>
      </c>
      <c r="F322" s="4">
        <v>21.0</v>
      </c>
      <c r="G322" s="4" t="s">
        <v>527</v>
      </c>
    </row>
    <row r="323">
      <c r="A323" s="1">
        <v>321.0</v>
      </c>
      <c r="B323" s="4" t="s">
        <v>493</v>
      </c>
      <c r="C323" s="5" t="str">
        <f>IFERROR(__xludf.DUMMYFUNCTION("GOOGLETRANSLATE(D:D,""auto"",""en"")"),"German Foreign Minister angered Tehran")</f>
        <v>German Foreign Minister angered Tehran</v>
      </c>
      <c r="D323" s="4" t="s">
        <v>483</v>
      </c>
      <c r="E323" s="4">
        <v>0.0</v>
      </c>
      <c r="F323" s="4">
        <v>22.0</v>
      </c>
      <c r="G323" s="4" t="s">
        <v>484</v>
      </c>
    </row>
    <row r="324">
      <c r="A324" s="1">
        <v>322.0</v>
      </c>
      <c r="B324" s="4" t="s">
        <v>493</v>
      </c>
      <c r="C324" s="5" t="str">
        <f>IFERROR(__xludf.DUMMYFUNCTION("GOOGLETRANSLATE(D:D,""auto"",""en"")"),"19-year-old girl lost to 7 days")</f>
        <v>19-year-old girl lost to 7 days</v>
      </c>
      <c r="D324" s="4" t="s">
        <v>528</v>
      </c>
      <c r="E324" s="4">
        <v>0.0</v>
      </c>
      <c r="F324" s="4">
        <v>23.0</v>
      </c>
      <c r="G324" s="4" t="s">
        <v>529</v>
      </c>
    </row>
    <row r="325">
      <c r="A325" s="1">
        <v>323.0</v>
      </c>
      <c r="B325" s="4" t="s">
        <v>493</v>
      </c>
      <c r="C325" s="5" t="str">
        <f>IFERROR(__xludf.DUMMYFUNCTION("GOOGLETRANSLATE(D:D,""auto"",""en"")"),"C Lo staged the first cap 2020")</f>
        <v>C Lo staged the first cap 2020</v>
      </c>
      <c r="D325" s="4" t="s">
        <v>530</v>
      </c>
      <c r="E325" s="4">
        <v>0.0</v>
      </c>
      <c r="F325" s="4">
        <v>24.0</v>
      </c>
      <c r="G325" s="4" t="s">
        <v>531</v>
      </c>
    </row>
    <row r="326">
      <c r="A326" s="1">
        <v>324.0</v>
      </c>
      <c r="B326" s="4" t="s">
        <v>493</v>
      </c>
      <c r="C326" s="5" t="str">
        <f>IFERROR(__xludf.DUMMYFUNCTION("GOOGLETRANSLATE(D:D,""auto"",""en"")"),"Xiao Zhan Wang Kai fell asleep activities")</f>
        <v>Xiao Zhan Wang Kai fell asleep activities</v>
      </c>
      <c r="D326" s="4" t="s">
        <v>532</v>
      </c>
      <c r="E326" s="4">
        <v>0.0</v>
      </c>
      <c r="F326" s="4">
        <v>25.0</v>
      </c>
      <c r="G326" s="4" t="s">
        <v>533</v>
      </c>
    </row>
    <row r="327">
      <c r="A327" s="1">
        <v>325.0</v>
      </c>
      <c r="B327" s="4" t="s">
        <v>493</v>
      </c>
      <c r="C327" s="5" t="str">
        <f>IFERROR(__xludf.DUMMYFUNCTION("GOOGLETRANSLATE(D:D,""auto"",""en"")"),"Ming brother last figure")</f>
        <v>Ming brother last figure</v>
      </c>
      <c r="D327" s="4" t="s">
        <v>534</v>
      </c>
      <c r="E327" s="4">
        <v>0.0</v>
      </c>
      <c r="F327" s="4">
        <v>26.0</v>
      </c>
      <c r="G327" s="4" t="s">
        <v>535</v>
      </c>
    </row>
    <row r="328">
      <c r="A328" s="1">
        <v>326.0</v>
      </c>
      <c r="B328" s="4" t="s">
        <v>493</v>
      </c>
      <c r="C328" s="5" t="str">
        <f>IFERROR(__xludf.DUMMYFUNCTION("GOOGLETRANSLATE(D:D,""auto"",""en"")"),"Ma Zaibao verse")</f>
        <v>Ma Zaibao verse</v>
      </c>
      <c r="D328" s="4" t="s">
        <v>536</v>
      </c>
      <c r="E328" s="4">
        <v>0.0</v>
      </c>
      <c r="F328" s="4">
        <v>27.0</v>
      </c>
      <c r="G328" s="4" t="s">
        <v>537</v>
      </c>
    </row>
    <row r="329">
      <c r="A329" s="1">
        <v>327.0</v>
      </c>
      <c r="B329" s="4" t="s">
        <v>493</v>
      </c>
      <c r="C329" s="5" t="str">
        <f>IFERROR(__xludf.DUMMYFUNCTION("GOOGLETRANSLATE(D:D,""auto"",""en"")"),"Gary Superman return back")</f>
        <v>Gary Superman return back</v>
      </c>
      <c r="D329" s="4" t="s">
        <v>538</v>
      </c>
      <c r="E329" s="4">
        <v>0.0</v>
      </c>
      <c r="F329" s="4">
        <v>28.0</v>
      </c>
      <c r="G329" s="4" t="s">
        <v>539</v>
      </c>
    </row>
    <row r="330">
      <c r="A330" s="1">
        <v>328.0</v>
      </c>
      <c r="B330" s="4" t="s">
        <v>493</v>
      </c>
      <c r="C330" s="5" t="str">
        <f>IFERROR(__xludf.DUMMYFUNCTION("GOOGLETRANSLATE(D:D,""auto"",""en"")"),"Love apartment no longer have a sequel")</f>
        <v>Love apartment no longer have a sequel</v>
      </c>
      <c r="D330" s="4" t="s">
        <v>540</v>
      </c>
      <c r="E330" s="4">
        <v>0.0</v>
      </c>
      <c r="F330" s="4">
        <v>29.0</v>
      </c>
      <c r="G330" s="4" t="s">
        <v>541</v>
      </c>
    </row>
    <row r="331">
      <c r="A331" s="1">
        <v>329.0</v>
      </c>
      <c r="B331" s="4" t="s">
        <v>493</v>
      </c>
      <c r="C331" s="5" t="str">
        <f>IFERROR(__xludf.DUMMYFUNCTION("GOOGLETRANSLATE(D:D,""auto"",""en"")"),"Yan Gao Yuanyuan postpartum value soar")</f>
        <v>Yan Gao Yuanyuan postpartum value soar</v>
      </c>
      <c r="D331" s="4" t="s">
        <v>542</v>
      </c>
      <c r="E331" s="4">
        <v>0.0</v>
      </c>
      <c r="F331" s="4">
        <v>30.0</v>
      </c>
      <c r="G331" s="4" t="s">
        <v>543</v>
      </c>
    </row>
    <row r="332">
      <c r="A332" s="1">
        <v>330.0</v>
      </c>
      <c r="B332" s="4" t="s">
        <v>493</v>
      </c>
      <c r="C332" s="5" t="str">
        <f>IFERROR(__xludf.DUMMYFUNCTION("GOOGLETRANSLATE(D:D,""auto"",""en"")"),"Chinese tourists were chopped in Japan")</f>
        <v>Chinese tourists were chopped in Japan</v>
      </c>
      <c r="D332" s="4" t="s">
        <v>437</v>
      </c>
      <c r="E332" s="4">
        <v>0.0</v>
      </c>
      <c r="F332" s="4">
        <v>31.0</v>
      </c>
      <c r="G332" s="4" t="s">
        <v>438</v>
      </c>
    </row>
    <row r="333">
      <c r="A333" s="1">
        <v>331.0</v>
      </c>
      <c r="B333" s="4" t="s">
        <v>493</v>
      </c>
      <c r="C333" s="5" t="str">
        <f>IFERROR(__xludf.DUMMYFUNCTION("GOOGLETRANSLATE(D:D,""auto"",""en"")"),"Gao Lin Feng Xiaoting leaving the team exposed")</f>
        <v>Gao Lin Feng Xiaoting leaving the team exposed</v>
      </c>
      <c r="D333" s="4" t="s">
        <v>544</v>
      </c>
      <c r="E333" s="4">
        <v>0.0</v>
      </c>
      <c r="F333" s="4">
        <v>32.0</v>
      </c>
      <c r="G333" s="4" t="s">
        <v>545</v>
      </c>
    </row>
    <row r="334">
      <c r="A334" s="1">
        <v>332.0</v>
      </c>
      <c r="B334" s="4" t="s">
        <v>493</v>
      </c>
      <c r="C334" s="5" t="str">
        <f>IFERROR(__xludf.DUMMYFUNCTION("GOOGLETRANSLATE(D:D,""auto"",""en"")"),"Teacher suspect case was traced Photo")</f>
        <v>Teacher suspect case was traced Photo</v>
      </c>
      <c r="D334" s="4" t="s">
        <v>546</v>
      </c>
      <c r="E334" s="4">
        <v>0.0</v>
      </c>
      <c r="F334" s="4">
        <v>33.0</v>
      </c>
      <c r="G334" s="4" t="s">
        <v>547</v>
      </c>
    </row>
    <row r="335">
      <c r="A335" s="1">
        <v>333.0</v>
      </c>
      <c r="B335" s="4" t="s">
        <v>493</v>
      </c>
      <c r="C335" s="5" t="str">
        <f>IFERROR(__xludf.DUMMYFUNCTION("GOOGLETRANSLATE(D:D,""auto"",""en"")"),"100 seconds to see the new US-Iraq situation")</f>
        <v>100 seconds to see the new US-Iraq situation</v>
      </c>
      <c r="D335" s="4" t="s">
        <v>548</v>
      </c>
      <c r="E335" s="4">
        <v>0.0</v>
      </c>
      <c r="F335" s="4">
        <v>34.0</v>
      </c>
      <c r="G335" s="4" t="s">
        <v>549</v>
      </c>
    </row>
    <row r="336">
      <c r="A336" s="1">
        <v>334.0</v>
      </c>
      <c r="B336" s="4" t="s">
        <v>493</v>
      </c>
      <c r="C336" s="5" t="str">
        <f>IFERROR(__xludf.DUMMYFUNCTION("GOOGLETRANSLATE(D:D,""auto"",""en"")"),"State exam written test results released")</f>
        <v>State exam written test results released</v>
      </c>
      <c r="D336" s="4" t="s">
        <v>550</v>
      </c>
      <c r="E336" s="4">
        <v>0.0</v>
      </c>
      <c r="F336" s="4">
        <v>35.0</v>
      </c>
      <c r="G336" s="4" t="s">
        <v>551</v>
      </c>
    </row>
    <row r="337">
      <c r="A337" s="1">
        <v>335.0</v>
      </c>
      <c r="B337" s="4" t="s">
        <v>493</v>
      </c>
      <c r="C337" s="5" t="str">
        <f>IFERROR(__xludf.DUMMYFUNCTION("GOOGLETRANSLATE(D:D,""auto"",""en"")"),"Guizhou appear strange cloud")</f>
        <v>Guizhou appear strange cloud</v>
      </c>
      <c r="D337" s="4" t="s">
        <v>552</v>
      </c>
      <c r="E337" s="4">
        <v>0.0</v>
      </c>
      <c r="F337" s="4">
        <v>36.0</v>
      </c>
      <c r="G337" s="4" t="s">
        <v>553</v>
      </c>
    </row>
    <row r="338">
      <c r="A338" s="1">
        <v>336.0</v>
      </c>
      <c r="B338" s="4" t="s">
        <v>493</v>
      </c>
      <c r="C338" s="5" t="str">
        <f>IFERROR(__xludf.DUMMYFUNCTION("GOOGLETRANSLATE(D:D,""auto"",""en"")"),"Fan Bingbing re-welfare Awards")</f>
        <v>Fan Bingbing re-welfare Awards</v>
      </c>
      <c r="D338" s="4" t="s">
        <v>554</v>
      </c>
      <c r="E338" s="4">
        <v>0.0</v>
      </c>
      <c r="F338" s="4">
        <v>37.0</v>
      </c>
      <c r="G338" s="4" t="s">
        <v>555</v>
      </c>
    </row>
    <row r="339">
      <c r="A339" s="1">
        <v>337.0</v>
      </c>
      <c r="B339" s="4" t="s">
        <v>493</v>
      </c>
      <c r="C339" s="5" t="str">
        <f>IFERROR(__xludf.DUMMYFUNCTION("GOOGLETRANSLATE(D:D,""auto"",""en"")"),"Guo Allan was traced to sick")</f>
        <v>Guo Allan was traced to sick</v>
      </c>
      <c r="D339" s="4" t="s">
        <v>556</v>
      </c>
      <c r="E339" s="4">
        <v>0.0</v>
      </c>
      <c r="F339" s="4">
        <v>38.0</v>
      </c>
      <c r="G339" s="4" t="s">
        <v>557</v>
      </c>
    </row>
    <row r="340">
      <c r="A340" s="1">
        <v>338.0</v>
      </c>
      <c r="B340" s="4" t="s">
        <v>493</v>
      </c>
      <c r="C340" s="5" t="str">
        <f>IFERROR(__xludf.DUMMYFUNCTION("GOOGLETRANSLATE(D:D,""auto"",""en"")"),"Sulejmani was assassinated details")</f>
        <v>Sulejmani was assassinated details</v>
      </c>
      <c r="D340" s="4" t="s">
        <v>558</v>
      </c>
      <c r="E340" s="4">
        <v>0.0</v>
      </c>
      <c r="F340" s="4">
        <v>39.0</v>
      </c>
      <c r="G340" s="4" t="s">
        <v>559</v>
      </c>
    </row>
    <row r="341">
      <c r="A341" s="1">
        <v>339.0</v>
      </c>
      <c r="B341" s="4" t="s">
        <v>493</v>
      </c>
      <c r="C341" s="5" t="str">
        <f>IFERROR(__xludf.DUMMYFUNCTION("GOOGLETRANSLATE(D:D,""auto"",""en"")"),"Right Zhi-long love affair allegedly exposed")</f>
        <v>Right Zhi-long love affair allegedly exposed</v>
      </c>
      <c r="D341" s="4" t="s">
        <v>560</v>
      </c>
      <c r="E341" s="4">
        <v>0.0</v>
      </c>
      <c r="F341" s="4">
        <v>40.0</v>
      </c>
      <c r="G341" s="4" t="s">
        <v>561</v>
      </c>
    </row>
    <row r="342">
      <c r="A342" s="1">
        <v>340.0</v>
      </c>
      <c r="B342" s="4" t="s">
        <v>493</v>
      </c>
      <c r="C342" s="5" t="str">
        <f>IFERROR(__xludf.DUMMYFUNCTION("GOOGLETRANSLATE(D:D,""auto"",""en"")"),"Fujian lost to a expectant women")</f>
        <v>Fujian lost to a expectant women</v>
      </c>
      <c r="D342" s="4" t="s">
        <v>477</v>
      </c>
      <c r="E342" s="4">
        <v>0.0</v>
      </c>
      <c r="F342" s="4">
        <v>41.0</v>
      </c>
      <c r="G342" s="4" t="s">
        <v>478</v>
      </c>
    </row>
    <row r="343">
      <c r="A343" s="1">
        <v>341.0</v>
      </c>
      <c r="B343" s="4" t="s">
        <v>493</v>
      </c>
      <c r="C343" s="5" t="str">
        <f>IFERROR(__xludf.DUMMYFUNCTION("GOOGLETRANSLATE(D:D,""auto"",""en"")"),"Jolin Tsai concert liable downtown market")</f>
        <v>Jolin Tsai concert liable downtown market</v>
      </c>
      <c r="D343" s="4" t="s">
        <v>421</v>
      </c>
      <c r="E343" s="4">
        <v>0.0</v>
      </c>
      <c r="F343" s="4">
        <v>42.0</v>
      </c>
      <c r="G343" s="4" t="s">
        <v>422</v>
      </c>
    </row>
    <row r="344">
      <c r="A344" s="1">
        <v>342.0</v>
      </c>
      <c r="B344" s="4" t="s">
        <v>493</v>
      </c>
      <c r="C344" s="5" t="str">
        <f>IFERROR(__xludf.DUMMYFUNCTION("GOOGLETRANSLATE(D:D,""auto"",""en"")"),"Ma Rong party denies new romance")</f>
        <v>Ma Rong party denies new romance</v>
      </c>
      <c r="D344" s="4" t="s">
        <v>461</v>
      </c>
      <c r="E344" s="4">
        <v>0.0</v>
      </c>
      <c r="F344" s="4">
        <v>43.0</v>
      </c>
      <c r="G344" s="4" t="s">
        <v>462</v>
      </c>
    </row>
    <row r="345">
      <c r="A345" s="1">
        <v>343.0</v>
      </c>
      <c r="B345" s="4" t="s">
        <v>493</v>
      </c>
      <c r="C345" s="5" t="str">
        <f>IFERROR(__xludf.DUMMYFUNCTION("GOOGLETRANSLATE(D:D,""auto"",""en"")"),"Israeli Prime Minister slip of the tongue")</f>
        <v>Israeli Prime Minister slip of the tongue</v>
      </c>
      <c r="D345" s="4" t="s">
        <v>562</v>
      </c>
      <c r="E345" s="4">
        <v>0.0</v>
      </c>
      <c r="F345" s="4">
        <v>44.0</v>
      </c>
      <c r="G345" s="4" t="s">
        <v>563</v>
      </c>
    </row>
    <row r="346">
      <c r="A346" s="1">
        <v>344.0</v>
      </c>
      <c r="B346" s="4" t="s">
        <v>493</v>
      </c>
      <c r="C346" s="5" t="str">
        <f>IFERROR(__xludf.DUMMYFUNCTION("GOOGLETRANSLATE(D:D,""auto"",""en"")"),"East is Red V successful maiden flight")</f>
        <v>East is Red V successful maiden flight</v>
      </c>
      <c r="D346" s="4" t="s">
        <v>413</v>
      </c>
      <c r="E346" s="4">
        <v>0.0</v>
      </c>
      <c r="F346" s="4">
        <v>45.0</v>
      </c>
      <c r="G346" s="4" t="s">
        <v>414</v>
      </c>
    </row>
    <row r="347">
      <c r="A347" s="1">
        <v>345.0</v>
      </c>
      <c r="B347" s="4" t="s">
        <v>493</v>
      </c>
      <c r="C347" s="5" t="str">
        <f>IFERROR(__xludf.DUMMYFUNCTION("GOOGLETRANSLATE(D:D,""auto"",""en"")"),"Grandson with a rope hanging down to save cats")</f>
        <v>Grandson with a rope hanging down to save cats</v>
      </c>
      <c r="D347" s="4" t="s">
        <v>564</v>
      </c>
      <c r="E347" s="4">
        <v>0.0</v>
      </c>
      <c r="F347" s="4">
        <v>46.0</v>
      </c>
      <c r="G347" s="4" t="s">
        <v>565</v>
      </c>
    </row>
    <row r="348">
      <c r="A348" s="1">
        <v>346.0</v>
      </c>
      <c r="B348" s="4" t="s">
        <v>493</v>
      </c>
      <c r="C348" s="5" t="str">
        <f>IFERROR(__xludf.DUMMYFUNCTION("GOOGLETRANSLATE(D:D,""auto"",""en"")"),"20,000 tons will be put in reserve meat")</f>
        <v>20,000 tons will be put in reserve meat</v>
      </c>
      <c r="D348" s="4" t="s">
        <v>566</v>
      </c>
      <c r="E348" s="4">
        <v>0.0</v>
      </c>
      <c r="F348" s="4">
        <v>47.0</v>
      </c>
      <c r="G348" s="4" t="s">
        <v>567</v>
      </c>
    </row>
    <row r="349">
      <c r="A349" s="1">
        <v>347.0</v>
      </c>
      <c r="B349" s="4" t="s">
        <v>493</v>
      </c>
      <c r="C349" s="5" t="str">
        <f>IFERROR(__xludf.DUMMYFUNCTION("GOOGLETRANSLATE(D:D,""auto"",""en"")"),"Zhang Yun Lei Nuduiduwei powder")</f>
        <v>Zhang Yun Lei Nuduiduwei powder</v>
      </c>
      <c r="D349" s="4" t="s">
        <v>568</v>
      </c>
      <c r="E349" s="4">
        <v>0.0</v>
      </c>
      <c r="F349" s="4">
        <v>48.0</v>
      </c>
      <c r="G349" s="4" t="s">
        <v>569</v>
      </c>
    </row>
    <row r="350">
      <c r="A350" s="1">
        <v>348.0</v>
      </c>
      <c r="B350" s="4" t="s">
        <v>493</v>
      </c>
      <c r="C350" s="5" t="str">
        <f>IFERROR(__xludf.DUMMYFUNCTION("GOOGLETRANSLATE(D:D,""auto"",""en"")"),"Third Party exposed diphtheria He")</f>
        <v>Third Party exposed diphtheria He</v>
      </c>
      <c r="D350" s="4" t="s">
        <v>570</v>
      </c>
      <c r="E350" s="4">
        <v>0.0</v>
      </c>
      <c r="F350" s="4">
        <v>49.0</v>
      </c>
      <c r="G350" s="4" t="s">
        <v>571</v>
      </c>
    </row>
    <row r="351">
      <c r="A351" s="1">
        <v>349.0</v>
      </c>
      <c r="B351" s="4" t="s">
        <v>493</v>
      </c>
      <c r="C351" s="5" t="str">
        <f>IFERROR(__xludf.DUMMYFUNCTION("GOOGLETRANSLATE(D:D,""auto"",""en"")"),"Liang arrears pin number is 28 yuan")</f>
        <v>Liang arrears pin number is 28 yuan</v>
      </c>
      <c r="D351" s="4" t="s">
        <v>429</v>
      </c>
      <c r="E351" s="4">
        <v>0.0</v>
      </c>
      <c r="F351" s="4">
        <v>50.0</v>
      </c>
      <c r="G351" s="4" t="s">
        <v>430</v>
      </c>
    </row>
    <row r="352">
      <c r="A352" s="1">
        <v>350.0</v>
      </c>
      <c r="B352" s="4" t="s">
        <v>572</v>
      </c>
      <c r="C352" s="5" t="str">
        <f>IFERROR(__xludf.DUMMYFUNCTION("GOOGLETRANSLATE(D:D,""auto"",""en"")"),"Boy was pressed awarded 320 million")</f>
        <v>Boy was pressed awarded 320 million</v>
      </c>
      <c r="D352" s="4" t="s">
        <v>520</v>
      </c>
      <c r="E352" s="4">
        <v>0.0</v>
      </c>
      <c r="F352" s="4">
        <v>1.0</v>
      </c>
      <c r="G352" s="4" t="s">
        <v>521</v>
      </c>
    </row>
    <row r="353">
      <c r="A353" s="1">
        <v>351.0</v>
      </c>
      <c r="B353" s="4" t="s">
        <v>572</v>
      </c>
      <c r="C353" s="5" t="str">
        <f>IFERROR(__xludf.DUMMYFUNCTION("GOOGLETRANSLATE(D:D,""auto"",""en"")"),"Zhang Yun weight-loss success")</f>
        <v>Zhang Yun weight-loss success</v>
      </c>
      <c r="D353" s="4" t="s">
        <v>573</v>
      </c>
      <c r="E353" s="4">
        <v>0.0</v>
      </c>
      <c r="F353" s="4">
        <v>2.0</v>
      </c>
      <c r="G353" s="4" t="s">
        <v>574</v>
      </c>
    </row>
    <row r="354">
      <c r="A354" s="1">
        <v>352.0</v>
      </c>
      <c r="B354" s="4" t="s">
        <v>572</v>
      </c>
      <c r="C354" s="5" t="str">
        <f>IFERROR(__xludf.DUMMYFUNCTION("GOOGLETRANSLATE(D:D,""auto"",""en"")"),"100 seconds to see the new US-Iraq situation")</f>
        <v>100 seconds to see the new US-Iraq situation</v>
      </c>
      <c r="D354" s="4" t="s">
        <v>548</v>
      </c>
      <c r="E354" s="4">
        <v>0.0</v>
      </c>
      <c r="F354" s="4">
        <v>3.0</v>
      </c>
      <c r="G354" s="4" t="s">
        <v>549</v>
      </c>
    </row>
    <row r="355">
      <c r="A355" s="1">
        <v>353.0</v>
      </c>
      <c r="B355" s="4" t="s">
        <v>572</v>
      </c>
      <c r="C355" s="5" t="str">
        <f>IFERROR(__xludf.DUMMYFUNCTION("GOOGLETRANSLATE(D:D,""auto"",""en"")"),"Xingwen 4.1 earthquake")</f>
        <v>Xingwen 4.1 earthquake</v>
      </c>
      <c r="D355" s="4" t="s">
        <v>575</v>
      </c>
      <c r="E355" s="4">
        <v>0.0</v>
      </c>
      <c r="F355" s="4">
        <v>4.0</v>
      </c>
      <c r="G355" s="4" t="s">
        <v>576</v>
      </c>
    </row>
    <row r="356">
      <c r="A356" s="1">
        <v>354.0</v>
      </c>
      <c r="B356" s="4" t="s">
        <v>572</v>
      </c>
      <c r="C356" s="5" t="str">
        <f>IFERROR(__xludf.DUMMYFUNCTION("GOOGLETRANSLATE(D:D,""auto"",""en"")"),"Welcome window period pension increase")</f>
        <v>Welcome window period pension increase</v>
      </c>
      <c r="D356" s="4" t="s">
        <v>577</v>
      </c>
      <c r="E356" s="4">
        <v>0.0</v>
      </c>
      <c r="F356" s="4">
        <v>5.0</v>
      </c>
      <c r="G356" s="4" t="s">
        <v>578</v>
      </c>
    </row>
    <row r="357">
      <c r="A357" s="1">
        <v>355.0</v>
      </c>
      <c r="B357" s="4" t="s">
        <v>572</v>
      </c>
      <c r="C357" s="5" t="str">
        <f>IFERROR(__xludf.DUMMYFUNCTION("GOOGLETRANSLATE(D:D,""auto"",""en"")"),"Iran attacked a US military base")</f>
        <v>Iran attacked a US military base</v>
      </c>
      <c r="D357" s="4" t="s">
        <v>579</v>
      </c>
      <c r="E357" s="4">
        <v>0.0</v>
      </c>
      <c r="F357" s="4">
        <v>6.0</v>
      </c>
      <c r="G357" s="4" t="s">
        <v>580</v>
      </c>
    </row>
    <row r="358">
      <c r="A358" s="1">
        <v>356.0</v>
      </c>
      <c r="B358" s="4" t="s">
        <v>572</v>
      </c>
      <c r="C358" s="5" t="str">
        <f>IFERROR(__xludf.DUMMYFUNCTION("GOOGLETRANSLATE(D:D,""auto"",""en"")"),"Iran to launch a second round of attacks")</f>
        <v>Iran to launch a second round of attacks</v>
      </c>
      <c r="D358" s="4" t="s">
        <v>581</v>
      </c>
      <c r="E358" s="4">
        <v>0.0</v>
      </c>
      <c r="F358" s="4">
        <v>7.0</v>
      </c>
      <c r="G358" s="4" t="s">
        <v>582</v>
      </c>
    </row>
    <row r="359">
      <c r="A359" s="1">
        <v>357.0</v>
      </c>
      <c r="B359" s="4" t="s">
        <v>572</v>
      </c>
      <c r="C359" s="5" t="str">
        <f>IFERROR(__xludf.DUMMYFUNCTION("GOOGLETRANSLATE(D:D,""auto"",""en"")"),"Reba Huang Jingyu romance suspected exposure")</f>
        <v>Reba Huang Jingyu romance suspected exposure</v>
      </c>
      <c r="D359" s="4" t="s">
        <v>583</v>
      </c>
      <c r="E359" s="4">
        <v>0.0</v>
      </c>
      <c r="F359" s="4">
        <v>8.0</v>
      </c>
      <c r="G359" s="4" t="s">
        <v>584</v>
      </c>
    </row>
    <row r="360">
      <c r="A360" s="1">
        <v>358.0</v>
      </c>
      <c r="B360" s="4" t="s">
        <v>572</v>
      </c>
      <c r="C360" s="5" t="str">
        <f>IFERROR(__xludf.DUMMYFUNCTION("GOOGLETRANSLATE(D:D,""auto"",""en"")"),"Trump response to Iran attacks")</f>
        <v>Trump response to Iran attacks</v>
      </c>
      <c r="D360" s="4" t="s">
        <v>585</v>
      </c>
      <c r="E360" s="4">
        <v>0.0</v>
      </c>
      <c r="F360" s="4">
        <v>9.0</v>
      </c>
      <c r="G360" s="4" t="s">
        <v>586</v>
      </c>
    </row>
    <row r="361">
      <c r="A361" s="1">
        <v>359.0</v>
      </c>
      <c r="B361" s="4" t="s">
        <v>572</v>
      </c>
      <c r="C361" s="5" t="str">
        <f>IFERROR(__xludf.DUMMYFUNCTION("GOOGLETRANSLATE(D:D,""auto"",""en"")"),"US base attacked internal screen")</f>
        <v>US base attacked internal screen</v>
      </c>
      <c r="D361" s="4" t="s">
        <v>587</v>
      </c>
      <c r="E361" s="4">
        <v>0.0</v>
      </c>
      <c r="F361" s="4">
        <v>10.0</v>
      </c>
      <c r="G361" s="4" t="s">
        <v>588</v>
      </c>
    </row>
    <row r="362">
      <c r="A362" s="1">
        <v>360.0</v>
      </c>
      <c r="B362" s="4" t="s">
        <v>572</v>
      </c>
      <c r="C362" s="5" t="str">
        <f>IFERROR(__xludf.DUMMYFUNCTION("GOOGLETRANSLATE(D:D,""auto"",""en"")"),"Today's headlines ceremony live")</f>
        <v>Today's headlines ceremony live</v>
      </c>
      <c r="D362" s="4" t="s">
        <v>589</v>
      </c>
      <c r="E362" s="4">
        <v>0.0</v>
      </c>
      <c r="F362" s="4">
        <v>11.0</v>
      </c>
      <c r="G362" s="4" t="s">
        <v>590</v>
      </c>
    </row>
    <row r="363">
      <c r="A363" s="1">
        <v>361.0</v>
      </c>
      <c r="B363" s="4" t="s">
        <v>572</v>
      </c>
      <c r="C363" s="5" t="str">
        <f>IFERROR(__xludf.DUMMYFUNCTION("GOOGLETRANSLATE(D:D,""auto"",""en"")"),"Chen Sicheng suspected of breaking divorce rumors")</f>
        <v>Chen Sicheng suspected of breaking divorce rumors</v>
      </c>
      <c r="D363" s="4" t="s">
        <v>591</v>
      </c>
      <c r="E363" s="4">
        <v>0.0</v>
      </c>
      <c r="F363" s="4">
        <v>12.0</v>
      </c>
      <c r="G363" s="4" t="s">
        <v>592</v>
      </c>
    </row>
    <row r="364">
      <c r="A364" s="1">
        <v>362.0</v>
      </c>
      <c r="B364" s="4" t="s">
        <v>572</v>
      </c>
      <c r="C364" s="5" t="str">
        <f>IFERROR(__xludf.DUMMYFUNCTION("GOOGLETRANSLATE(D:D,""auto"",""en"")"),"US bases in Iraq attacked")</f>
        <v>US bases in Iraq attacked</v>
      </c>
      <c r="D364" s="4" t="s">
        <v>593</v>
      </c>
      <c r="E364" s="4">
        <v>0.0</v>
      </c>
      <c r="F364" s="4">
        <v>13.0</v>
      </c>
      <c r="G364" s="4" t="s">
        <v>594</v>
      </c>
    </row>
    <row r="365">
      <c r="A365" s="1">
        <v>363.0</v>
      </c>
      <c r="B365" s="4" t="s">
        <v>572</v>
      </c>
      <c r="C365" s="5" t="str">
        <f>IFERROR(__xludf.DUMMYFUNCTION("GOOGLETRANSLATE(D:D,""auto"",""en"")"),"Today's headlines Festival 2019")</f>
        <v>Today's headlines Festival 2019</v>
      </c>
      <c r="D365" s="4" t="s">
        <v>595</v>
      </c>
      <c r="E365" s="4">
        <v>0.0</v>
      </c>
      <c r="F365" s="4">
        <v>14.0</v>
      </c>
      <c r="G365" s="4" t="s">
        <v>596</v>
      </c>
    </row>
    <row r="366">
      <c r="A366" s="1">
        <v>364.0</v>
      </c>
      <c r="B366" s="4" t="s">
        <v>572</v>
      </c>
      <c r="C366" s="5" t="str">
        <f>IFERROR(__xludf.DUMMYFUNCTION("GOOGLETRANSLATE(D:D,""auto"",""en"")"),"Trump will abide by international law")</f>
        <v>Trump will abide by international law</v>
      </c>
      <c r="D366" s="4" t="s">
        <v>597</v>
      </c>
      <c r="E366" s="4">
        <v>0.0</v>
      </c>
      <c r="F366" s="4">
        <v>15.0</v>
      </c>
      <c r="G366" s="4" t="s">
        <v>598</v>
      </c>
    </row>
    <row r="367">
      <c r="A367" s="1">
        <v>365.0</v>
      </c>
      <c r="B367" s="4" t="s">
        <v>572</v>
      </c>
      <c r="C367" s="5" t="str">
        <f>IFERROR(__xludf.DUMMYFUNCTION("GOOGLETRANSLATE(D:D,""auto"",""en"")"),"CCTV Spring suspected exposure as rehearsal")</f>
        <v>CCTV Spring suspected exposure as rehearsal</v>
      </c>
      <c r="D367" s="4" t="s">
        <v>599</v>
      </c>
      <c r="E367" s="4">
        <v>0.0</v>
      </c>
      <c r="F367" s="4">
        <v>16.0</v>
      </c>
      <c r="G367" s="4" t="s">
        <v>600</v>
      </c>
    </row>
    <row r="368">
      <c r="A368" s="1">
        <v>366.0</v>
      </c>
      <c r="B368" s="4" t="s">
        <v>572</v>
      </c>
      <c r="C368" s="5" t="str">
        <f>IFERROR(__xludf.DUMMYFUNCTION("GOOGLETRANSLATE(D:D,""auto"",""en"")"),"Putin's visit to Syria")</f>
        <v>Putin's visit to Syria</v>
      </c>
      <c r="D368" s="4" t="s">
        <v>601</v>
      </c>
      <c r="E368" s="4">
        <v>0.0</v>
      </c>
      <c r="F368" s="4">
        <v>17.0</v>
      </c>
      <c r="G368" s="4" t="s">
        <v>602</v>
      </c>
    </row>
    <row r="369">
      <c r="A369" s="1">
        <v>367.0</v>
      </c>
      <c r="B369" s="4" t="s">
        <v>572</v>
      </c>
      <c r="C369" s="5" t="str">
        <f>IFERROR(__xludf.DUMMYFUNCTION("GOOGLETRANSLATE(D:D,""auto"",""en"")"),"Love apartment no longer have a sequel")</f>
        <v>Love apartment no longer have a sequel</v>
      </c>
      <c r="D369" s="4" t="s">
        <v>540</v>
      </c>
      <c r="E369" s="4">
        <v>0.0</v>
      </c>
      <c r="F369" s="4">
        <v>18.0</v>
      </c>
      <c r="G369" s="4" t="s">
        <v>541</v>
      </c>
    </row>
    <row r="370">
      <c r="A370" s="1">
        <v>368.0</v>
      </c>
      <c r="B370" s="4" t="s">
        <v>572</v>
      </c>
      <c r="C370" s="5" t="str">
        <f>IFERROR(__xludf.DUMMYFUNCTION("GOOGLETRANSLATE(D:D,""auto"",""en"")"),"In the plum Qi 160 million")</f>
        <v>In the plum Qi 160 million</v>
      </c>
      <c r="D370" s="4" t="s">
        <v>603</v>
      </c>
      <c r="E370" s="4">
        <v>0.0</v>
      </c>
      <c r="F370" s="4">
        <v>19.0</v>
      </c>
      <c r="G370" s="4" t="s">
        <v>604</v>
      </c>
    </row>
    <row r="371">
      <c r="A371" s="1">
        <v>369.0</v>
      </c>
      <c r="B371" s="4" t="s">
        <v>572</v>
      </c>
      <c r="C371" s="5" t="str">
        <f>IFERROR(__xludf.DUMMYFUNCTION("GOOGLETRANSLATE(D:D,""auto"",""en"")"),"Ukraine plane crash")</f>
        <v>Ukraine plane crash</v>
      </c>
      <c r="D371" s="4" t="s">
        <v>605</v>
      </c>
      <c r="E371" s="4">
        <v>0.0</v>
      </c>
      <c r="F371" s="4">
        <v>20.0</v>
      </c>
      <c r="G371" s="4" t="s">
        <v>606</v>
      </c>
    </row>
    <row r="372">
      <c r="A372" s="1">
        <v>370.0</v>
      </c>
      <c r="B372" s="4" t="s">
        <v>572</v>
      </c>
      <c r="C372" s="5" t="str">
        <f>IFERROR(__xludf.DUMMYFUNCTION("GOOGLETRANSLATE(D:D,""auto"",""en"")"),"Iran earthquake occurred in succession")</f>
        <v>Iran earthquake occurred in succession</v>
      </c>
      <c r="D372" s="4" t="s">
        <v>607</v>
      </c>
      <c r="E372" s="4">
        <v>0.0</v>
      </c>
      <c r="F372" s="4">
        <v>21.0</v>
      </c>
      <c r="G372" s="4" t="s">
        <v>608</v>
      </c>
    </row>
    <row r="373">
      <c r="A373" s="1">
        <v>371.0</v>
      </c>
      <c r="B373" s="4" t="s">
        <v>572</v>
      </c>
      <c r="C373" s="5" t="str">
        <f>IFERROR(__xludf.DUMMYFUNCTION("GOOGLETRANSLATE(D:D,""auto"",""en"")"),"Iranian media exposure bombing results")</f>
        <v>Iranian media exposure bombing results</v>
      </c>
      <c r="D373" s="4" t="s">
        <v>609</v>
      </c>
      <c r="E373" s="4">
        <v>0.0</v>
      </c>
      <c r="F373" s="4">
        <v>22.0</v>
      </c>
      <c r="G373" s="4" t="s">
        <v>610</v>
      </c>
    </row>
    <row r="374">
      <c r="A374" s="1">
        <v>372.0</v>
      </c>
      <c r="B374" s="4" t="s">
        <v>572</v>
      </c>
      <c r="C374" s="5" t="str">
        <f>IFERROR(__xludf.DUMMYFUNCTION("GOOGLETRANSLATE(D:D,""auto"",""en"")"),"China Federation of Spring Festival playbill")</f>
        <v>China Federation of Spring Festival playbill</v>
      </c>
      <c r="D374" s="4" t="s">
        <v>611</v>
      </c>
      <c r="E374" s="4">
        <v>0.0</v>
      </c>
      <c r="F374" s="4">
        <v>23.0</v>
      </c>
      <c r="G374" s="4" t="s">
        <v>612</v>
      </c>
    </row>
    <row r="375">
      <c r="A375" s="1">
        <v>373.0</v>
      </c>
      <c r="B375" s="4" t="s">
        <v>572</v>
      </c>
      <c r="C375" s="5" t="str">
        <f>IFERROR(__xludf.DUMMYFUNCTION("GOOGLETRANSLATE(D:D,""auto"",""en"")"),"Liaoning Anshan 3.0 earthquake")</f>
        <v>Liaoning Anshan 3.0 earthquake</v>
      </c>
      <c r="D375" s="4" t="s">
        <v>613</v>
      </c>
      <c r="E375" s="4">
        <v>0.0</v>
      </c>
      <c r="F375" s="4">
        <v>24.0</v>
      </c>
      <c r="G375" s="4" t="s">
        <v>614</v>
      </c>
    </row>
    <row r="376">
      <c r="A376" s="1">
        <v>374.0</v>
      </c>
      <c r="B376" s="4" t="s">
        <v>572</v>
      </c>
      <c r="C376" s="5" t="str">
        <f>IFERROR(__xludf.DUMMYFUNCTION("GOOGLETRANSLATE(D:D,""auto"",""en"")"),"Passenger plane crash black box found")</f>
        <v>Passenger plane crash black box found</v>
      </c>
      <c r="D376" s="4" t="s">
        <v>615</v>
      </c>
      <c r="E376" s="4">
        <v>0.0</v>
      </c>
      <c r="F376" s="4">
        <v>25.0</v>
      </c>
      <c r="G376" s="4" t="s">
        <v>616</v>
      </c>
    </row>
    <row r="377">
      <c r="A377" s="1">
        <v>375.0</v>
      </c>
      <c r="B377" s="4" t="s">
        <v>572</v>
      </c>
      <c r="C377" s="5" t="str">
        <f>IFERROR(__xludf.DUMMYFUNCTION("GOOGLETRANSLATE(D:D,""auto"",""en"")"),"Han Celina Jade wedding photo")</f>
        <v>Han Celina Jade wedding photo</v>
      </c>
      <c r="D377" s="4" t="s">
        <v>617</v>
      </c>
      <c r="E377" s="4">
        <v>0.0</v>
      </c>
      <c r="F377" s="4">
        <v>26.0</v>
      </c>
      <c r="G377" s="4" t="s">
        <v>618</v>
      </c>
    </row>
    <row r="378">
      <c r="A378" s="1">
        <v>376.0</v>
      </c>
      <c r="B378" s="4" t="s">
        <v>572</v>
      </c>
      <c r="C378" s="5" t="str">
        <f>IFERROR(__xludf.DUMMYFUNCTION("GOOGLETRANSLATE(D:D,""auto"",""en"")"),"Iranian leaders televised speech")</f>
        <v>Iranian leaders televised speech</v>
      </c>
      <c r="D378" s="4" t="s">
        <v>619</v>
      </c>
      <c r="E378" s="4">
        <v>0.0</v>
      </c>
      <c r="F378" s="4">
        <v>27.0</v>
      </c>
      <c r="G378" s="4" t="s">
        <v>620</v>
      </c>
    </row>
    <row r="379">
      <c r="A379" s="1">
        <v>377.0</v>
      </c>
      <c r="B379" s="4" t="s">
        <v>572</v>
      </c>
      <c r="C379" s="5" t="str">
        <f>IFERROR(__xludf.DUMMYFUNCTION("GOOGLETRANSLATE(D:D,""auto"",""en"")"),"Zhu Dan called the wrong exposure Ma Sichun")</f>
        <v>Zhu Dan called the wrong exposure Ma Sichun</v>
      </c>
      <c r="D379" s="4" t="s">
        <v>621</v>
      </c>
      <c r="E379" s="4">
        <v>0.0</v>
      </c>
      <c r="F379" s="4">
        <v>28.0</v>
      </c>
      <c r="G379" s="4" t="s">
        <v>622</v>
      </c>
    </row>
    <row r="380">
      <c r="A380" s="1">
        <v>378.0</v>
      </c>
      <c r="B380" s="4" t="s">
        <v>572</v>
      </c>
      <c r="C380" s="5" t="str">
        <f>IFERROR(__xludf.DUMMYFUNCTION("GOOGLETRANSLATE(D:D,""auto"",""en"")"),"Headline Festival red carpet")</f>
        <v>Headline Festival red carpet</v>
      </c>
      <c r="D380" s="4" t="s">
        <v>623</v>
      </c>
      <c r="E380" s="4">
        <v>0.0</v>
      </c>
      <c r="F380" s="4">
        <v>29.0</v>
      </c>
      <c r="G380" s="4" t="s">
        <v>624</v>
      </c>
    </row>
    <row r="381">
      <c r="A381" s="1">
        <v>379.0</v>
      </c>
      <c r="B381" s="4" t="s">
        <v>572</v>
      </c>
      <c r="C381" s="5" t="str">
        <f>IFERROR(__xludf.DUMMYFUNCTION("GOOGLETRANSLATE(D:D,""auto"",""en"")"),"Fortunately, the Ministry informed the Swiss coffee")</f>
        <v>Fortunately, the Ministry informed the Swiss coffee</v>
      </c>
      <c r="D381" s="4" t="s">
        <v>625</v>
      </c>
      <c r="E381" s="4">
        <v>0.0</v>
      </c>
      <c r="F381" s="4">
        <v>30.0</v>
      </c>
      <c r="G381" s="4" t="s">
        <v>626</v>
      </c>
    </row>
    <row r="382">
      <c r="A382" s="1">
        <v>380.0</v>
      </c>
      <c r="B382" s="4" t="s">
        <v>572</v>
      </c>
      <c r="C382" s="5" t="str">
        <f>IFERROR(__xludf.DUMMYFUNCTION("GOOGLETRANSLATE(D:D,""auto"",""en"")"),"Luo ""confession"" Zhang Yixing")</f>
        <v>Luo "confession" Zhang Yixing</v>
      </c>
      <c r="D382" s="4" t="s">
        <v>627</v>
      </c>
      <c r="E382" s="4">
        <v>0.0</v>
      </c>
      <c r="F382" s="4">
        <v>31.0</v>
      </c>
      <c r="G382" s="4" t="s">
        <v>628</v>
      </c>
    </row>
    <row r="383">
      <c r="A383" s="1">
        <v>381.0</v>
      </c>
      <c r="B383" s="4" t="s">
        <v>572</v>
      </c>
      <c r="C383" s="5" t="str">
        <f>IFERROR(__xludf.DUMMYFUNCTION("GOOGLETRANSLATE(D:D,""auto"",""en"")"),"Ukraine modify the crash statement")</f>
        <v>Ukraine modify the crash statement</v>
      </c>
      <c r="D383" s="4" t="s">
        <v>629</v>
      </c>
      <c r="E383" s="4">
        <v>0.0</v>
      </c>
      <c r="F383" s="4">
        <v>32.0</v>
      </c>
      <c r="G383" s="4" t="s">
        <v>630</v>
      </c>
    </row>
    <row r="384">
      <c r="A384" s="1">
        <v>382.0</v>
      </c>
      <c r="B384" s="4" t="s">
        <v>572</v>
      </c>
      <c r="C384" s="5" t="str">
        <f>IFERROR(__xludf.DUMMYFUNCTION("GOOGLETRANSLATE(D:D,""auto"",""en"")"),"Zheng Shuang sent us a statement")</f>
        <v>Zheng Shuang sent us a statement</v>
      </c>
      <c r="D384" s="4" t="s">
        <v>524</v>
      </c>
      <c r="E384" s="4">
        <v>0.0</v>
      </c>
      <c r="F384" s="4">
        <v>33.0</v>
      </c>
      <c r="G384" s="4" t="s">
        <v>525</v>
      </c>
    </row>
    <row r="385">
      <c r="A385" s="1">
        <v>383.0</v>
      </c>
      <c r="B385" s="4" t="s">
        <v>572</v>
      </c>
      <c r="C385" s="5" t="str">
        <f>IFERROR(__xludf.DUMMYFUNCTION("GOOGLETRANSLATE(D:D,""auto"",""en"")"),"Yan Gao Yuanyuan postpartum value soar")</f>
        <v>Yan Gao Yuanyuan postpartum value soar</v>
      </c>
      <c r="D385" s="4" t="s">
        <v>542</v>
      </c>
      <c r="E385" s="4">
        <v>0.0</v>
      </c>
      <c r="F385" s="4">
        <v>34.0</v>
      </c>
      <c r="G385" s="4" t="s">
        <v>543</v>
      </c>
    </row>
    <row r="386">
      <c r="A386" s="1">
        <v>384.0</v>
      </c>
      <c r="B386" s="4" t="s">
        <v>572</v>
      </c>
      <c r="C386" s="5" t="str">
        <f>IFERROR(__xludf.DUMMYFUNCTION("GOOGLETRANSLATE(D:D,""auto"",""en"")"),"Zhangye City 3.8 earthquake")</f>
        <v>Zhangye City 3.8 earthquake</v>
      </c>
      <c r="D386" s="4" t="s">
        <v>631</v>
      </c>
      <c r="E386" s="4">
        <v>0.0</v>
      </c>
      <c r="F386" s="4">
        <v>35.0</v>
      </c>
      <c r="G386" s="4" t="s">
        <v>632</v>
      </c>
    </row>
    <row r="387">
      <c r="A387" s="1">
        <v>385.0</v>
      </c>
      <c r="B387" s="4" t="s">
        <v>572</v>
      </c>
      <c r="C387" s="5" t="str">
        <f>IFERROR(__xludf.DUMMYFUNCTION("GOOGLETRANSLATE(D:D,""auto"",""en"")"),"Yang Mi Wei Taixun broke exposure")</f>
        <v>Yang Mi Wei Taixun broke exposure</v>
      </c>
      <c r="D387" s="4" t="s">
        <v>633</v>
      </c>
      <c r="E387" s="4">
        <v>0.0</v>
      </c>
      <c r="F387" s="4">
        <v>36.0</v>
      </c>
      <c r="G387" s="4" t="s">
        <v>634</v>
      </c>
    </row>
    <row r="388">
      <c r="A388" s="1">
        <v>386.0</v>
      </c>
      <c r="B388" s="4" t="s">
        <v>572</v>
      </c>
      <c r="C388" s="5" t="str">
        <f>IFERROR(__xludf.DUMMYFUNCTION("GOOGLETRANSLATE(D:D,""auto"",""en"")"),"Iran's foreign minister denied by the US")</f>
        <v>Iran's foreign minister denied by the US</v>
      </c>
      <c r="D388" s="4" t="s">
        <v>512</v>
      </c>
      <c r="E388" s="4">
        <v>0.0</v>
      </c>
      <c r="F388" s="4">
        <v>37.0</v>
      </c>
      <c r="G388" s="4" t="s">
        <v>513</v>
      </c>
    </row>
    <row r="389">
      <c r="A389" s="1">
        <v>387.0</v>
      </c>
      <c r="B389" s="4" t="s">
        <v>572</v>
      </c>
      <c r="C389" s="5" t="str">
        <f>IFERROR(__xludf.DUMMYFUNCTION("GOOGLETRANSLATE(D:D,""auto"",""en"")"),"US aircraft were destroyed Iran")</f>
        <v>US aircraft were destroyed Iran</v>
      </c>
      <c r="D389" s="4" t="s">
        <v>635</v>
      </c>
      <c r="E389" s="4">
        <v>0.0</v>
      </c>
      <c r="F389" s="4">
        <v>38.0</v>
      </c>
      <c r="G389" s="4" t="s">
        <v>636</v>
      </c>
    </row>
    <row r="390">
      <c r="A390" s="1">
        <v>388.0</v>
      </c>
      <c r="B390" s="4" t="s">
        <v>572</v>
      </c>
      <c r="C390" s="5" t="str">
        <f>IFERROR(__xludf.DUMMYFUNCTION("GOOGLETRANSLATE(D:D,""auto"",""en"")"),"Ukraine announced the nationality of the victims")</f>
        <v>Ukraine announced the nationality of the victims</v>
      </c>
      <c r="D390" s="4" t="s">
        <v>637</v>
      </c>
      <c r="E390" s="4">
        <v>0.0</v>
      </c>
      <c r="F390" s="4">
        <v>39.0</v>
      </c>
      <c r="G390" s="4" t="s">
        <v>638</v>
      </c>
    </row>
    <row r="391">
      <c r="A391" s="1">
        <v>389.0</v>
      </c>
      <c r="B391" s="4" t="s">
        <v>572</v>
      </c>
      <c r="C391" s="5" t="str">
        <f>IFERROR(__xludf.DUMMYFUNCTION("GOOGLETRANSLATE(D:D,""auto"",""en"")"),"8 patients discharged from hospital with pneumonia")</f>
        <v>8 patients discharged from hospital with pneumonia</v>
      </c>
      <c r="D391" s="4" t="s">
        <v>639</v>
      </c>
      <c r="E391" s="4">
        <v>0.0</v>
      </c>
      <c r="F391" s="4">
        <v>40.0</v>
      </c>
      <c r="G391" s="4" t="s">
        <v>640</v>
      </c>
    </row>
    <row r="392">
      <c r="A392" s="1">
        <v>390.0</v>
      </c>
      <c r="B392" s="4" t="s">
        <v>572</v>
      </c>
      <c r="C392" s="5" t="str">
        <f>IFERROR(__xludf.DUMMYFUNCTION("GOOGLETRANSLATE(D:D,""auto"",""en"")"),"Guo Allan was traced to sick")</f>
        <v>Guo Allan was traced to sick</v>
      </c>
      <c r="D392" s="4" t="s">
        <v>556</v>
      </c>
      <c r="E392" s="4">
        <v>0.0</v>
      </c>
      <c r="F392" s="4">
        <v>41.0</v>
      </c>
      <c r="G392" s="4" t="s">
        <v>557</v>
      </c>
    </row>
    <row r="393">
      <c r="A393" s="1">
        <v>391.0</v>
      </c>
      <c r="B393" s="4" t="s">
        <v>572</v>
      </c>
      <c r="C393" s="5" t="str">
        <f>IFERROR(__xludf.DUMMYFUNCTION("GOOGLETRANSLATE(D:D,""auto"",""en"")"),"Iran plans to the third round of action")</f>
        <v>Iran plans to the third round of action</v>
      </c>
      <c r="D393" s="4" t="s">
        <v>641</v>
      </c>
      <c r="E393" s="4">
        <v>0.0</v>
      </c>
      <c r="F393" s="4">
        <v>42.0</v>
      </c>
      <c r="G393" s="4" t="s">
        <v>642</v>
      </c>
    </row>
    <row r="394">
      <c r="A394" s="1">
        <v>392.0</v>
      </c>
      <c r="B394" s="4" t="s">
        <v>572</v>
      </c>
      <c r="C394" s="5" t="str">
        <f>IFERROR(__xludf.DUMMYFUNCTION("GOOGLETRANSLATE(D:D,""auto"",""en"")"),"US base attacked loss assessment")</f>
        <v>US base attacked loss assessment</v>
      </c>
      <c r="D394" s="4" t="s">
        <v>643</v>
      </c>
      <c r="E394" s="4">
        <v>0.0</v>
      </c>
      <c r="F394" s="4">
        <v>43.0</v>
      </c>
      <c r="G394" s="4" t="s">
        <v>644</v>
      </c>
    </row>
    <row r="395">
      <c r="A395" s="1">
        <v>393.0</v>
      </c>
      <c r="B395" s="4" t="s">
        <v>572</v>
      </c>
      <c r="C395" s="5" t="str">
        <f>IFERROR(__xludf.DUMMYFUNCTION("GOOGLETRANSLATE(D:D,""auto"",""en"")"),"Iran's foreign minister said the end of the action")</f>
        <v>Iran's foreign minister said the end of the action</v>
      </c>
      <c r="D395" s="4" t="s">
        <v>645</v>
      </c>
      <c r="E395" s="4">
        <v>0.0</v>
      </c>
      <c r="F395" s="4">
        <v>44.0</v>
      </c>
      <c r="G395" s="4" t="s">
        <v>646</v>
      </c>
    </row>
    <row r="396">
      <c r="A396" s="1">
        <v>394.0</v>
      </c>
      <c r="B396" s="4" t="s">
        <v>572</v>
      </c>
      <c r="C396" s="5" t="str">
        <f>IFERROR(__xludf.DUMMYFUNCTION("GOOGLETRANSLATE(D:D,""auto"",""en"")"),"Iran approved the bill Revenge")</f>
        <v>Iran approved the bill Revenge</v>
      </c>
      <c r="D396" s="4" t="s">
        <v>518</v>
      </c>
      <c r="E396" s="4">
        <v>0.0</v>
      </c>
      <c r="F396" s="4">
        <v>45.0</v>
      </c>
      <c r="G396" s="4" t="s">
        <v>519</v>
      </c>
    </row>
    <row r="397">
      <c r="A397" s="1">
        <v>395.0</v>
      </c>
      <c r="B397" s="4" t="s">
        <v>572</v>
      </c>
      <c r="C397" s="5" t="str">
        <f>IFERROR(__xludf.DUMMYFUNCTION("GOOGLETRANSLATE(D:D,""auto"",""en"")"),"State exam written test results released")</f>
        <v>State exam written test results released</v>
      </c>
      <c r="D397" s="4" t="s">
        <v>550</v>
      </c>
      <c r="E397" s="4">
        <v>0.0</v>
      </c>
      <c r="F397" s="4">
        <v>46.0</v>
      </c>
      <c r="G397" s="4" t="s">
        <v>551</v>
      </c>
    </row>
    <row r="398">
      <c r="A398" s="1">
        <v>396.0</v>
      </c>
      <c r="B398" s="4" t="s">
        <v>572</v>
      </c>
      <c r="C398" s="5" t="str">
        <f>IFERROR(__xludf.DUMMYFUNCTION("GOOGLETRANSLATE(D:D,""auto"",""en"")"),"Fan Bingbing late start")</f>
        <v>Fan Bingbing late start</v>
      </c>
      <c r="D398" s="4" t="s">
        <v>647</v>
      </c>
      <c r="E398" s="4">
        <v>0.0</v>
      </c>
      <c r="F398" s="4">
        <v>47.0</v>
      </c>
      <c r="G398" s="4" t="s">
        <v>648</v>
      </c>
    </row>
    <row r="399">
      <c r="A399" s="1">
        <v>397.0</v>
      </c>
      <c r="B399" s="4" t="s">
        <v>572</v>
      </c>
      <c r="C399" s="5" t="str">
        <f>IFERROR(__xludf.DUMMYFUNCTION("GOOGLETRANSLATE(D:D,""auto"",""en"")"),"Sulaymaniyah funeral stampede now")</f>
        <v>Sulaymaniyah funeral stampede now</v>
      </c>
      <c r="D399" s="4" t="s">
        <v>522</v>
      </c>
      <c r="E399" s="4">
        <v>0.0</v>
      </c>
      <c r="F399" s="4">
        <v>48.0</v>
      </c>
      <c r="G399" s="4" t="s">
        <v>523</v>
      </c>
    </row>
    <row r="400">
      <c r="A400" s="1">
        <v>398.0</v>
      </c>
      <c r="B400" s="4" t="s">
        <v>572</v>
      </c>
      <c r="C400" s="5" t="str">
        <f>IFERROR(__xludf.DUMMYFUNCTION("GOOGLETRANSLATE(D:D,""auto"",""en"")"),"The situation in the Middle East or out of control")</f>
        <v>The situation in the Middle East or out of control</v>
      </c>
      <c r="D400" s="4" t="s">
        <v>649</v>
      </c>
      <c r="E400" s="4">
        <v>0.0</v>
      </c>
      <c r="F400" s="4">
        <v>49.0</v>
      </c>
      <c r="G400" s="4" t="s">
        <v>650</v>
      </c>
    </row>
    <row r="401">
      <c r="A401" s="1">
        <v>399.0</v>
      </c>
      <c r="B401" s="4" t="s">
        <v>572</v>
      </c>
      <c r="C401" s="5" t="str">
        <f>IFERROR(__xludf.DUMMYFUNCTION("GOOGLETRANSLATE(D:D,""auto"",""en"")"),"Tong Liya Chen Sicheng exposed divorce")</f>
        <v>Tong Liya Chen Sicheng exposed divorce</v>
      </c>
      <c r="D401" s="4" t="s">
        <v>510</v>
      </c>
      <c r="E401" s="4">
        <v>0.0</v>
      </c>
      <c r="F401" s="4">
        <v>50.0</v>
      </c>
      <c r="G401" s="4" t="s">
        <v>511</v>
      </c>
    </row>
    <row r="402">
      <c r="A402" s="1">
        <v>400.0</v>
      </c>
      <c r="B402" s="4" t="s">
        <v>651</v>
      </c>
      <c r="C402" s="5" t="str">
        <f>IFERROR(__xludf.DUMMYFUNCTION("GOOGLETRANSLATE(D:D,""auto"",""en"")"),"Today's headlines Festival 2019")</f>
        <v>Today's headlines Festival 2019</v>
      </c>
      <c r="D402" s="4" t="s">
        <v>595</v>
      </c>
      <c r="E402" s="4">
        <v>0.0</v>
      </c>
      <c r="F402" s="4">
        <v>1.0</v>
      </c>
      <c r="G402" s="4" t="s">
        <v>596</v>
      </c>
    </row>
    <row r="403">
      <c r="A403" s="1">
        <v>401.0</v>
      </c>
      <c r="B403" s="4" t="s">
        <v>651</v>
      </c>
      <c r="C403" s="5" t="str">
        <f>IFERROR(__xludf.DUMMYFUNCTION("GOOGLETRANSLATE(D:D,""auto"",""en"")"),"Ukraine modify the crash statement")</f>
        <v>Ukraine modify the crash statement</v>
      </c>
      <c r="D403" s="4" t="s">
        <v>629</v>
      </c>
      <c r="E403" s="4">
        <v>0.0</v>
      </c>
      <c r="F403" s="4">
        <v>2.0</v>
      </c>
      <c r="G403" s="4" t="s">
        <v>630</v>
      </c>
    </row>
    <row r="404">
      <c r="A404" s="1">
        <v>402.0</v>
      </c>
      <c r="B404" s="4" t="s">
        <v>651</v>
      </c>
      <c r="C404" s="5" t="str">
        <f>IFERROR(__xludf.DUMMYFUNCTION("GOOGLETRANSLATE(D:D,""auto"",""en"")"),"Chen Sicheng suspected of breaking divorce rumors")</f>
        <v>Chen Sicheng suspected of breaking divorce rumors</v>
      </c>
      <c r="D404" s="4" t="s">
        <v>591</v>
      </c>
      <c r="E404" s="4">
        <v>0.0</v>
      </c>
      <c r="F404" s="4">
        <v>3.0</v>
      </c>
      <c r="G404" s="4" t="s">
        <v>592</v>
      </c>
    </row>
    <row r="405">
      <c r="A405" s="1">
        <v>403.0</v>
      </c>
      <c r="B405" s="4" t="s">
        <v>651</v>
      </c>
      <c r="C405" s="5" t="str">
        <f>IFERROR(__xludf.DUMMYFUNCTION("GOOGLETRANSLATE(D:D,""auto"",""en"")"),"Trump will abide by international law")</f>
        <v>Trump will abide by international law</v>
      </c>
      <c r="D405" s="4" t="s">
        <v>597</v>
      </c>
      <c r="E405" s="4">
        <v>0.0</v>
      </c>
      <c r="F405" s="4">
        <v>4.0</v>
      </c>
      <c r="G405" s="4" t="s">
        <v>598</v>
      </c>
    </row>
    <row r="406">
      <c r="A406" s="1">
        <v>404.0</v>
      </c>
      <c r="B406" s="4" t="s">
        <v>651</v>
      </c>
      <c r="C406" s="5" t="str">
        <f>IFERROR(__xludf.DUMMYFUNCTION("GOOGLETRANSLATE(D:D,""auto"",""en"")"),"Again attacked the US embassy in Iraq")</f>
        <v>Again attacked the US embassy in Iraq</v>
      </c>
      <c r="D406" s="4" t="s">
        <v>652</v>
      </c>
      <c r="E406" s="4">
        <v>0.0</v>
      </c>
      <c r="F406" s="4">
        <v>5.0</v>
      </c>
      <c r="G406" s="4" t="s">
        <v>653</v>
      </c>
    </row>
    <row r="407">
      <c r="A407" s="1">
        <v>405.0</v>
      </c>
      <c r="B407" s="4" t="s">
        <v>651</v>
      </c>
      <c r="C407" s="5" t="str">
        <f>IFERROR(__xludf.DUMMYFUNCTION("GOOGLETRANSLATE(D:D,""auto"",""en"")"),"Li Jiaqi annual income of nearly 200 million")</f>
        <v>Li Jiaqi annual income of nearly 200 million</v>
      </c>
      <c r="D407" s="4" t="s">
        <v>654</v>
      </c>
      <c r="E407" s="4">
        <v>0.0</v>
      </c>
      <c r="F407" s="4">
        <v>6.0</v>
      </c>
      <c r="G407" s="4" t="s">
        <v>655</v>
      </c>
    </row>
    <row r="408">
      <c r="A408" s="1">
        <v>406.0</v>
      </c>
      <c r="B408" s="4" t="s">
        <v>651</v>
      </c>
      <c r="C408" s="5" t="str">
        <f>IFERROR(__xludf.DUMMYFUNCTION("GOOGLETRANSLATE(D:D,""auto"",""en"")"),"Beijing Fangshan 3.2 earthquake")</f>
        <v>Beijing Fangshan 3.2 earthquake</v>
      </c>
      <c r="D408" s="4" t="s">
        <v>656</v>
      </c>
      <c r="E408" s="4">
        <v>0.0</v>
      </c>
      <c r="F408" s="4">
        <v>7.0</v>
      </c>
      <c r="G408" s="4" t="s">
        <v>657</v>
      </c>
    </row>
    <row r="409">
      <c r="A409" s="1">
        <v>407.0</v>
      </c>
      <c r="B409" s="4" t="s">
        <v>651</v>
      </c>
      <c r="C409" s="5" t="str">
        <f>IFERROR(__xludf.DUMMYFUNCTION("GOOGLETRANSLATE(D:D,""auto"",""en"")"),"Trump accused Obama")</f>
        <v>Trump accused Obama</v>
      </c>
      <c r="D409" s="4" t="s">
        <v>658</v>
      </c>
      <c r="E409" s="4">
        <v>0.0</v>
      </c>
      <c r="F409" s="4">
        <v>8.0</v>
      </c>
      <c r="G409" s="4" t="s">
        <v>659</v>
      </c>
    </row>
    <row r="410">
      <c r="A410" s="1">
        <v>408.0</v>
      </c>
      <c r="B410" s="4" t="s">
        <v>651</v>
      </c>
      <c r="C410" s="5" t="str">
        <f>IFERROR(__xludf.DUMMYFUNCTION("GOOGLETRANSLATE(D:D,""auto"",""en"")"),"The official response to price high-speed charge")</f>
        <v>The official response to price high-speed charge</v>
      </c>
      <c r="D410" s="4" t="s">
        <v>660</v>
      </c>
      <c r="E410" s="4">
        <v>0.0</v>
      </c>
      <c r="F410" s="4">
        <v>9.0</v>
      </c>
      <c r="G410" s="4" t="s">
        <v>661</v>
      </c>
    </row>
    <row r="411">
      <c r="A411" s="1">
        <v>409.0</v>
      </c>
      <c r="B411" s="4" t="s">
        <v>651</v>
      </c>
      <c r="C411" s="5" t="str">
        <f>IFERROR(__xludf.DUMMYFUNCTION("GOOGLETRANSLATE(D:D,""auto"",""en"")"),"Noodle play TANG Shi female boss")</f>
        <v>Noodle play TANG Shi female boss</v>
      </c>
      <c r="D411" s="4" t="s">
        <v>662</v>
      </c>
      <c r="E411" s="4">
        <v>0.0</v>
      </c>
      <c r="F411" s="4">
        <v>10.0</v>
      </c>
      <c r="G411" s="4" t="s">
        <v>663</v>
      </c>
    </row>
    <row r="412">
      <c r="A412" s="1">
        <v>410.0</v>
      </c>
      <c r="B412" s="4" t="s">
        <v>651</v>
      </c>
      <c r="C412" s="5" t="str">
        <f>IFERROR(__xludf.DUMMYFUNCTION("GOOGLETRANSLATE(D:D,""auto"",""en"")"),"US-Iraq conflict Bram Stoker six days")</f>
        <v>US-Iraq conflict Bram Stoker six days</v>
      </c>
      <c r="D412" s="4" t="s">
        <v>664</v>
      </c>
      <c r="E412" s="4">
        <v>0.0</v>
      </c>
      <c r="F412" s="4">
        <v>11.0</v>
      </c>
      <c r="G412" s="4" t="s">
        <v>665</v>
      </c>
    </row>
    <row r="413">
      <c r="A413" s="1">
        <v>411.0</v>
      </c>
      <c r="B413" s="4" t="s">
        <v>651</v>
      </c>
      <c r="C413" s="5" t="str">
        <f>IFERROR(__xludf.DUMMYFUNCTION("GOOGLETRANSLATE(D:D,""auto"",""en"")"),"Ming brother owed 2.5 million")</f>
        <v>Ming brother owed 2.5 million</v>
      </c>
      <c r="D413" s="4" t="s">
        <v>666</v>
      </c>
      <c r="E413" s="4">
        <v>0.0</v>
      </c>
      <c r="F413" s="4">
        <v>12.0</v>
      </c>
      <c r="G413" s="4" t="s">
        <v>667</v>
      </c>
    </row>
    <row r="414">
      <c r="A414" s="1">
        <v>412.0</v>
      </c>
      <c r="B414" s="4" t="s">
        <v>651</v>
      </c>
      <c r="C414" s="5" t="str">
        <f>IFERROR(__xludf.DUMMYFUNCTION("GOOGLETRANSLATE(D:D,""auto"",""en"")"),"Ada son into a group pet")</f>
        <v>Ada son into a group pet</v>
      </c>
      <c r="D414" s="4" t="s">
        <v>668</v>
      </c>
      <c r="E414" s="4">
        <v>0.0</v>
      </c>
      <c r="F414" s="4">
        <v>13.0</v>
      </c>
      <c r="G414" s="4" t="s">
        <v>669</v>
      </c>
    </row>
    <row r="415">
      <c r="A415" s="1">
        <v>413.0</v>
      </c>
      <c r="B415" s="4" t="s">
        <v>651</v>
      </c>
      <c r="C415" s="5" t="str">
        <f>IFERROR(__xludf.DUMMYFUNCTION("GOOGLETRANSLATE(D:D,""auto"",""en"")"),"Trump responded Iranian retaliation")</f>
        <v>Trump responded Iranian retaliation</v>
      </c>
      <c r="D415" s="4" t="s">
        <v>670</v>
      </c>
      <c r="E415" s="4">
        <v>0.0</v>
      </c>
      <c r="F415" s="4">
        <v>14.0</v>
      </c>
      <c r="G415" s="4" t="s">
        <v>671</v>
      </c>
    </row>
    <row r="416">
      <c r="A416" s="1">
        <v>414.0</v>
      </c>
      <c r="B416" s="4" t="s">
        <v>651</v>
      </c>
      <c r="C416" s="5" t="str">
        <f>IFERROR(__xludf.DUMMYFUNCTION("GOOGLETRANSLATE(D:D,""auto"",""en"")"),"Ma Rong suspect irony Baoqiang")</f>
        <v>Ma Rong suspect irony Baoqiang</v>
      </c>
      <c r="D416" s="4" t="s">
        <v>672</v>
      </c>
      <c r="E416" s="4">
        <v>0.0</v>
      </c>
      <c r="F416" s="4">
        <v>15.0</v>
      </c>
      <c r="G416" s="4" t="s">
        <v>673</v>
      </c>
    </row>
    <row r="417">
      <c r="A417" s="1">
        <v>415.0</v>
      </c>
      <c r="B417" s="4" t="s">
        <v>651</v>
      </c>
      <c r="C417" s="5" t="str">
        <f>IFERROR(__xludf.DUMMYFUNCTION("GOOGLETRANSLATE(D:D,""auto"",""en"")"),"Changfeng County, Anhui traffic accident")</f>
        <v>Changfeng County, Anhui traffic accident</v>
      </c>
      <c r="D417" s="4" t="s">
        <v>674</v>
      </c>
      <c r="E417" s="4">
        <v>0.0</v>
      </c>
      <c r="F417" s="4">
        <v>16.0</v>
      </c>
      <c r="G417" s="4" t="s">
        <v>675</v>
      </c>
    </row>
    <row r="418">
      <c r="A418" s="1">
        <v>416.0</v>
      </c>
      <c r="B418" s="4" t="s">
        <v>651</v>
      </c>
      <c r="C418" s="5" t="str">
        <f>IFERROR(__xludf.DUMMYFUNCTION("GOOGLETRANSLATE(D:D,""auto"",""en"")"),"Fortunately, the Ministry informed the Swiss coffee")</f>
        <v>Fortunately, the Ministry informed the Swiss coffee</v>
      </c>
      <c r="D418" s="4" t="s">
        <v>625</v>
      </c>
      <c r="E418" s="4">
        <v>0.0</v>
      </c>
      <c r="F418" s="4">
        <v>17.0</v>
      </c>
      <c r="G418" s="4" t="s">
        <v>626</v>
      </c>
    </row>
    <row r="419">
      <c r="A419" s="1">
        <v>417.0</v>
      </c>
      <c r="B419" s="4" t="s">
        <v>651</v>
      </c>
      <c r="C419" s="5" t="str">
        <f>IFERROR(__xludf.DUMMYFUNCTION("GOOGLETRANSLATE(D:D,""auto"",""en"")"),"Italy the most serious traffic law")</f>
        <v>Italy the most serious traffic law</v>
      </c>
      <c r="D419" s="4" t="s">
        <v>676</v>
      </c>
      <c r="E419" s="4">
        <v>0.0</v>
      </c>
      <c r="F419" s="4">
        <v>18.0</v>
      </c>
      <c r="G419" s="4" t="s">
        <v>677</v>
      </c>
    </row>
    <row r="420">
      <c r="A420" s="1">
        <v>418.0</v>
      </c>
      <c r="B420" s="4" t="s">
        <v>651</v>
      </c>
      <c r="C420" s="5" t="str">
        <f>IFERROR(__xludf.DUMMYFUNCTION("GOOGLETRANSLATE(D:D,""auto"",""en"")"),"India broke out strike")</f>
        <v>India broke out strike</v>
      </c>
      <c r="D420" s="4" t="s">
        <v>678</v>
      </c>
      <c r="E420" s="4">
        <v>0.0</v>
      </c>
      <c r="F420" s="4">
        <v>19.0</v>
      </c>
      <c r="G420" s="4" t="s">
        <v>679</v>
      </c>
    </row>
    <row r="421">
      <c r="A421" s="1">
        <v>419.0</v>
      </c>
      <c r="B421" s="4" t="s">
        <v>651</v>
      </c>
      <c r="C421" s="5" t="str">
        <f>IFERROR(__xludf.DUMMYFUNCTION("GOOGLETRANSLATE(D:D,""auto"",""en"")"),"Biden batches Trump incompetence")</f>
        <v>Biden batches Trump incompetence</v>
      </c>
      <c r="D421" s="4" t="s">
        <v>680</v>
      </c>
      <c r="E421" s="4">
        <v>0.0</v>
      </c>
      <c r="F421" s="4">
        <v>20.0</v>
      </c>
      <c r="G421" s="4" t="s">
        <v>681</v>
      </c>
    </row>
    <row r="422">
      <c r="A422" s="1">
        <v>420.0</v>
      </c>
      <c r="B422" s="4" t="s">
        <v>651</v>
      </c>
      <c r="C422" s="5" t="str">
        <f>IFERROR(__xludf.DUMMYFUNCTION("GOOGLETRANSLATE(D:D,""auto"",""en"")"),"Iran earthquake occurred in succession")</f>
        <v>Iran earthquake occurred in succession</v>
      </c>
      <c r="D422" s="4" t="s">
        <v>607</v>
      </c>
      <c r="E422" s="4">
        <v>0.0</v>
      </c>
      <c r="F422" s="4">
        <v>21.0</v>
      </c>
      <c r="G422" s="4" t="s">
        <v>608</v>
      </c>
    </row>
    <row r="423">
      <c r="A423" s="1">
        <v>421.0</v>
      </c>
      <c r="B423" s="4" t="s">
        <v>651</v>
      </c>
      <c r="C423" s="5" t="str">
        <f>IFERROR(__xludf.DUMMYFUNCTION("GOOGLETRANSLATE(D:D,""auto"",""en"")"),"US base attacked internal screen")</f>
        <v>US base attacked internal screen</v>
      </c>
      <c r="D423" s="4" t="s">
        <v>587</v>
      </c>
      <c r="E423" s="4">
        <v>0.0</v>
      </c>
      <c r="F423" s="4">
        <v>22.0</v>
      </c>
      <c r="G423" s="4" t="s">
        <v>588</v>
      </c>
    </row>
    <row r="424">
      <c r="A424" s="1">
        <v>422.0</v>
      </c>
      <c r="B424" s="4" t="s">
        <v>651</v>
      </c>
      <c r="C424" s="5" t="str">
        <f>IFERROR(__xludf.DUMMYFUNCTION("GOOGLETRANSLATE(D:D,""auto"",""en"")"),"Bieber admitted suffering from Lyme disease")</f>
        <v>Bieber admitted suffering from Lyme disease</v>
      </c>
      <c r="D424" s="4" t="s">
        <v>682</v>
      </c>
      <c r="E424" s="4">
        <v>0.0</v>
      </c>
      <c r="F424" s="4">
        <v>23.0</v>
      </c>
      <c r="G424" s="4" t="s">
        <v>683</v>
      </c>
    </row>
    <row r="425">
      <c r="A425" s="1">
        <v>423.0</v>
      </c>
      <c r="B425" s="4" t="s">
        <v>651</v>
      </c>
      <c r="C425" s="5" t="str">
        <f>IFERROR(__xludf.DUMMYFUNCTION("GOOGLETRANSLATE(D:D,""auto"",""en"")"),"Exposure Sun Yang retired Championship Series")</f>
        <v>Exposure Sun Yang retired Championship Series</v>
      </c>
      <c r="D425" s="4" t="s">
        <v>684</v>
      </c>
      <c r="E425" s="4">
        <v>0.0</v>
      </c>
      <c r="F425" s="4">
        <v>24.0</v>
      </c>
      <c r="G425" s="4" t="s">
        <v>685</v>
      </c>
    </row>
    <row r="426">
      <c r="A426" s="1">
        <v>424.0</v>
      </c>
      <c r="B426" s="4" t="s">
        <v>651</v>
      </c>
      <c r="C426" s="5" t="str">
        <f>IFERROR(__xludf.DUMMYFUNCTION("GOOGLETRANSLATE(D:D,""auto"",""en"")"),"Xie Nan Yang Zi called the wrong name")</f>
        <v>Xie Nan Yang Zi called the wrong name</v>
      </c>
      <c r="D426" s="4" t="s">
        <v>686</v>
      </c>
      <c r="E426" s="4">
        <v>0.0</v>
      </c>
      <c r="F426" s="4">
        <v>25.0</v>
      </c>
      <c r="G426" s="4" t="s">
        <v>687</v>
      </c>
    </row>
    <row r="427">
      <c r="A427" s="1">
        <v>425.0</v>
      </c>
      <c r="B427" s="4" t="s">
        <v>651</v>
      </c>
      <c r="C427" s="5" t="str">
        <f>IFERROR(__xludf.DUMMYFUNCTION("GOOGLETRANSLATE(D:D,""auto"",""en"")"),"Jinfu Jiang ex sun shine")</f>
        <v>Jinfu Jiang ex sun shine</v>
      </c>
      <c r="D427" s="4" t="s">
        <v>688</v>
      </c>
      <c r="E427" s="4">
        <v>0.0</v>
      </c>
      <c r="F427" s="4">
        <v>26.0</v>
      </c>
      <c r="G427" s="4" t="s">
        <v>689</v>
      </c>
    </row>
    <row r="428">
      <c r="A428" s="1">
        <v>426.0</v>
      </c>
      <c r="B428" s="4" t="s">
        <v>651</v>
      </c>
      <c r="C428" s="5" t="str">
        <f>IFERROR(__xludf.DUMMYFUNCTION("GOOGLETRANSLATE(D:D,""auto"",""en"")"),"Iranian media exposure bombing results")</f>
        <v>Iranian media exposure bombing results</v>
      </c>
      <c r="D428" s="4" t="s">
        <v>609</v>
      </c>
      <c r="E428" s="4">
        <v>0.0</v>
      </c>
      <c r="F428" s="4">
        <v>27.0</v>
      </c>
      <c r="G428" s="4" t="s">
        <v>610</v>
      </c>
    </row>
    <row r="429">
      <c r="A429" s="1">
        <v>427.0</v>
      </c>
      <c r="B429" s="4" t="s">
        <v>651</v>
      </c>
      <c r="C429" s="5" t="str">
        <f>IFERROR(__xludf.DUMMYFUNCTION("GOOGLETRANSLATE(D:D,""auto"",""en"")"),"Kim Su Hyon will play landing of love")</f>
        <v>Kim Su Hyon will play landing of love</v>
      </c>
      <c r="D429" s="4" t="s">
        <v>690</v>
      </c>
      <c r="E429" s="4">
        <v>0.0</v>
      </c>
      <c r="F429" s="4">
        <v>28.0</v>
      </c>
      <c r="G429" s="4" t="s">
        <v>691</v>
      </c>
    </row>
    <row r="430">
      <c r="A430" s="1">
        <v>428.0</v>
      </c>
      <c r="B430" s="4" t="s">
        <v>651</v>
      </c>
      <c r="C430" s="5" t="str">
        <f>IFERROR(__xludf.DUMMYFUNCTION("GOOGLETRANSLATE(D:D,""auto"",""en"")"),"Then put in reserve 20,000 tons of meat")</f>
        <v>Then put in reserve 20,000 tons of meat</v>
      </c>
      <c r="D430" s="4" t="s">
        <v>692</v>
      </c>
      <c r="E430" s="4">
        <v>0.0</v>
      </c>
      <c r="F430" s="4">
        <v>29.0</v>
      </c>
      <c r="G430" s="4" t="s">
        <v>693</v>
      </c>
    </row>
    <row r="431">
      <c r="A431" s="1">
        <v>429.0</v>
      </c>
      <c r="B431" s="4" t="s">
        <v>651</v>
      </c>
      <c r="C431" s="5" t="str">
        <f>IFERROR(__xludf.DUMMYFUNCTION("GOOGLETRANSLATE(D:D,""auto"",""en"")"),"US aircraft were destroyed Iran")</f>
        <v>US aircraft were destroyed Iran</v>
      </c>
      <c r="D431" s="4" t="s">
        <v>635</v>
      </c>
      <c r="E431" s="4">
        <v>0.0</v>
      </c>
      <c r="F431" s="4">
        <v>30.0</v>
      </c>
      <c r="G431" s="4" t="s">
        <v>636</v>
      </c>
    </row>
    <row r="432">
      <c r="A432" s="1">
        <v>430.0</v>
      </c>
      <c r="B432" s="4" t="s">
        <v>651</v>
      </c>
      <c r="C432" s="5" t="str">
        <f>IFERROR(__xludf.DUMMYFUNCTION("GOOGLETRANSLATE(D:D,""auto"",""en"")"),"Trump response to Iran attacks")</f>
        <v>Trump response to Iran attacks</v>
      </c>
      <c r="D432" s="4" t="s">
        <v>585</v>
      </c>
      <c r="E432" s="4">
        <v>0.0</v>
      </c>
      <c r="F432" s="4">
        <v>31.0</v>
      </c>
      <c r="G432" s="4" t="s">
        <v>586</v>
      </c>
    </row>
    <row r="433">
      <c r="A433" s="1">
        <v>431.0</v>
      </c>
      <c r="B433" s="4" t="s">
        <v>651</v>
      </c>
      <c r="C433" s="5" t="str">
        <f>IFERROR(__xludf.DUMMYFUNCTION("GOOGLETRANSLATE(D:D,""auto"",""en"")"),"Iran to launch a second round of attacks")</f>
        <v>Iran to launch a second round of attacks</v>
      </c>
      <c r="D433" s="4" t="s">
        <v>581</v>
      </c>
      <c r="E433" s="4">
        <v>0.0</v>
      </c>
      <c r="F433" s="4">
        <v>32.0</v>
      </c>
      <c r="G433" s="4" t="s">
        <v>582</v>
      </c>
    </row>
    <row r="434">
      <c r="A434" s="1">
        <v>432.0</v>
      </c>
      <c r="B434" s="4" t="s">
        <v>651</v>
      </c>
      <c r="C434" s="5" t="str">
        <f>IFERROR(__xludf.DUMMYFUNCTION("GOOGLETRANSLATE(D:D,""auto"",""en"")"),"Yang Zi is an example of when plastic surgery")</f>
        <v>Yang Zi is an example of when plastic surgery</v>
      </c>
      <c r="D434" s="4" t="s">
        <v>694</v>
      </c>
      <c r="E434" s="4">
        <v>0.0</v>
      </c>
      <c r="F434" s="4">
        <v>33.0</v>
      </c>
      <c r="G434" s="4" t="s">
        <v>695</v>
      </c>
    </row>
    <row r="435">
      <c r="A435" s="1">
        <v>433.0</v>
      </c>
      <c r="B435" s="4" t="s">
        <v>651</v>
      </c>
      <c r="C435" s="5" t="str">
        <f>IFERROR(__xludf.DUMMYFUNCTION("GOOGLETRANSLATE(D:D,""auto"",""en"")"),"Yang Mi Wei Taixun broke exposure")</f>
        <v>Yang Mi Wei Taixun broke exposure</v>
      </c>
      <c r="D435" s="4" t="s">
        <v>633</v>
      </c>
      <c r="E435" s="4">
        <v>0.0</v>
      </c>
      <c r="F435" s="4">
        <v>34.0</v>
      </c>
      <c r="G435" s="4" t="s">
        <v>634</v>
      </c>
    </row>
    <row r="436">
      <c r="A436" s="1">
        <v>434.0</v>
      </c>
      <c r="B436" s="4" t="s">
        <v>651</v>
      </c>
      <c r="C436" s="5" t="str">
        <f>IFERROR(__xludf.DUMMYFUNCTION("GOOGLETRANSLATE(D:D,""auto"",""en"")"),"Iran plans to the third round of action")</f>
        <v>Iran plans to the third round of action</v>
      </c>
      <c r="D436" s="4" t="s">
        <v>641</v>
      </c>
      <c r="E436" s="4">
        <v>0.0</v>
      </c>
      <c r="F436" s="4">
        <v>35.0</v>
      </c>
      <c r="G436" s="4" t="s">
        <v>642</v>
      </c>
    </row>
    <row r="437">
      <c r="A437" s="1">
        <v>435.0</v>
      </c>
      <c r="B437" s="4" t="s">
        <v>651</v>
      </c>
      <c r="C437" s="5" t="str">
        <f>IFERROR(__xludf.DUMMYFUNCTION("GOOGLETRANSLATE(D:D,""auto"",""en"")"),"Fan Bingbing late start")</f>
        <v>Fan Bingbing late start</v>
      </c>
      <c r="D437" s="4" t="s">
        <v>647</v>
      </c>
      <c r="E437" s="4">
        <v>0.0</v>
      </c>
      <c r="F437" s="4">
        <v>36.0</v>
      </c>
      <c r="G437" s="4" t="s">
        <v>648</v>
      </c>
    </row>
    <row r="438">
      <c r="A438" s="1">
        <v>436.0</v>
      </c>
      <c r="B438" s="4" t="s">
        <v>651</v>
      </c>
      <c r="C438" s="5" t="str">
        <f>IFERROR(__xludf.DUMMYFUNCTION("GOOGLETRANSLATE(D:D,""auto"",""en"")"),"Progress viral pneumonia Wuhan")</f>
        <v>Progress viral pneumonia Wuhan</v>
      </c>
      <c r="D438" s="4" t="s">
        <v>696</v>
      </c>
      <c r="E438" s="4">
        <v>0.0</v>
      </c>
      <c r="F438" s="4">
        <v>37.0</v>
      </c>
      <c r="G438" s="4" t="s">
        <v>697</v>
      </c>
    </row>
    <row r="439">
      <c r="A439" s="1">
        <v>437.0</v>
      </c>
      <c r="B439" s="4" t="s">
        <v>651</v>
      </c>
      <c r="C439" s="5" t="str">
        <f>IFERROR(__xludf.DUMMYFUNCTION("GOOGLETRANSLATE(D:D,""auto"",""en"")"),"Hariri resigned the royal couple duties")</f>
        <v>Hariri resigned the royal couple duties</v>
      </c>
      <c r="D439" s="4" t="s">
        <v>698</v>
      </c>
      <c r="E439" s="4">
        <v>0.0</v>
      </c>
      <c r="F439" s="4">
        <v>38.0</v>
      </c>
      <c r="G439" s="4" t="s">
        <v>699</v>
      </c>
    </row>
    <row r="440">
      <c r="A440" s="1">
        <v>438.0</v>
      </c>
      <c r="B440" s="4" t="s">
        <v>651</v>
      </c>
      <c r="C440" s="5" t="str">
        <f>IFERROR(__xludf.DUMMYFUNCTION("GOOGLETRANSLATE(D:D,""auto"",""en"")"),"Fortunately, in response to being named Swiss coffee")</f>
        <v>Fortunately, in response to being named Swiss coffee</v>
      </c>
      <c r="D440" s="4" t="s">
        <v>700</v>
      </c>
      <c r="E440" s="4">
        <v>0.0</v>
      </c>
      <c r="F440" s="4">
        <v>39.0</v>
      </c>
      <c r="G440" s="4" t="s">
        <v>701</v>
      </c>
    </row>
    <row r="441">
      <c r="A441" s="1">
        <v>439.0</v>
      </c>
      <c r="B441" s="4" t="s">
        <v>651</v>
      </c>
      <c r="C441" s="5" t="str">
        <f>IFERROR(__xludf.DUMMYFUNCTION("GOOGLETRANSLATE(D:D,""auto"",""en"")"),"Iran attacked a US military base")</f>
        <v>Iran attacked a US military base</v>
      </c>
      <c r="D441" s="4" t="s">
        <v>579</v>
      </c>
      <c r="E441" s="4">
        <v>0.0</v>
      </c>
      <c r="F441" s="4">
        <v>40.0</v>
      </c>
      <c r="G441" s="4" t="s">
        <v>580</v>
      </c>
    </row>
    <row r="442">
      <c r="A442" s="1">
        <v>440.0</v>
      </c>
      <c r="B442" s="4" t="s">
        <v>651</v>
      </c>
      <c r="C442" s="5" t="str">
        <f>IFERROR(__xludf.DUMMYFUNCTION("GOOGLETRANSLATE(D:D,""auto"",""en"")"),"The United States will implement new sanctions against Iraq")</f>
        <v>The United States will implement new sanctions against Iraq</v>
      </c>
      <c r="D442" s="4" t="s">
        <v>702</v>
      </c>
      <c r="E442" s="4">
        <v>0.0</v>
      </c>
      <c r="F442" s="4">
        <v>41.0</v>
      </c>
      <c r="G442" s="4" t="s">
        <v>703</v>
      </c>
    </row>
    <row r="443">
      <c r="A443" s="1">
        <v>441.0</v>
      </c>
      <c r="B443" s="4" t="s">
        <v>651</v>
      </c>
      <c r="C443" s="5" t="str">
        <f>IFERROR(__xludf.DUMMYFUNCTION("GOOGLETRANSLATE(D:D,""auto"",""en"")"),"In the plum Qi 160 million")</f>
        <v>In the plum Qi 160 million</v>
      </c>
      <c r="D443" s="4" t="s">
        <v>603</v>
      </c>
      <c r="E443" s="4">
        <v>0.0</v>
      </c>
      <c r="F443" s="4">
        <v>42.0</v>
      </c>
      <c r="G443" s="4" t="s">
        <v>604</v>
      </c>
    </row>
    <row r="444">
      <c r="A444" s="1">
        <v>442.0</v>
      </c>
      <c r="B444" s="4" t="s">
        <v>651</v>
      </c>
      <c r="C444" s="5" t="str">
        <f>IFERROR(__xludf.DUMMYFUNCTION("GOOGLETRANSLATE(D:D,""auto"",""en"")"),"Welcome window period pension increase")</f>
        <v>Welcome window period pension increase</v>
      </c>
      <c r="D444" s="4" t="s">
        <v>577</v>
      </c>
      <c r="E444" s="4">
        <v>0.0</v>
      </c>
      <c r="F444" s="4">
        <v>43.0</v>
      </c>
      <c r="G444" s="4" t="s">
        <v>578</v>
      </c>
    </row>
    <row r="445">
      <c r="A445" s="1">
        <v>443.0</v>
      </c>
      <c r="B445" s="4" t="s">
        <v>651</v>
      </c>
      <c r="C445" s="5" t="str">
        <f>IFERROR(__xludf.DUMMYFUNCTION("GOOGLETRANSLATE(D:D,""auto"",""en"")"),"CCTV Spring Festival lineup suspected exposure")</f>
        <v>CCTV Spring Festival lineup suspected exposure</v>
      </c>
      <c r="D445" s="4" t="s">
        <v>704</v>
      </c>
      <c r="E445" s="4">
        <v>0.0</v>
      </c>
      <c r="F445" s="4">
        <v>44.0</v>
      </c>
      <c r="G445" s="4" t="s">
        <v>705</v>
      </c>
    </row>
    <row r="446">
      <c r="A446" s="1">
        <v>444.0</v>
      </c>
      <c r="B446" s="4" t="s">
        <v>651</v>
      </c>
      <c r="C446" s="5" t="str">
        <f>IFERROR(__xludf.DUMMYFUNCTION("GOOGLETRANSLATE(D:D,""auto"",""en"")"),"Alan Tan Ban Chen Qiao En")</f>
        <v>Alan Tan Ban Chen Qiao En</v>
      </c>
      <c r="D446" s="4" t="s">
        <v>706</v>
      </c>
      <c r="E446" s="4">
        <v>0.0</v>
      </c>
      <c r="F446" s="4">
        <v>45.0</v>
      </c>
      <c r="G446" s="4" t="s">
        <v>707</v>
      </c>
    </row>
    <row r="447">
      <c r="A447" s="1">
        <v>445.0</v>
      </c>
      <c r="B447" s="4" t="s">
        <v>651</v>
      </c>
      <c r="C447" s="5" t="str">
        <f>IFERROR(__xludf.DUMMYFUNCTION("GOOGLETRANSLATE(D:D,""auto"",""en"")"),"Canada shooting incident")</f>
        <v>Canada shooting incident</v>
      </c>
      <c r="D447" s="4" t="s">
        <v>708</v>
      </c>
      <c r="E447" s="4">
        <v>0.0</v>
      </c>
      <c r="F447" s="4">
        <v>46.0</v>
      </c>
      <c r="G447" s="4" t="s">
        <v>709</v>
      </c>
    </row>
    <row r="448">
      <c r="A448" s="1">
        <v>446.0</v>
      </c>
      <c r="B448" s="4" t="s">
        <v>651</v>
      </c>
      <c r="C448" s="5" t="str">
        <f>IFERROR(__xludf.DUMMYFUNCTION("GOOGLETRANSLATE(D:D,""auto"",""en"")"),"CCTV Spring suspected exposure as rehearsal")</f>
        <v>CCTV Spring suspected exposure as rehearsal</v>
      </c>
      <c r="D448" s="4" t="s">
        <v>599</v>
      </c>
      <c r="E448" s="4">
        <v>0.0</v>
      </c>
      <c r="F448" s="4">
        <v>47.0</v>
      </c>
      <c r="G448" s="4" t="s">
        <v>600</v>
      </c>
    </row>
    <row r="449">
      <c r="A449" s="1">
        <v>447.0</v>
      </c>
      <c r="B449" s="4" t="s">
        <v>651</v>
      </c>
      <c r="C449" s="5" t="str">
        <f>IFERROR(__xludf.DUMMYFUNCTION("GOOGLETRANSLATE(D:D,""auto"",""en"")"),"Iran released the crash report")</f>
        <v>Iran released the crash report</v>
      </c>
      <c r="D449" s="4" t="s">
        <v>710</v>
      </c>
      <c r="E449" s="4">
        <v>0.0</v>
      </c>
      <c r="F449" s="4">
        <v>48.0</v>
      </c>
      <c r="G449" s="4" t="s">
        <v>711</v>
      </c>
    </row>
    <row r="450">
      <c r="A450" s="1">
        <v>448.0</v>
      </c>
      <c r="B450" s="4" t="s">
        <v>651</v>
      </c>
      <c r="C450" s="5" t="str">
        <f>IFERROR(__xludf.DUMMYFUNCTION("GOOGLETRANSLATE(D:D,""auto"",""en"")"),"Xingwen 4.1 earthquake")</f>
        <v>Xingwen 4.1 earthquake</v>
      </c>
      <c r="D450" s="4" t="s">
        <v>575</v>
      </c>
      <c r="E450" s="4">
        <v>0.0</v>
      </c>
      <c r="F450" s="4">
        <v>49.0</v>
      </c>
      <c r="G450" s="4" t="s">
        <v>576</v>
      </c>
    </row>
    <row r="451">
      <c r="A451" s="1">
        <v>449.0</v>
      </c>
      <c r="B451" s="4" t="s">
        <v>651</v>
      </c>
      <c r="C451" s="5" t="str">
        <f>IFERROR(__xludf.DUMMYFUNCTION("GOOGLETRANSLATE(D:D,""auto"",""en"")"),"Boy was pressed awarded 320 million")</f>
        <v>Boy was pressed awarded 320 million</v>
      </c>
      <c r="D451" s="4" t="s">
        <v>520</v>
      </c>
      <c r="E451" s="4">
        <v>0.0</v>
      </c>
      <c r="F451" s="4">
        <v>50.0</v>
      </c>
      <c r="G451" s="4" t="s">
        <v>521</v>
      </c>
    </row>
    <row r="452">
      <c r="A452" s="1">
        <v>450.0</v>
      </c>
      <c r="B452" s="4" t="s">
        <v>712</v>
      </c>
      <c r="C452" s="5" t="str">
        <f>IFERROR(__xludf.DUMMYFUNCTION("GOOGLETRANSLATE(D:D,""auto"",""en"")"),"The US unconditional talks with Iran")</f>
        <v>The US unconditional talks with Iran</v>
      </c>
      <c r="D452" s="4" t="s">
        <v>713</v>
      </c>
      <c r="E452" s="4">
        <v>0.0</v>
      </c>
      <c r="F452" s="4">
        <v>1.0</v>
      </c>
      <c r="G452" s="4" t="s">
        <v>714</v>
      </c>
    </row>
    <row r="453">
      <c r="A453" s="1">
        <v>451.0</v>
      </c>
      <c r="B453" s="4" t="s">
        <v>712</v>
      </c>
      <c r="C453" s="5" t="str">
        <f>IFERROR(__xludf.DUMMYFUNCTION("GOOGLETRANSLATE(D:D,""auto"",""en"")"),"Yang Zi is an example of when plastic surgery")</f>
        <v>Yang Zi is an example of when plastic surgery</v>
      </c>
      <c r="D453" s="4" t="s">
        <v>694</v>
      </c>
      <c r="E453" s="4">
        <v>0.0</v>
      </c>
      <c r="F453" s="4">
        <v>2.0</v>
      </c>
      <c r="G453" s="4" t="s">
        <v>695</v>
      </c>
    </row>
    <row r="454">
      <c r="A454" s="1">
        <v>452.0</v>
      </c>
      <c r="B454" s="4" t="s">
        <v>712</v>
      </c>
      <c r="C454" s="5" t="str">
        <f>IFERROR(__xludf.DUMMYFUNCTION("GOOGLETRANSLATE(D:D,""auto"",""en"")"),"Ada son into a group pet")</f>
        <v>Ada son into a group pet</v>
      </c>
      <c r="D454" s="4" t="s">
        <v>668</v>
      </c>
      <c r="E454" s="4">
        <v>0.0</v>
      </c>
      <c r="F454" s="4">
        <v>3.0</v>
      </c>
      <c r="G454" s="4" t="s">
        <v>669</v>
      </c>
    </row>
    <row r="455">
      <c r="A455" s="1">
        <v>453.0</v>
      </c>
      <c r="B455" s="4" t="s">
        <v>712</v>
      </c>
      <c r="C455" s="5" t="str">
        <f>IFERROR(__xludf.DUMMYFUNCTION("GOOGLETRANSLATE(D:D,""auto"",""en"")"),"Love Apartments 5 fixed gear")</f>
        <v>Love Apartments 5 fixed gear</v>
      </c>
      <c r="D455" s="4" t="s">
        <v>715</v>
      </c>
      <c r="E455" s="4">
        <v>0.0</v>
      </c>
      <c r="F455" s="4">
        <v>4.0</v>
      </c>
      <c r="G455" s="4" t="s">
        <v>716</v>
      </c>
    </row>
    <row r="456">
      <c r="A456" s="1">
        <v>454.0</v>
      </c>
      <c r="B456" s="4" t="s">
        <v>712</v>
      </c>
      <c r="C456" s="5" t="str">
        <f>IFERROR(__xludf.DUMMYFUNCTION("GOOGLETRANSLATE(D:D,""auto"",""en"")"),"Trump sits war room")</f>
        <v>Trump sits war room</v>
      </c>
      <c r="D456" s="4" t="s">
        <v>717</v>
      </c>
      <c r="E456" s="4">
        <v>0.0</v>
      </c>
      <c r="F456" s="4">
        <v>5.0</v>
      </c>
      <c r="G456" s="4" t="s">
        <v>718</v>
      </c>
    </row>
    <row r="457">
      <c r="A457" s="1">
        <v>455.0</v>
      </c>
      <c r="B457" s="4" t="s">
        <v>712</v>
      </c>
      <c r="C457" s="5" t="str">
        <f>IFERROR(__xludf.DUMMYFUNCTION("GOOGLETRANSLATE(D:D,""auto"",""en"")"),"Iran crash doubtful point")</f>
        <v>Iran crash doubtful point</v>
      </c>
      <c r="D457" s="4" t="s">
        <v>719</v>
      </c>
      <c r="E457" s="4">
        <v>0.0</v>
      </c>
      <c r="F457" s="4">
        <v>6.0</v>
      </c>
      <c r="G457" s="4" t="s">
        <v>720</v>
      </c>
    </row>
    <row r="458">
      <c r="A458" s="1">
        <v>456.0</v>
      </c>
      <c r="B458" s="4" t="s">
        <v>712</v>
      </c>
      <c r="C458" s="5" t="str">
        <f>IFERROR(__xludf.DUMMYFUNCTION("GOOGLETRANSLATE(D:D,""auto"",""en"")"),"Atletico Madrid lost to Barcelona 2-3")</f>
        <v>Atletico Madrid lost to Barcelona 2-3</v>
      </c>
      <c r="D458" s="4" t="s">
        <v>721</v>
      </c>
      <c r="E458" s="4">
        <v>0.0</v>
      </c>
      <c r="F458" s="4">
        <v>7.0</v>
      </c>
      <c r="G458" s="4" t="s">
        <v>722</v>
      </c>
    </row>
    <row r="459">
      <c r="A459" s="1">
        <v>457.0</v>
      </c>
      <c r="B459" s="4" t="s">
        <v>712</v>
      </c>
      <c r="C459" s="5" t="str">
        <f>IFERROR(__xludf.DUMMYFUNCTION("GOOGLETRANSLATE(D:D,""auto"",""en"")"),"U23 national football Hanfu Korea")</f>
        <v>U23 national football Hanfu Korea</v>
      </c>
      <c r="D459" s="4" t="s">
        <v>723</v>
      </c>
      <c r="E459" s="4">
        <v>0.0</v>
      </c>
      <c r="F459" s="4">
        <v>8.0</v>
      </c>
      <c r="G459" s="4" t="s">
        <v>724</v>
      </c>
    </row>
    <row r="460">
      <c r="A460" s="1">
        <v>458.0</v>
      </c>
      <c r="B460" s="4" t="s">
        <v>712</v>
      </c>
      <c r="C460" s="5" t="str">
        <f>IFERROR(__xludf.DUMMYFUNCTION("GOOGLETRANSLATE(D:D,""auto"",""en"")"),"US-Iraq conflict Bram Stoker six days")</f>
        <v>US-Iraq conflict Bram Stoker six days</v>
      </c>
      <c r="D460" s="4" t="s">
        <v>664</v>
      </c>
      <c r="E460" s="4">
        <v>0.0</v>
      </c>
      <c r="F460" s="4">
        <v>9.0</v>
      </c>
      <c r="G460" s="4" t="s">
        <v>665</v>
      </c>
    </row>
    <row r="461">
      <c r="A461" s="1">
        <v>459.0</v>
      </c>
      <c r="B461" s="4" t="s">
        <v>712</v>
      </c>
      <c r="C461" s="5" t="str">
        <f>IFERROR(__xludf.DUMMYFUNCTION("GOOGLETRANSLATE(D:D,""auto"",""en"")"),"Luhan joined Tempo Club")</f>
        <v>Luhan joined Tempo Club</v>
      </c>
      <c r="D461" s="4" t="s">
        <v>725</v>
      </c>
      <c r="E461" s="4">
        <v>0.0</v>
      </c>
      <c r="F461" s="4">
        <v>10.0</v>
      </c>
      <c r="G461" s="4" t="s">
        <v>726</v>
      </c>
    </row>
    <row r="462">
      <c r="A462" s="1">
        <v>460.0</v>
      </c>
      <c r="B462" s="4" t="s">
        <v>712</v>
      </c>
      <c r="C462" s="5" t="str">
        <f>IFERROR(__xludf.DUMMYFUNCTION("GOOGLETRANSLATE(D:D,""auto"",""en"")"),"Flights canceled due to escape crash")</f>
        <v>Flights canceled due to escape crash</v>
      </c>
      <c r="D462" s="4" t="s">
        <v>727</v>
      </c>
      <c r="E462" s="4">
        <v>0.0</v>
      </c>
      <c r="F462" s="4">
        <v>11.0</v>
      </c>
      <c r="G462" s="4" t="s">
        <v>728</v>
      </c>
    </row>
    <row r="463">
      <c r="A463" s="1">
        <v>461.0</v>
      </c>
      <c r="B463" s="4" t="s">
        <v>712</v>
      </c>
      <c r="C463" s="5" t="str">
        <f>IFERROR(__xludf.DUMMYFUNCTION("GOOGLETRANSLATE(D:D,""auto"",""en"")"),"Fang Zhao Zhongxiang death rumor")</f>
        <v>Fang Zhao Zhongxiang death rumor</v>
      </c>
      <c r="D463" s="4" t="s">
        <v>729</v>
      </c>
      <c r="E463" s="4">
        <v>0.0</v>
      </c>
      <c r="F463" s="4">
        <v>12.0</v>
      </c>
      <c r="G463" s="4" t="s">
        <v>730</v>
      </c>
    </row>
    <row r="464">
      <c r="A464" s="1">
        <v>462.0</v>
      </c>
      <c r="B464" s="4" t="s">
        <v>712</v>
      </c>
      <c r="C464" s="5" t="str">
        <f>IFERROR(__xludf.DUMMYFUNCTION("GOOGLETRANSLATE(D:D,""auto"",""en"")"),"Fang Zhu Dan responded slip of the tongue")</f>
        <v>Fang Zhu Dan responded slip of the tongue</v>
      </c>
      <c r="D464" s="4" t="s">
        <v>731</v>
      </c>
      <c r="E464" s="4">
        <v>0.0</v>
      </c>
      <c r="F464" s="4">
        <v>13.0</v>
      </c>
      <c r="G464" s="4" t="s">
        <v>732</v>
      </c>
    </row>
    <row r="465">
      <c r="A465" s="1">
        <v>463.0</v>
      </c>
      <c r="B465" s="4" t="s">
        <v>712</v>
      </c>
      <c r="C465" s="5" t="str">
        <f>IFERROR(__xludf.DUMMYFUNCTION("GOOGLETRANSLATE(D:D,""auto"",""en"")"),"Iran denies shooting down aircraft")</f>
        <v>Iran denies shooting down aircraft</v>
      </c>
      <c r="D465" s="4" t="s">
        <v>733</v>
      </c>
      <c r="E465" s="4">
        <v>0.0</v>
      </c>
      <c r="F465" s="4">
        <v>14.0</v>
      </c>
      <c r="G465" s="4" t="s">
        <v>734</v>
      </c>
    </row>
    <row r="466">
      <c r="A466" s="1">
        <v>464.0</v>
      </c>
      <c r="B466" s="4" t="s">
        <v>712</v>
      </c>
      <c r="C466" s="5" t="str">
        <f>IFERROR(__xludf.DUMMYFUNCTION("GOOGLETRANSLATE(D:D,""auto"",""en"")"),"Zhu Dan studio Statement")</f>
        <v>Zhu Dan studio Statement</v>
      </c>
      <c r="D466" s="4" t="s">
        <v>735</v>
      </c>
      <c r="E466" s="4">
        <v>0.0</v>
      </c>
      <c r="F466" s="4">
        <v>15.0</v>
      </c>
      <c r="G466" s="4" t="s">
        <v>736</v>
      </c>
    </row>
    <row r="467">
      <c r="A467" s="1">
        <v>465.0</v>
      </c>
      <c r="B467" s="4" t="s">
        <v>712</v>
      </c>
      <c r="C467" s="5" t="str">
        <f>IFERROR(__xludf.DUMMYFUNCTION("GOOGLETRANSLATE(D:D,""auto"",""en"")"),"Zhu Dan broker hair long article")</f>
        <v>Zhu Dan broker hair long article</v>
      </c>
      <c r="D467" s="4" t="s">
        <v>737</v>
      </c>
      <c r="E467" s="4">
        <v>0.0</v>
      </c>
      <c r="F467" s="4">
        <v>16.0</v>
      </c>
      <c r="G467" s="4" t="s">
        <v>738</v>
      </c>
    </row>
    <row r="468">
      <c r="A468" s="1">
        <v>466.0</v>
      </c>
      <c r="B468" s="4" t="s">
        <v>712</v>
      </c>
      <c r="C468" s="5" t="str">
        <f>IFERROR(__xludf.DUMMYFUNCTION("GOOGLETRANSLATE(D:D,""auto"",""en"")"),"Lien Chan as Han Guoyu electioneering")</f>
        <v>Lien Chan as Han Guoyu electioneering</v>
      </c>
      <c r="D468" s="4" t="s">
        <v>739</v>
      </c>
      <c r="E468" s="4">
        <v>0.0</v>
      </c>
      <c r="F468" s="4">
        <v>17.0</v>
      </c>
      <c r="G468" s="4" t="s">
        <v>740</v>
      </c>
    </row>
    <row r="469">
      <c r="A469" s="1">
        <v>467.0</v>
      </c>
      <c r="B469" s="4" t="s">
        <v>712</v>
      </c>
      <c r="C469" s="5" t="str">
        <f>IFERROR(__xludf.DUMMYFUNCTION("GOOGLETRANSLATE(D:D,""auto"",""en"")"),"Ming brother owed 2.5 million")</f>
        <v>Ming brother owed 2.5 million</v>
      </c>
      <c r="D469" s="4" t="s">
        <v>666</v>
      </c>
      <c r="E469" s="4">
        <v>0.0</v>
      </c>
      <c r="F469" s="4">
        <v>18.0</v>
      </c>
      <c r="G469" s="4" t="s">
        <v>667</v>
      </c>
    </row>
    <row r="470">
      <c r="A470" s="1">
        <v>468.0</v>
      </c>
      <c r="B470" s="4" t="s">
        <v>712</v>
      </c>
      <c r="C470" s="5" t="str">
        <f>IFERROR(__xludf.DUMMYFUNCTION("GOOGLETRANSLATE(D:D,""auto"",""en"")"),"Pool open tear laughed fruit culture")</f>
        <v>Pool open tear laughed fruit culture</v>
      </c>
      <c r="D470" s="4" t="s">
        <v>741</v>
      </c>
      <c r="E470" s="4">
        <v>0.0</v>
      </c>
      <c r="F470" s="4">
        <v>19.0</v>
      </c>
      <c r="G470" s="4" t="s">
        <v>742</v>
      </c>
    </row>
    <row r="471">
      <c r="A471" s="1">
        <v>469.0</v>
      </c>
      <c r="B471" s="4" t="s">
        <v>712</v>
      </c>
      <c r="C471" s="5" t="str">
        <f>IFERROR(__xludf.DUMMYFUNCTION("GOOGLETRANSLATE(D:D,""auto"",""en"")"),"Shu Qi Zhou Xun, Chen Kun Annual Meeting")</f>
        <v>Shu Qi Zhou Xun, Chen Kun Annual Meeting</v>
      </c>
      <c r="D471" s="4" t="s">
        <v>743</v>
      </c>
      <c r="E471" s="4">
        <v>0.0</v>
      </c>
      <c r="F471" s="4">
        <v>20.0</v>
      </c>
      <c r="G471" s="4" t="s">
        <v>744</v>
      </c>
    </row>
    <row r="472">
      <c r="A472" s="1">
        <v>470.0</v>
      </c>
      <c r="B472" s="4" t="s">
        <v>712</v>
      </c>
      <c r="C472" s="5" t="str">
        <f>IFERROR(__xludf.DUMMYFUNCTION("GOOGLETRANSLATE(D:D,""auto"",""en"")"),"Li Sisi high-profile show of affection")</f>
        <v>Li Sisi high-profile show of affection</v>
      </c>
      <c r="D472" s="4" t="s">
        <v>745</v>
      </c>
      <c r="E472" s="4">
        <v>0.0</v>
      </c>
      <c r="F472" s="4">
        <v>21.0</v>
      </c>
      <c r="G472" s="4" t="s">
        <v>746</v>
      </c>
    </row>
    <row r="473">
      <c r="A473" s="1">
        <v>471.0</v>
      </c>
      <c r="B473" s="4" t="s">
        <v>712</v>
      </c>
      <c r="C473" s="5" t="str">
        <f>IFERROR(__xludf.DUMMYFUNCTION("GOOGLETRANSLATE(D:D,""auto"",""en"")"),"Wang Junkai pants fake two")</f>
        <v>Wang Junkai pants fake two</v>
      </c>
      <c r="D473" s="4" t="s">
        <v>747</v>
      </c>
      <c r="E473" s="4">
        <v>0.0</v>
      </c>
      <c r="F473" s="4">
        <v>22.0</v>
      </c>
      <c r="G473" s="4" t="s">
        <v>748</v>
      </c>
    </row>
    <row r="474">
      <c r="A474" s="1">
        <v>472.0</v>
      </c>
      <c r="B474" s="4" t="s">
        <v>712</v>
      </c>
      <c r="C474" s="5" t="str">
        <f>IFERROR(__xludf.DUMMYFUNCTION("GOOGLETRANSLATE(D:D,""auto"",""en"")"),"Kim Su Hyon will play landing of love")</f>
        <v>Kim Su Hyon will play landing of love</v>
      </c>
      <c r="D474" s="4" t="s">
        <v>690</v>
      </c>
      <c r="E474" s="4">
        <v>0.0</v>
      </c>
      <c r="F474" s="4">
        <v>23.0</v>
      </c>
      <c r="G474" s="4" t="s">
        <v>691</v>
      </c>
    </row>
    <row r="475">
      <c r="A475" s="1">
        <v>473.0</v>
      </c>
      <c r="B475" s="4" t="s">
        <v>712</v>
      </c>
      <c r="C475" s="5" t="str">
        <f>IFERROR(__xludf.DUMMYFUNCTION("GOOGLETRANSLATE(D:D,""auto"",""en"")"),"Again attacked the US embassy in Iraq")</f>
        <v>Again attacked the US embassy in Iraq</v>
      </c>
      <c r="D475" s="4" t="s">
        <v>652</v>
      </c>
      <c r="E475" s="4">
        <v>0.0</v>
      </c>
      <c r="F475" s="4">
        <v>24.0</v>
      </c>
      <c r="G475" s="4" t="s">
        <v>653</v>
      </c>
    </row>
    <row r="476">
      <c r="A476" s="1">
        <v>474.0</v>
      </c>
      <c r="B476" s="4" t="s">
        <v>712</v>
      </c>
      <c r="C476" s="5" t="str">
        <f>IFERROR(__xludf.DUMMYFUNCTION("GOOGLETRANSLATE(D:D,""auto"",""en"")"),"Chinese men's volleyball 0: 3 Iran")</f>
        <v>Chinese men's volleyball 0: 3 Iran</v>
      </c>
      <c r="D476" s="4" t="s">
        <v>749</v>
      </c>
      <c r="E476" s="4">
        <v>0.0</v>
      </c>
      <c r="F476" s="4">
        <v>25.0</v>
      </c>
      <c r="G476" s="4" t="s">
        <v>750</v>
      </c>
    </row>
    <row r="477">
      <c r="A477" s="1">
        <v>475.0</v>
      </c>
      <c r="B477" s="4" t="s">
        <v>712</v>
      </c>
      <c r="C477" s="5" t="str">
        <f>IFERROR(__xludf.DUMMYFUNCTION("GOOGLETRANSLATE(D:D,""auto"",""en"")"),"Song Zhe Yang Hui recent photograph of ex-wife")</f>
        <v>Song Zhe Yang Hui recent photograph of ex-wife</v>
      </c>
      <c r="D477" s="4" t="s">
        <v>751</v>
      </c>
      <c r="E477" s="4">
        <v>0.0</v>
      </c>
      <c r="F477" s="4">
        <v>26.0</v>
      </c>
      <c r="G477" s="4" t="s">
        <v>752</v>
      </c>
    </row>
    <row r="478">
      <c r="A478" s="1">
        <v>476.0</v>
      </c>
      <c r="B478" s="4" t="s">
        <v>712</v>
      </c>
      <c r="C478" s="5" t="str">
        <f>IFERROR(__xludf.DUMMYFUNCTION("GOOGLETRANSLATE(D:D,""auto"",""en"")"),"Wang Feng Zhang Ziyi accompany confinement")</f>
        <v>Wang Feng Zhang Ziyi accompany confinement</v>
      </c>
      <c r="D478" s="4" t="s">
        <v>753</v>
      </c>
      <c r="E478" s="4">
        <v>0.0</v>
      </c>
      <c r="F478" s="4">
        <v>27.0</v>
      </c>
      <c r="G478" s="4" t="s">
        <v>754</v>
      </c>
    </row>
    <row r="479">
      <c r="A479" s="1">
        <v>477.0</v>
      </c>
      <c r="B479" s="4" t="s">
        <v>712</v>
      </c>
      <c r="C479" s="5" t="str">
        <f>IFERROR(__xludf.DUMMYFUNCTION("GOOGLETRANSLATE(D:D,""auto"",""en"")"),"Yang Mi smoke lens")</f>
        <v>Yang Mi smoke lens</v>
      </c>
      <c r="D479" s="4" t="s">
        <v>755</v>
      </c>
      <c r="E479" s="4">
        <v>0.0</v>
      </c>
      <c r="F479" s="4">
        <v>28.0</v>
      </c>
      <c r="G479" s="4" t="s">
        <v>756</v>
      </c>
    </row>
    <row r="480">
      <c r="A480" s="1">
        <v>478.0</v>
      </c>
      <c r="B480" s="4" t="s">
        <v>712</v>
      </c>
      <c r="C480" s="5" t="str">
        <f>IFERROR(__xludf.DUMMYFUNCTION("GOOGLETRANSLATE(D:D,""auto"",""en"")"),"The official response to price high-speed charge")</f>
        <v>The official response to price high-speed charge</v>
      </c>
      <c r="D480" s="4" t="s">
        <v>660</v>
      </c>
      <c r="E480" s="4">
        <v>0.0</v>
      </c>
      <c r="F480" s="4">
        <v>29.0</v>
      </c>
      <c r="G480" s="4" t="s">
        <v>661</v>
      </c>
    </row>
    <row r="481">
      <c r="A481" s="1">
        <v>479.0</v>
      </c>
      <c r="B481" s="4" t="s">
        <v>712</v>
      </c>
      <c r="C481" s="5" t="str">
        <f>IFERROR(__xludf.DUMMYFUNCTION("GOOGLETRANSLATE(D:D,""auto"",""en"")"),"Iran released the crash report")</f>
        <v>Iran released the crash report</v>
      </c>
      <c r="D481" s="4" t="s">
        <v>710</v>
      </c>
      <c r="E481" s="4">
        <v>0.0</v>
      </c>
      <c r="F481" s="4">
        <v>30.0</v>
      </c>
      <c r="G481" s="4" t="s">
        <v>711</v>
      </c>
    </row>
    <row r="482">
      <c r="A482" s="1">
        <v>480.0</v>
      </c>
      <c r="B482" s="4" t="s">
        <v>712</v>
      </c>
      <c r="C482" s="5" t="str">
        <f>IFERROR(__xludf.DUMMYFUNCTION("GOOGLETRANSLATE(D:D,""auto"",""en"")"),"Exposure Sun Yang retired Championship Series")</f>
        <v>Exposure Sun Yang retired Championship Series</v>
      </c>
      <c r="D482" s="4" t="s">
        <v>684</v>
      </c>
      <c r="E482" s="4">
        <v>0.0</v>
      </c>
      <c r="F482" s="4">
        <v>31.0</v>
      </c>
      <c r="G482" s="4" t="s">
        <v>685</v>
      </c>
    </row>
    <row r="483">
      <c r="A483" s="1">
        <v>481.0</v>
      </c>
      <c r="B483" s="4" t="s">
        <v>712</v>
      </c>
      <c r="C483" s="5" t="str">
        <f>IFERROR(__xludf.DUMMYFUNCTION("GOOGLETRANSLATE(D:D,""auto"",""en"")"),"Plums Qi Fang respond annual income")</f>
        <v>Plums Qi Fang respond annual income</v>
      </c>
      <c r="D483" s="4" t="s">
        <v>757</v>
      </c>
      <c r="E483" s="4">
        <v>0.0</v>
      </c>
      <c r="F483" s="4">
        <v>32.0</v>
      </c>
      <c r="G483" s="4" t="s">
        <v>758</v>
      </c>
    </row>
    <row r="484">
      <c r="A484" s="1">
        <v>482.0</v>
      </c>
      <c r="B484" s="4" t="s">
        <v>712</v>
      </c>
      <c r="C484" s="5" t="str">
        <f>IFERROR(__xludf.DUMMYFUNCTION("GOOGLETRANSLATE(D:D,""auto"",""en"")"),"Yunnan respond ETC multi deductions")</f>
        <v>Yunnan respond ETC multi deductions</v>
      </c>
      <c r="D484" s="4" t="s">
        <v>759</v>
      </c>
      <c r="E484" s="4">
        <v>0.0</v>
      </c>
      <c r="F484" s="4">
        <v>33.0</v>
      </c>
      <c r="G484" s="4" t="s">
        <v>760</v>
      </c>
    </row>
    <row r="485">
      <c r="A485" s="1">
        <v>483.0</v>
      </c>
      <c r="B485" s="4" t="s">
        <v>712</v>
      </c>
      <c r="C485" s="5" t="str">
        <f>IFERROR(__xludf.DUMMYFUNCTION("GOOGLETRANSLATE(D:D,""auto"",""en"")"),"Bieber admitted suffering from Lyme disease")</f>
        <v>Bieber admitted suffering from Lyme disease</v>
      </c>
      <c r="D485" s="4" t="s">
        <v>682</v>
      </c>
      <c r="E485" s="4">
        <v>0.0</v>
      </c>
      <c r="F485" s="4">
        <v>34.0</v>
      </c>
      <c r="G485" s="4" t="s">
        <v>683</v>
      </c>
    </row>
    <row r="486">
      <c r="A486" s="1">
        <v>484.0</v>
      </c>
      <c r="B486" s="4" t="s">
        <v>712</v>
      </c>
      <c r="C486" s="5" t="str">
        <f>IFERROR(__xludf.DUMMYFUNCTION("GOOGLETRANSLATE(D:D,""auto"",""en"")"),"Ma Rong suspect irony Baoqiang")</f>
        <v>Ma Rong suspect irony Baoqiang</v>
      </c>
      <c r="D486" s="4" t="s">
        <v>672</v>
      </c>
      <c r="E486" s="4">
        <v>0.0</v>
      </c>
      <c r="F486" s="4">
        <v>35.0</v>
      </c>
      <c r="G486" s="4" t="s">
        <v>673</v>
      </c>
    </row>
    <row r="487">
      <c r="A487" s="1">
        <v>485.0</v>
      </c>
      <c r="B487" s="4" t="s">
        <v>712</v>
      </c>
      <c r="C487" s="5" t="str">
        <f>IFERROR(__xludf.DUMMYFUNCTION("GOOGLETRANSLATE(D:D,""auto"",""en"")"),"Changfeng County, Anhui traffic accident")</f>
        <v>Changfeng County, Anhui traffic accident</v>
      </c>
      <c r="D487" s="4" t="s">
        <v>674</v>
      </c>
      <c r="E487" s="4">
        <v>0.0</v>
      </c>
      <c r="F487" s="4">
        <v>36.0</v>
      </c>
      <c r="G487" s="4" t="s">
        <v>675</v>
      </c>
    </row>
    <row r="488">
      <c r="A488" s="1">
        <v>486.0</v>
      </c>
      <c r="B488" s="4" t="s">
        <v>712</v>
      </c>
      <c r="C488" s="5" t="str">
        <f>IFERROR(__xludf.DUMMYFUNCTION("GOOGLETRANSLATE(D:D,""auto"",""en"")"),"Europe Agreements Act by the British off")</f>
        <v>Europe Agreements Act by the British off</v>
      </c>
      <c r="D488" s="4" t="s">
        <v>761</v>
      </c>
      <c r="E488" s="4">
        <v>0.0</v>
      </c>
      <c r="F488" s="4">
        <v>37.0</v>
      </c>
      <c r="G488" s="4" t="s">
        <v>762</v>
      </c>
    </row>
    <row r="489">
      <c r="A489" s="1">
        <v>487.0</v>
      </c>
      <c r="B489" s="4" t="s">
        <v>712</v>
      </c>
      <c r="C489" s="5" t="str">
        <f>IFERROR(__xludf.DUMMYFUNCTION("GOOGLETRANSLATE(D:D,""auto"",""en"")"),"Buried corpse case of second instance upheld")</f>
        <v>Buried corpse case of second instance upheld</v>
      </c>
      <c r="D489" s="4" t="s">
        <v>763</v>
      </c>
      <c r="E489" s="4">
        <v>0.0</v>
      </c>
      <c r="F489" s="4">
        <v>38.0</v>
      </c>
      <c r="G489" s="4" t="s">
        <v>764</v>
      </c>
    </row>
    <row r="490">
      <c r="A490" s="1">
        <v>488.0</v>
      </c>
      <c r="B490" s="4" t="s">
        <v>712</v>
      </c>
      <c r="C490" s="5" t="str">
        <f>IFERROR(__xludf.DUMMYFUNCTION("GOOGLETRANSLATE(D:D,""auto"",""en"")"),"Zhu Dan self-deprecatingly")</f>
        <v>Zhu Dan self-deprecatingly</v>
      </c>
      <c r="D490" s="4" t="s">
        <v>765</v>
      </c>
      <c r="E490" s="4">
        <v>0.0</v>
      </c>
      <c r="F490" s="4">
        <v>39.0</v>
      </c>
      <c r="G490" s="4" t="s">
        <v>766</v>
      </c>
    </row>
    <row r="491">
      <c r="A491" s="1">
        <v>489.0</v>
      </c>
      <c r="B491" s="4" t="s">
        <v>712</v>
      </c>
      <c r="C491" s="5" t="str">
        <f>IFERROR(__xludf.DUMMYFUNCTION("GOOGLETRANSLATE(D:D,""auto"",""en"")"),"Wu stop Self enrollment")</f>
        <v>Wu stop Self enrollment</v>
      </c>
      <c r="D491" s="4" t="s">
        <v>767</v>
      </c>
      <c r="E491" s="4">
        <v>0.0</v>
      </c>
      <c r="F491" s="4">
        <v>40.0</v>
      </c>
      <c r="G491" s="4" t="s">
        <v>768</v>
      </c>
    </row>
    <row r="492">
      <c r="A492" s="1">
        <v>490.0</v>
      </c>
      <c r="B492" s="4" t="s">
        <v>712</v>
      </c>
      <c r="C492" s="5" t="str">
        <f>IFERROR(__xludf.DUMMYFUNCTION("GOOGLETRANSLATE(D:D,""auto"",""en"")"),"Li Jiaqi annual income of nearly 200 million")</f>
        <v>Li Jiaqi annual income of nearly 200 million</v>
      </c>
      <c r="D492" s="4" t="s">
        <v>654</v>
      </c>
      <c r="E492" s="4">
        <v>0.0</v>
      </c>
      <c r="F492" s="4">
        <v>41.0</v>
      </c>
      <c r="G492" s="4" t="s">
        <v>655</v>
      </c>
    </row>
    <row r="493">
      <c r="A493" s="1">
        <v>491.0</v>
      </c>
      <c r="B493" s="4" t="s">
        <v>712</v>
      </c>
      <c r="C493" s="5" t="str">
        <f>IFERROR(__xludf.DUMMYFUNCTION("GOOGLETRANSLATE(D:D,""auto"",""en"")"),"Jinju funeral home fire")</f>
        <v>Jinju funeral home fire</v>
      </c>
      <c r="D493" s="4" t="s">
        <v>769</v>
      </c>
      <c r="E493" s="4">
        <v>0.0</v>
      </c>
      <c r="F493" s="4">
        <v>42.0</v>
      </c>
      <c r="G493" s="4" t="s">
        <v>770</v>
      </c>
    </row>
    <row r="494">
      <c r="A494" s="1">
        <v>492.0</v>
      </c>
      <c r="B494" s="4" t="s">
        <v>712</v>
      </c>
      <c r="C494" s="5" t="str">
        <f>IFERROR(__xludf.DUMMYFUNCTION("GOOGLETRANSLATE(D:D,""auto"",""en"")"),"Beijing Fangshan 3.2 earthquake")</f>
        <v>Beijing Fangshan 3.2 earthquake</v>
      </c>
      <c r="D494" s="4" t="s">
        <v>656</v>
      </c>
      <c r="E494" s="4">
        <v>0.0</v>
      </c>
      <c r="F494" s="4">
        <v>43.0</v>
      </c>
      <c r="G494" s="4" t="s">
        <v>657</v>
      </c>
    </row>
    <row r="495">
      <c r="A495" s="1">
        <v>493.0</v>
      </c>
      <c r="B495" s="4" t="s">
        <v>712</v>
      </c>
      <c r="C495" s="5" t="str">
        <f>IFERROR(__xludf.DUMMYFUNCTION("GOOGLETRANSLATE(D:D,""auto"",""en"")"),"Then put in reserve 20,000 tons of meat")</f>
        <v>Then put in reserve 20,000 tons of meat</v>
      </c>
      <c r="D495" s="4" t="s">
        <v>692</v>
      </c>
      <c r="E495" s="4">
        <v>0.0</v>
      </c>
      <c r="F495" s="4">
        <v>44.0</v>
      </c>
      <c r="G495" s="4" t="s">
        <v>693</v>
      </c>
    </row>
    <row r="496">
      <c r="A496" s="1">
        <v>494.0</v>
      </c>
      <c r="B496" s="4" t="s">
        <v>712</v>
      </c>
      <c r="C496" s="5" t="str">
        <f>IFERROR(__xludf.DUMMYFUNCTION("GOOGLETRANSLATE(D:D,""auto"",""en"")"),"Laughed fruit culture statement")</f>
        <v>Laughed fruit culture statement</v>
      </c>
      <c r="D496" s="4" t="s">
        <v>771</v>
      </c>
      <c r="E496" s="4">
        <v>0.0</v>
      </c>
      <c r="F496" s="4">
        <v>45.0</v>
      </c>
      <c r="G496" s="4" t="s">
        <v>772</v>
      </c>
    </row>
    <row r="497">
      <c r="A497" s="1">
        <v>495.0</v>
      </c>
      <c r="B497" s="4" t="s">
        <v>712</v>
      </c>
      <c r="C497" s="5" t="str">
        <f>IFERROR(__xludf.DUMMYFUNCTION("GOOGLETRANSLATE(D:D,""auto"",""en"")"),"James won the second round of ticket king")</f>
        <v>James won the second round of ticket king</v>
      </c>
      <c r="D497" s="4" t="s">
        <v>773</v>
      </c>
      <c r="E497" s="4">
        <v>0.0</v>
      </c>
      <c r="F497" s="4">
        <v>46.0</v>
      </c>
      <c r="G497" s="4" t="s">
        <v>774</v>
      </c>
    </row>
    <row r="498">
      <c r="A498" s="1">
        <v>496.0</v>
      </c>
      <c r="B498" s="4" t="s">
        <v>712</v>
      </c>
      <c r="C498" s="5" t="str">
        <f>IFERROR(__xludf.DUMMYFUNCTION("GOOGLETRANSLATE(D:D,""auto"",""en"")"),"Ukraine modify the crash statement")</f>
        <v>Ukraine modify the crash statement</v>
      </c>
      <c r="D498" s="4" t="s">
        <v>629</v>
      </c>
      <c r="E498" s="4">
        <v>0.0</v>
      </c>
      <c r="F498" s="4">
        <v>47.0</v>
      </c>
      <c r="G498" s="4" t="s">
        <v>630</v>
      </c>
    </row>
    <row r="499">
      <c r="A499" s="1">
        <v>497.0</v>
      </c>
      <c r="B499" s="4" t="s">
        <v>712</v>
      </c>
      <c r="C499" s="5" t="str">
        <f>IFERROR(__xludf.DUMMYFUNCTION("GOOGLETRANSLATE(D:D,""auto"",""en"")"),"Han Kim Gordon in the cover")</f>
        <v>Han Kim Gordon in the cover</v>
      </c>
      <c r="D499" s="4" t="s">
        <v>775</v>
      </c>
      <c r="E499" s="4">
        <v>0.0</v>
      </c>
      <c r="F499" s="4">
        <v>48.0</v>
      </c>
      <c r="G499" s="4" t="s">
        <v>776</v>
      </c>
    </row>
    <row r="500">
      <c r="A500" s="1">
        <v>498.0</v>
      </c>
      <c r="B500" s="4" t="s">
        <v>712</v>
      </c>
      <c r="C500" s="5" t="str">
        <f>IFERROR(__xludf.DUMMYFUNCTION("GOOGLETRANSLATE(D:D,""auto"",""en"")"),"A bus accident in Iran")</f>
        <v>A bus accident in Iran</v>
      </c>
      <c r="D500" s="4" t="s">
        <v>777</v>
      </c>
      <c r="E500" s="4">
        <v>0.0</v>
      </c>
      <c r="F500" s="4">
        <v>49.0</v>
      </c>
      <c r="G500" s="4" t="s">
        <v>778</v>
      </c>
    </row>
    <row r="501">
      <c r="A501" s="1">
        <v>499.0</v>
      </c>
      <c r="B501" s="4" t="s">
        <v>712</v>
      </c>
      <c r="C501" s="5" t="str">
        <f>IFERROR(__xludf.DUMMYFUNCTION("GOOGLETRANSLATE(D:D,""auto"",""en"")"),"India broke out strike")</f>
        <v>India broke out strike</v>
      </c>
      <c r="D501" s="4" t="s">
        <v>678</v>
      </c>
      <c r="E501" s="4">
        <v>0.0</v>
      </c>
      <c r="F501" s="4">
        <v>50.0</v>
      </c>
      <c r="G501" s="4" t="s">
        <v>679</v>
      </c>
    </row>
    <row r="502">
      <c r="A502" s="1">
        <v>500.0</v>
      </c>
      <c r="B502" s="4" t="s">
        <v>779</v>
      </c>
      <c r="C502" s="5" t="str">
        <f>IFERROR(__xludf.DUMMYFUNCTION("GOOGLETRANSLATE(D:D,""auto"",""en"")"),"Pa Block male prosecute CCTV infringement")</f>
        <v>Pa Block male prosecute CCTV infringement</v>
      </c>
      <c r="D502" s="4" t="s">
        <v>780</v>
      </c>
      <c r="E502" s="4">
        <v>0.0</v>
      </c>
      <c r="F502" s="4">
        <v>1.0</v>
      </c>
      <c r="G502" s="4" t="s">
        <v>781</v>
      </c>
    </row>
    <row r="503">
      <c r="A503" s="1">
        <v>501.0</v>
      </c>
      <c r="B503" s="4" t="s">
        <v>779</v>
      </c>
      <c r="C503" s="5" t="str">
        <f>IFERROR(__xludf.DUMMYFUNCTION("GOOGLETRANSLATE(D:D,""auto"",""en"")"),"US and Russian warships almost collided")</f>
        <v>US and Russian warships almost collided</v>
      </c>
      <c r="D503" s="4" t="s">
        <v>782</v>
      </c>
      <c r="E503" s="4">
        <v>0.0</v>
      </c>
      <c r="F503" s="4">
        <v>2.0</v>
      </c>
      <c r="G503" s="4" t="s">
        <v>783</v>
      </c>
    </row>
    <row r="504">
      <c r="A504" s="1">
        <v>502.0</v>
      </c>
      <c r="B504" s="4" t="s">
        <v>779</v>
      </c>
      <c r="C504" s="5" t="str">
        <f>IFERROR(__xludf.DUMMYFUNCTION("GOOGLETRANSLATE(D:D,""auto"",""en"")"),"Wang Junkai pants fake two")</f>
        <v>Wang Junkai pants fake two</v>
      </c>
      <c r="D504" s="4" t="s">
        <v>747</v>
      </c>
      <c r="E504" s="4">
        <v>0.0</v>
      </c>
      <c r="F504" s="4">
        <v>3.0</v>
      </c>
      <c r="G504" s="4" t="s">
        <v>748</v>
      </c>
    </row>
    <row r="505">
      <c r="A505" s="1">
        <v>503.0</v>
      </c>
      <c r="B505" s="4" t="s">
        <v>779</v>
      </c>
      <c r="C505" s="5" t="str">
        <f>IFERROR(__xludf.DUMMYFUNCTION("GOOGLETRANSLATE(D:D,""auto"",""en"")"),"US new sanctions against Iran")</f>
        <v>US new sanctions against Iran</v>
      </c>
      <c r="D505" s="4" t="s">
        <v>784</v>
      </c>
      <c r="E505" s="4">
        <v>0.0</v>
      </c>
      <c r="F505" s="4">
        <v>4.0</v>
      </c>
      <c r="G505" s="4" t="s">
        <v>785</v>
      </c>
    </row>
    <row r="506">
      <c r="A506" s="1">
        <v>504.0</v>
      </c>
      <c r="B506" s="4" t="s">
        <v>779</v>
      </c>
      <c r="C506" s="5" t="str">
        <f>IFERROR(__xludf.DUMMYFUNCTION("GOOGLETRANSLATE(D:D,""auto"",""en"")"),"Iran says shot down aircraft accident")</f>
        <v>Iran says shot down aircraft accident</v>
      </c>
      <c r="D506" s="4" t="s">
        <v>786</v>
      </c>
      <c r="E506" s="4">
        <v>0.0</v>
      </c>
      <c r="F506" s="4">
        <v>5.0</v>
      </c>
      <c r="G506" s="4" t="s">
        <v>787</v>
      </c>
    </row>
    <row r="507">
      <c r="A507" s="1">
        <v>505.0</v>
      </c>
      <c r="B507" s="4" t="s">
        <v>779</v>
      </c>
      <c r="C507" s="5" t="str">
        <f>IFERROR(__xludf.DUMMYFUNCTION("GOOGLETRANSLATE(D:D,""auto"",""en"")"),"Lien Chan as Han Guoyu electioneering")</f>
        <v>Lien Chan as Han Guoyu electioneering</v>
      </c>
      <c r="D507" s="4" t="s">
        <v>739</v>
      </c>
      <c r="E507" s="4">
        <v>0.0</v>
      </c>
      <c r="F507" s="4">
        <v>6.0</v>
      </c>
      <c r="G507" s="4" t="s">
        <v>740</v>
      </c>
    </row>
    <row r="508">
      <c r="A508" s="1">
        <v>506.0</v>
      </c>
      <c r="B508" s="4" t="s">
        <v>779</v>
      </c>
      <c r="C508" s="5" t="str">
        <f>IFERROR(__xludf.DUMMYFUNCTION("GOOGLETRANSLATE(D:D,""auto"",""en"")"),"Rowhani responded downed airliner")</f>
        <v>Rowhani responded downed airliner</v>
      </c>
      <c r="D508" s="4" t="s">
        <v>788</v>
      </c>
      <c r="E508" s="4">
        <v>0.0</v>
      </c>
      <c r="F508" s="4">
        <v>7.0</v>
      </c>
      <c r="G508" s="4" t="s">
        <v>789</v>
      </c>
    </row>
    <row r="509">
      <c r="A509" s="1">
        <v>507.0</v>
      </c>
      <c r="B509" s="4" t="s">
        <v>779</v>
      </c>
      <c r="C509" s="5" t="str">
        <f>IFERROR(__xludf.DUMMYFUNCTION("GOOGLETRANSLATE(D:D,""auto"",""en"")"),"Aska seconds to delete posting")</f>
        <v>Aska seconds to delete posting</v>
      </c>
      <c r="D509" s="4" t="s">
        <v>790</v>
      </c>
      <c r="E509" s="4">
        <v>0.0</v>
      </c>
      <c r="F509" s="4">
        <v>8.0</v>
      </c>
      <c r="G509" s="4" t="s">
        <v>791</v>
      </c>
    </row>
    <row r="510">
      <c r="A510" s="1">
        <v>508.0</v>
      </c>
      <c r="B510" s="4" t="s">
        <v>779</v>
      </c>
      <c r="C510" s="5" t="str">
        <f>IFERROR(__xludf.DUMMYFUNCTION("GOOGLETRANSLATE(D:D,""auto"",""en"")"),"Taiwan Election Voting Begins")</f>
        <v>Taiwan Election Voting Begins</v>
      </c>
      <c r="D510" s="4" t="s">
        <v>792</v>
      </c>
      <c r="E510" s="4">
        <v>0.0</v>
      </c>
      <c r="F510" s="4">
        <v>9.0</v>
      </c>
      <c r="G510" s="4" t="s">
        <v>793</v>
      </c>
    </row>
    <row r="511">
      <c r="A511" s="1">
        <v>509.0</v>
      </c>
      <c r="B511" s="4" t="s">
        <v>779</v>
      </c>
      <c r="C511" s="5" t="str">
        <f>IFERROR(__xludf.DUMMYFUNCTION("GOOGLETRANSLATE(D:D,""auto"",""en"")"),"Zhao Liying Black Swan veil")</f>
        <v>Zhao Liying Black Swan veil</v>
      </c>
      <c r="D511" s="4" t="s">
        <v>794</v>
      </c>
      <c r="E511" s="4">
        <v>0.0</v>
      </c>
      <c r="F511" s="4">
        <v>10.0</v>
      </c>
      <c r="G511" s="4" t="s">
        <v>795</v>
      </c>
    </row>
    <row r="512">
      <c r="A512" s="1">
        <v>510.0</v>
      </c>
      <c r="B512" s="4" t="s">
        <v>779</v>
      </c>
      <c r="C512" s="5" t="str">
        <f>IFERROR(__xludf.DUMMYFUNCTION("GOOGLETRANSLATE(D:D,""auto"",""en"")"),"Man arrested Trump estate")</f>
        <v>Man arrested Trump estate</v>
      </c>
      <c r="D512" s="4" t="s">
        <v>796</v>
      </c>
      <c r="E512" s="4">
        <v>0.0</v>
      </c>
      <c r="F512" s="4">
        <v>11.0</v>
      </c>
      <c r="G512" s="4" t="s">
        <v>797</v>
      </c>
    </row>
    <row r="513">
      <c r="A513" s="1">
        <v>511.0</v>
      </c>
      <c r="B513" s="4" t="s">
        <v>779</v>
      </c>
      <c r="C513" s="5" t="str">
        <f>IFERROR(__xludf.DUMMYFUNCTION("GOOGLETRANSLATE(D:D,""auto"",""en"")"),"Fang Zhao Zhongxiang death rumor")</f>
        <v>Fang Zhao Zhongxiang death rumor</v>
      </c>
      <c r="D513" s="4" t="s">
        <v>729</v>
      </c>
      <c r="E513" s="4">
        <v>0.0</v>
      </c>
      <c r="F513" s="4">
        <v>12.0</v>
      </c>
      <c r="G513" s="4" t="s">
        <v>730</v>
      </c>
    </row>
    <row r="514">
      <c r="A514" s="1">
        <v>512.0</v>
      </c>
      <c r="B514" s="4" t="s">
        <v>779</v>
      </c>
      <c r="C514" s="5" t="str">
        <f>IFERROR(__xludf.DUMMYFUNCTION("GOOGLETRANSLATE(D:D,""auto"",""en"")"),"92-year-old grandfather married a 78-year-old grandmother")</f>
        <v>92-year-old grandfather married a 78-year-old grandmother</v>
      </c>
      <c r="D514" s="4" t="s">
        <v>798</v>
      </c>
      <c r="E514" s="4">
        <v>0.0</v>
      </c>
      <c r="F514" s="4">
        <v>13.0</v>
      </c>
      <c r="G514" s="4" t="s">
        <v>799</v>
      </c>
    </row>
    <row r="515">
      <c r="A515" s="1">
        <v>513.0</v>
      </c>
      <c r="B515" s="4" t="s">
        <v>779</v>
      </c>
      <c r="C515" s="5" t="str">
        <f>IFERROR(__xludf.DUMMYFUNCTION("GOOGLETRANSLATE(D:D,""auto"",""en"")"),"Li Sisi high-profile show of affection")</f>
        <v>Li Sisi high-profile show of affection</v>
      </c>
      <c r="D515" s="4" t="s">
        <v>745</v>
      </c>
      <c r="E515" s="4">
        <v>0.0</v>
      </c>
      <c r="F515" s="4">
        <v>14.0</v>
      </c>
      <c r="G515" s="4" t="s">
        <v>746</v>
      </c>
    </row>
    <row r="516">
      <c r="A516" s="1">
        <v>514.0</v>
      </c>
      <c r="B516" s="4" t="s">
        <v>779</v>
      </c>
      <c r="C516" s="5" t="str">
        <f>IFERROR(__xludf.DUMMYFUNCTION("GOOGLETRANSLATE(D:D,""auto"",""en"")"),"ZHENG Wen-jie sever family relationships")</f>
        <v>ZHENG Wen-jie sever family relationships</v>
      </c>
      <c r="D516" s="4" t="s">
        <v>800</v>
      </c>
      <c r="E516" s="4">
        <v>0.0</v>
      </c>
      <c r="F516" s="4">
        <v>15.0</v>
      </c>
      <c r="G516" s="4" t="s">
        <v>801</v>
      </c>
    </row>
    <row r="517">
      <c r="A517" s="1">
        <v>515.0</v>
      </c>
      <c r="B517" s="4" t="s">
        <v>779</v>
      </c>
      <c r="C517" s="5" t="str">
        <f>IFERROR(__xludf.DUMMYFUNCTION("GOOGLETRANSLATE(D:D,""auto"",""en"")"),"Flights canceled due to escape crash")</f>
        <v>Flights canceled due to escape crash</v>
      </c>
      <c r="D517" s="4" t="s">
        <v>727</v>
      </c>
      <c r="E517" s="4">
        <v>0.0</v>
      </c>
      <c r="F517" s="4">
        <v>16.0</v>
      </c>
      <c r="G517" s="4" t="s">
        <v>728</v>
      </c>
    </row>
    <row r="518">
      <c r="A518" s="1">
        <v>516.0</v>
      </c>
      <c r="B518" s="4" t="s">
        <v>779</v>
      </c>
      <c r="C518" s="5" t="str">
        <f>IFERROR(__xludf.DUMMYFUNCTION("GOOGLETRANSLATE(D:D,""auto"",""en"")"),"Zhu Dan broker hair long article")</f>
        <v>Zhu Dan broker hair long article</v>
      </c>
      <c r="D518" s="4" t="s">
        <v>737</v>
      </c>
      <c r="E518" s="4">
        <v>0.0</v>
      </c>
      <c r="F518" s="4">
        <v>17.0</v>
      </c>
      <c r="G518" s="4" t="s">
        <v>738</v>
      </c>
    </row>
    <row r="519">
      <c r="A519" s="1">
        <v>517.0</v>
      </c>
      <c r="B519" s="4" t="s">
        <v>779</v>
      </c>
      <c r="C519" s="5" t="str">
        <f>IFERROR(__xludf.DUMMYFUNCTION("GOOGLETRANSLATE(D:D,""auto"",""en"")"),"South Post mentor someone's dismissal")</f>
        <v>South Post mentor someone's dismissal</v>
      </c>
      <c r="D519" s="4" t="s">
        <v>802</v>
      </c>
      <c r="E519" s="4">
        <v>0.0</v>
      </c>
      <c r="F519" s="4">
        <v>18.0</v>
      </c>
      <c r="G519" s="4" t="s">
        <v>803</v>
      </c>
    </row>
    <row r="520">
      <c r="A520" s="1">
        <v>518.0</v>
      </c>
      <c r="B520" s="4" t="s">
        <v>779</v>
      </c>
      <c r="C520" s="5" t="str">
        <f>IFERROR(__xludf.DUMMYFUNCTION("GOOGLETRANSLATE(D:D,""auto"",""en"")"),"Han has become the ultimate partner")</f>
        <v>Han has become the ultimate partner</v>
      </c>
      <c r="D520" s="4" t="s">
        <v>804</v>
      </c>
      <c r="E520" s="4">
        <v>0.0</v>
      </c>
      <c r="F520" s="4">
        <v>19.0</v>
      </c>
      <c r="G520" s="4" t="s">
        <v>805</v>
      </c>
    </row>
    <row r="521">
      <c r="A521" s="1">
        <v>519.0</v>
      </c>
      <c r="B521" s="4" t="s">
        <v>779</v>
      </c>
      <c r="C521" s="5" t="str">
        <f>IFERROR(__xludf.DUMMYFUNCTION("GOOGLETRANSLATE(D:D,""auto"",""en"")"),"Wuhan Wei Jian informed the Commission pneumonia")</f>
        <v>Wuhan Wei Jian informed the Commission pneumonia</v>
      </c>
      <c r="D521" s="4" t="s">
        <v>806</v>
      </c>
      <c r="E521" s="4">
        <v>0.0</v>
      </c>
      <c r="F521" s="4">
        <v>20.0</v>
      </c>
      <c r="G521" s="4" t="s">
        <v>807</v>
      </c>
    </row>
    <row r="522">
      <c r="A522" s="1">
        <v>520.0</v>
      </c>
      <c r="B522" s="4" t="s">
        <v>779</v>
      </c>
      <c r="C522" s="5" t="str">
        <f>IFERROR(__xludf.DUMMYFUNCTION("GOOGLETRANSLATE(D:D,""auto"",""en"")"),"2019 explosion models newborn names")</f>
        <v>2019 explosion models newborn names</v>
      </c>
      <c r="D522" s="4" t="s">
        <v>808</v>
      </c>
      <c r="E522" s="4">
        <v>0.0</v>
      </c>
      <c r="F522" s="4">
        <v>21.0</v>
      </c>
      <c r="G522" s="4" t="s">
        <v>809</v>
      </c>
    </row>
    <row r="523">
      <c r="A523" s="1">
        <v>521.0</v>
      </c>
      <c r="B523" s="4" t="s">
        <v>779</v>
      </c>
      <c r="C523" s="5" t="str">
        <f>IFERROR(__xludf.DUMMYFUNCTION("GOOGLETRANSLATE(D:D,""auto"",""en"")"),"Network drama Don explore story inverted")</f>
        <v>Network drama Don explore story inverted</v>
      </c>
      <c r="D523" s="4" t="s">
        <v>810</v>
      </c>
      <c r="E523" s="4">
        <v>0.0</v>
      </c>
      <c r="F523" s="4">
        <v>22.0</v>
      </c>
      <c r="G523" s="4" t="s">
        <v>811</v>
      </c>
    </row>
    <row r="524">
      <c r="A524" s="1">
        <v>522.0</v>
      </c>
      <c r="B524" s="4" t="s">
        <v>779</v>
      </c>
      <c r="C524" s="5" t="str">
        <f>IFERROR(__xludf.DUMMYFUNCTION("GOOGLETRANSLATE(D:D,""auto"",""en"")"),"Yang Zi Yang Ying Yang Mi same box")</f>
        <v>Yang Zi Yang Ying Yang Mi same box</v>
      </c>
      <c r="D524" s="4" t="s">
        <v>812</v>
      </c>
      <c r="E524" s="4">
        <v>0.0</v>
      </c>
      <c r="F524" s="4">
        <v>23.0</v>
      </c>
      <c r="G524" s="4" t="s">
        <v>813</v>
      </c>
    </row>
    <row r="525">
      <c r="A525" s="1">
        <v>523.0</v>
      </c>
      <c r="B525" s="4" t="s">
        <v>779</v>
      </c>
      <c r="C525" s="5" t="str">
        <f>IFERROR(__xludf.DUMMYFUNCTION("GOOGLETRANSLATE(D:D,""auto"",""en"")"),"Ximeng Yao mention basket bag")</f>
        <v>Ximeng Yao mention basket bag</v>
      </c>
      <c r="D525" s="4" t="s">
        <v>814</v>
      </c>
      <c r="E525" s="4">
        <v>0.0</v>
      </c>
      <c r="F525" s="4">
        <v>24.0</v>
      </c>
      <c r="G525" s="4" t="s">
        <v>815</v>
      </c>
    </row>
    <row r="526">
      <c r="A526" s="1">
        <v>524.0</v>
      </c>
      <c r="B526" s="4" t="s">
        <v>779</v>
      </c>
      <c r="C526" s="5" t="str">
        <f>IFERROR(__xludf.DUMMYFUNCTION("GOOGLETRANSLATE(D:D,""auto"",""en"")"),"CCTV Revisited crash site")</f>
        <v>CCTV Revisited crash site</v>
      </c>
      <c r="D526" s="4" t="s">
        <v>816</v>
      </c>
      <c r="E526" s="4">
        <v>0.0</v>
      </c>
      <c r="F526" s="4">
        <v>25.0</v>
      </c>
      <c r="G526" s="4" t="s">
        <v>817</v>
      </c>
    </row>
    <row r="527">
      <c r="A527" s="1">
        <v>525.0</v>
      </c>
      <c r="B527" s="4" t="s">
        <v>779</v>
      </c>
      <c r="C527" s="5" t="str">
        <f>IFERROR(__xludf.DUMMYFUNCTION("GOOGLETRANSLATE(D:D,""auto"",""en"")"),"Iran's foreign minister issued an apology")</f>
        <v>Iran's foreign minister issued an apology</v>
      </c>
      <c r="D527" s="4" t="s">
        <v>818</v>
      </c>
      <c r="E527" s="4">
        <v>0.0</v>
      </c>
      <c r="F527" s="4">
        <v>26.0</v>
      </c>
      <c r="G527" s="4" t="s">
        <v>819</v>
      </c>
    </row>
    <row r="528">
      <c r="A528" s="1">
        <v>526.0</v>
      </c>
      <c r="B528" s="4" t="s">
        <v>779</v>
      </c>
      <c r="C528" s="5" t="str">
        <f>IFERROR(__xludf.DUMMYFUNCTION("GOOGLETRANSLATE(D:D,""auto"",""en"")"),"Hengda Gao Lin Fawen farewell")</f>
        <v>Hengda Gao Lin Fawen farewell</v>
      </c>
      <c r="D528" s="4" t="s">
        <v>820</v>
      </c>
      <c r="E528" s="4">
        <v>0.0</v>
      </c>
      <c r="F528" s="4">
        <v>27.0</v>
      </c>
      <c r="G528" s="4" t="s">
        <v>821</v>
      </c>
    </row>
    <row r="529">
      <c r="A529" s="1">
        <v>527.0</v>
      </c>
      <c r="B529" s="4" t="s">
        <v>779</v>
      </c>
      <c r="C529" s="5" t="str">
        <f>IFERROR(__xludf.DUMMYFUNCTION("GOOGLETRANSLATE(D:D,""auto"",""en"")"),"Chinese eye in the sky open run")</f>
        <v>Chinese eye in the sky open run</v>
      </c>
      <c r="D529" s="4" t="s">
        <v>822</v>
      </c>
      <c r="E529" s="4">
        <v>0.0</v>
      </c>
      <c r="F529" s="4">
        <v>28.0</v>
      </c>
      <c r="G529" s="4" t="s">
        <v>823</v>
      </c>
    </row>
    <row r="530">
      <c r="A530" s="1">
        <v>528.0</v>
      </c>
      <c r="B530" s="4" t="s">
        <v>779</v>
      </c>
      <c r="C530" s="5" t="str">
        <f>IFERROR(__xludf.DUMMYFUNCTION("GOOGLETRANSLATE(D:D,""auto"",""en"")"),"Jerry was traced to new romance")</f>
        <v>Jerry was traced to new romance</v>
      </c>
      <c r="D530" s="4" t="s">
        <v>824</v>
      </c>
      <c r="E530" s="4">
        <v>0.0</v>
      </c>
      <c r="F530" s="4">
        <v>29.0</v>
      </c>
      <c r="G530" s="4" t="s">
        <v>825</v>
      </c>
    </row>
    <row r="531">
      <c r="A531" s="1">
        <v>529.0</v>
      </c>
      <c r="B531" s="4" t="s">
        <v>779</v>
      </c>
      <c r="C531" s="5" t="str">
        <f>IFERROR(__xludf.DUMMYFUNCTION("GOOGLETRANSLATE(D:D,""auto"",""en"")"),"Guangzhou Metro subsequent collapse")</f>
        <v>Guangzhou Metro subsequent collapse</v>
      </c>
      <c r="D531" s="4" t="s">
        <v>826</v>
      </c>
      <c r="E531" s="4">
        <v>0.0</v>
      </c>
      <c r="F531" s="4">
        <v>30.0</v>
      </c>
      <c r="G531" s="4" t="s">
        <v>827</v>
      </c>
    </row>
    <row r="532">
      <c r="A532" s="1">
        <v>530.0</v>
      </c>
      <c r="B532" s="4" t="s">
        <v>779</v>
      </c>
      <c r="C532" s="5" t="str">
        <f>IFERROR(__xludf.DUMMYFUNCTION("GOOGLETRANSLATE(D:D,""auto"",""en"")"),"Changchun create a jellyfish gallery")</f>
        <v>Changchun create a jellyfish gallery</v>
      </c>
      <c r="D532" s="4" t="s">
        <v>828</v>
      </c>
      <c r="E532" s="4">
        <v>0.0</v>
      </c>
      <c r="F532" s="4">
        <v>31.0</v>
      </c>
      <c r="G532" s="4" t="s">
        <v>829</v>
      </c>
    </row>
    <row r="533">
      <c r="A533" s="1">
        <v>531.0</v>
      </c>
      <c r="B533" s="4" t="s">
        <v>779</v>
      </c>
      <c r="C533" s="5" t="str">
        <f>IFERROR(__xludf.DUMMYFUNCTION("GOOGLETRANSLATE(D:D,""auto"",""en"")"),"Tsai Ing-wen was elected")</f>
        <v>Tsai Ing-wen was elected</v>
      </c>
      <c r="D533" s="4" t="s">
        <v>830</v>
      </c>
      <c r="E533" s="4">
        <v>0.0</v>
      </c>
      <c r="F533" s="4">
        <v>32.0</v>
      </c>
      <c r="G533" s="4" t="s">
        <v>831</v>
      </c>
    </row>
    <row r="534">
      <c r="A534" s="1">
        <v>532.0</v>
      </c>
      <c r="B534" s="4" t="s">
        <v>779</v>
      </c>
      <c r="C534" s="5" t="str">
        <f>IFERROR(__xludf.DUMMYFUNCTION("GOOGLETRANSLATE(D:D,""auto"",""en"")"),"Plums Qi Fang respond annual income")</f>
        <v>Plums Qi Fang respond annual income</v>
      </c>
      <c r="D534" s="4" t="s">
        <v>757</v>
      </c>
      <c r="E534" s="4">
        <v>0.0</v>
      </c>
      <c r="F534" s="4">
        <v>33.0</v>
      </c>
      <c r="G534" s="4" t="s">
        <v>758</v>
      </c>
    </row>
    <row r="535">
      <c r="A535" s="1">
        <v>533.0</v>
      </c>
      <c r="B535" s="4" t="s">
        <v>779</v>
      </c>
      <c r="C535" s="5" t="str">
        <f>IFERROR(__xludf.DUMMYFUNCTION("GOOGLETRANSLATE(D:D,""auto"",""en"")"),"Pool open tear laughed fruit culture")</f>
        <v>Pool open tear laughed fruit culture</v>
      </c>
      <c r="D535" s="4" t="s">
        <v>741</v>
      </c>
      <c r="E535" s="4">
        <v>0.0</v>
      </c>
      <c r="F535" s="4">
        <v>34.0</v>
      </c>
      <c r="G535" s="4" t="s">
        <v>742</v>
      </c>
    </row>
    <row r="536">
      <c r="A536" s="1">
        <v>534.0</v>
      </c>
      <c r="B536" s="4" t="s">
        <v>779</v>
      </c>
      <c r="C536" s="5" t="str">
        <f>IFERROR(__xludf.DUMMYFUNCTION("GOOGLETRANSLATE(D:D,""auto"",""en"")"),"Li Ka-shing and his son appeared")</f>
        <v>Li Ka-shing and his son appeared</v>
      </c>
      <c r="D536" s="4" t="s">
        <v>832</v>
      </c>
      <c r="E536" s="4">
        <v>0.0</v>
      </c>
      <c r="F536" s="4">
        <v>35.0</v>
      </c>
      <c r="G536" s="4" t="s">
        <v>833</v>
      </c>
    </row>
    <row r="537">
      <c r="A537" s="1">
        <v>535.0</v>
      </c>
      <c r="B537" s="4" t="s">
        <v>779</v>
      </c>
      <c r="C537" s="5" t="str">
        <f>IFERROR(__xludf.DUMMYFUNCTION("GOOGLETRANSLATE(D:D,""auto"",""en"")"),"Fukushima is a large number of wild animals")</f>
        <v>Fukushima is a large number of wild animals</v>
      </c>
      <c r="D537" s="4" t="s">
        <v>834</v>
      </c>
      <c r="E537" s="4">
        <v>0.0</v>
      </c>
      <c r="F537" s="4">
        <v>36.0</v>
      </c>
      <c r="G537" s="4" t="s">
        <v>835</v>
      </c>
    </row>
    <row r="538">
      <c r="A538" s="1">
        <v>536.0</v>
      </c>
      <c r="B538" s="4" t="s">
        <v>779</v>
      </c>
      <c r="C538" s="5" t="str">
        <f>IFERROR(__xludf.DUMMYFUNCTION("GOOGLETRANSLATE(D:D,""auto"",""en"")"),"Ten new changes in the spring")</f>
        <v>Ten new changes in the spring</v>
      </c>
      <c r="D538" s="4" t="s">
        <v>836</v>
      </c>
      <c r="E538" s="4">
        <v>0.0</v>
      </c>
      <c r="F538" s="4">
        <v>37.0</v>
      </c>
      <c r="G538" s="4" t="s">
        <v>837</v>
      </c>
    </row>
    <row r="539">
      <c r="A539" s="1">
        <v>537.0</v>
      </c>
      <c r="B539" s="4" t="s">
        <v>779</v>
      </c>
      <c r="C539" s="5" t="str">
        <f>IFERROR(__xludf.DUMMYFUNCTION("GOOGLETRANSLATE(D:D,""auto"",""en"")"),"Yang Mi smoke lens")</f>
        <v>Yang Mi smoke lens</v>
      </c>
      <c r="D539" s="4" t="s">
        <v>755</v>
      </c>
      <c r="E539" s="4">
        <v>0.0</v>
      </c>
      <c r="F539" s="4">
        <v>38.0</v>
      </c>
      <c r="G539" s="4" t="s">
        <v>756</v>
      </c>
    </row>
    <row r="540">
      <c r="A540" s="1">
        <v>538.0</v>
      </c>
      <c r="B540" s="4" t="s">
        <v>779</v>
      </c>
      <c r="C540" s="5" t="str">
        <f>IFERROR(__xludf.DUMMYFUNCTION("GOOGLETRANSLATE(D:D,""auto"",""en"")"),"Song Zhe Yang Hui recent photograph of ex-wife")</f>
        <v>Song Zhe Yang Hui recent photograph of ex-wife</v>
      </c>
      <c r="D540" s="4" t="s">
        <v>751</v>
      </c>
      <c r="E540" s="4">
        <v>0.0</v>
      </c>
      <c r="F540" s="4">
        <v>39.0</v>
      </c>
      <c r="G540" s="4" t="s">
        <v>752</v>
      </c>
    </row>
    <row r="541">
      <c r="A541" s="1">
        <v>539.0</v>
      </c>
      <c r="B541" s="4" t="s">
        <v>779</v>
      </c>
      <c r="C541" s="5" t="str">
        <f>IFERROR(__xludf.DUMMYFUNCTION("GOOGLETRANSLATE(D:D,""auto"",""en"")"),"JJM chats suspected exposure")</f>
        <v>JJM chats suspected exposure</v>
      </c>
      <c r="D541" s="4" t="s">
        <v>838</v>
      </c>
      <c r="E541" s="4">
        <v>0.0</v>
      </c>
      <c r="F541" s="4">
        <v>40.0</v>
      </c>
      <c r="G541" s="4" t="s">
        <v>839</v>
      </c>
    </row>
    <row r="542">
      <c r="A542" s="1">
        <v>540.0</v>
      </c>
      <c r="B542" s="4" t="s">
        <v>779</v>
      </c>
      <c r="C542" s="5" t="str">
        <f>IFERROR(__xludf.DUMMYFUNCTION("GOOGLETRANSLATE(D:D,""auto"",""en"")"),"Jinju funeral home fire")</f>
        <v>Jinju funeral home fire</v>
      </c>
      <c r="D542" s="4" t="s">
        <v>769</v>
      </c>
      <c r="E542" s="4">
        <v>0.0</v>
      </c>
      <c r="F542" s="4">
        <v>41.0</v>
      </c>
      <c r="G542" s="4" t="s">
        <v>770</v>
      </c>
    </row>
    <row r="543">
      <c r="A543" s="1">
        <v>541.0</v>
      </c>
      <c r="B543" s="4" t="s">
        <v>779</v>
      </c>
      <c r="C543" s="5" t="str">
        <f>IFERROR(__xludf.DUMMYFUNCTION("GOOGLETRANSLATE(D:D,""auto"",""en"")"),"Yunnan respond ETC multi deductions")</f>
        <v>Yunnan respond ETC multi deductions</v>
      </c>
      <c r="D543" s="4" t="s">
        <v>759</v>
      </c>
      <c r="E543" s="4">
        <v>0.0</v>
      </c>
      <c r="F543" s="4">
        <v>42.0</v>
      </c>
      <c r="G543" s="4" t="s">
        <v>760</v>
      </c>
    </row>
    <row r="544">
      <c r="A544" s="1">
        <v>542.0</v>
      </c>
      <c r="B544" s="4" t="s">
        <v>779</v>
      </c>
      <c r="C544" s="5" t="str">
        <f>IFERROR(__xludf.DUMMYFUNCTION("GOOGLETRANSLATE(D:D,""auto"",""en"")"),"Fang Zhu Dan responded slip of the tongue")</f>
        <v>Fang Zhu Dan responded slip of the tongue</v>
      </c>
      <c r="D544" s="4" t="s">
        <v>731</v>
      </c>
      <c r="E544" s="4">
        <v>0.0</v>
      </c>
      <c r="F544" s="4">
        <v>43.0</v>
      </c>
      <c r="G544" s="4" t="s">
        <v>732</v>
      </c>
    </row>
    <row r="545">
      <c r="A545" s="1">
        <v>543.0</v>
      </c>
      <c r="B545" s="4" t="s">
        <v>779</v>
      </c>
      <c r="C545" s="5" t="str">
        <f>IFERROR(__xludf.DUMMYFUNCTION("GOOGLETRANSLATE(D:D,""auto"",""en"")"),"Lu Lu to visit the visually impaired children")</f>
        <v>Lu Lu to visit the visually impaired children</v>
      </c>
      <c r="D545" s="4" t="s">
        <v>840</v>
      </c>
      <c r="E545" s="4">
        <v>0.0</v>
      </c>
      <c r="F545" s="4">
        <v>44.0</v>
      </c>
      <c r="G545" s="4" t="s">
        <v>841</v>
      </c>
    </row>
    <row r="546">
      <c r="A546" s="1">
        <v>544.0</v>
      </c>
      <c r="B546" s="4" t="s">
        <v>779</v>
      </c>
      <c r="C546" s="5" t="str">
        <f>IFERROR(__xludf.DUMMYFUNCTION("GOOGLETRANSLATE(D:D,""auto"",""en"")"),"Wang Feng Zhang Ziyi accompany confinement")</f>
        <v>Wang Feng Zhang Ziyi accompany confinement</v>
      </c>
      <c r="D546" s="4" t="s">
        <v>753</v>
      </c>
      <c r="E546" s="4">
        <v>0.0</v>
      </c>
      <c r="F546" s="4">
        <v>45.0</v>
      </c>
      <c r="G546" s="4" t="s">
        <v>754</v>
      </c>
    </row>
    <row r="547">
      <c r="A547" s="1">
        <v>545.0</v>
      </c>
      <c r="B547" s="4" t="s">
        <v>779</v>
      </c>
      <c r="C547" s="5" t="str">
        <f>IFERROR(__xludf.DUMMYFUNCTION("GOOGLETRANSLATE(D:D,""auto"",""en"")"),"Love Apartments 5 fixed gear")</f>
        <v>Love Apartments 5 fixed gear</v>
      </c>
      <c r="D547" s="4" t="s">
        <v>715</v>
      </c>
      <c r="E547" s="4">
        <v>0.0</v>
      </c>
      <c r="F547" s="4">
        <v>46.0</v>
      </c>
      <c r="G547" s="4" t="s">
        <v>716</v>
      </c>
    </row>
    <row r="548">
      <c r="A548" s="1">
        <v>546.0</v>
      </c>
      <c r="B548" s="4" t="s">
        <v>779</v>
      </c>
      <c r="C548" s="5" t="str">
        <f>IFERROR(__xludf.DUMMYFUNCTION("GOOGLETRANSLATE(D:D,""auto"",""en"")"),"The first high-speed rail female co-driver")</f>
        <v>The first high-speed rail female co-driver</v>
      </c>
      <c r="D548" s="4" t="s">
        <v>842</v>
      </c>
      <c r="E548" s="4">
        <v>0.0</v>
      </c>
      <c r="F548" s="4">
        <v>47.0</v>
      </c>
      <c r="G548" s="4" t="s">
        <v>843</v>
      </c>
    </row>
    <row r="549">
      <c r="A549" s="1">
        <v>547.0</v>
      </c>
      <c r="B549" s="4" t="s">
        <v>779</v>
      </c>
      <c r="C549" s="5" t="str">
        <f>IFERROR(__xludf.DUMMYFUNCTION("GOOGLETRANSLATE(D:D,""auto"",""en"")"),"Ghosn made the game is to flee")</f>
        <v>Ghosn made the game is to flee</v>
      </c>
      <c r="D549" s="4" t="s">
        <v>844</v>
      </c>
      <c r="E549" s="4">
        <v>0.0</v>
      </c>
      <c r="F549" s="4">
        <v>48.0</v>
      </c>
      <c r="G549" s="4" t="s">
        <v>845</v>
      </c>
    </row>
    <row r="550">
      <c r="A550" s="1">
        <v>548.0</v>
      </c>
      <c r="B550" s="4" t="s">
        <v>779</v>
      </c>
      <c r="C550" s="5" t="str">
        <f>IFERROR(__xludf.DUMMYFUNCTION("GOOGLETRANSLATE(D:D,""auto"",""en"")"),"Foreign media exposure Legatum Prosperity Index")</f>
        <v>Foreign media exposure Legatum Prosperity Index</v>
      </c>
      <c r="D550" s="4" t="s">
        <v>846</v>
      </c>
      <c r="E550" s="4">
        <v>0.0</v>
      </c>
      <c r="F550" s="4">
        <v>49.0</v>
      </c>
      <c r="G550" s="4" t="s">
        <v>847</v>
      </c>
    </row>
    <row r="551">
      <c r="A551" s="1">
        <v>549.0</v>
      </c>
      <c r="B551" s="4" t="s">
        <v>779</v>
      </c>
      <c r="C551" s="5" t="str">
        <f>IFERROR(__xludf.DUMMYFUNCTION("GOOGLETRANSLATE(D:D,""auto"",""en"")"),"Lee Seung-Hyun Teddy volume modeling")</f>
        <v>Lee Seung-Hyun Teddy volume modeling</v>
      </c>
      <c r="D551" s="4" t="s">
        <v>848</v>
      </c>
      <c r="E551" s="4">
        <v>0.0</v>
      </c>
      <c r="F551" s="4">
        <v>50.0</v>
      </c>
      <c r="G551" s="4" t="s">
        <v>849</v>
      </c>
    </row>
    <row r="552">
      <c r="A552" s="1">
        <v>550.0</v>
      </c>
      <c r="B552" s="4" t="s">
        <v>850</v>
      </c>
      <c r="C552" s="5" t="str">
        <f>IFERROR(__xludf.DUMMYFUNCTION("GOOGLETRANSLATE(D:D,""auto"",""en"")"),"Phoenix was arrested")</f>
        <v>Phoenix was arrested</v>
      </c>
      <c r="D552" s="4" t="s">
        <v>851</v>
      </c>
      <c r="E552" s="4">
        <v>0.0</v>
      </c>
      <c r="F552" s="4">
        <v>1.0</v>
      </c>
      <c r="G552" s="4" t="s">
        <v>852</v>
      </c>
    </row>
    <row r="553">
      <c r="A553" s="1">
        <v>551.0</v>
      </c>
      <c r="B553" s="4" t="s">
        <v>850</v>
      </c>
      <c r="C553" s="5" t="str">
        <f>IFERROR(__xludf.DUMMYFUNCTION("GOOGLETRANSLATE(D:D,""auto"",""en"")"),"Man arrested Trump estate")</f>
        <v>Man arrested Trump estate</v>
      </c>
      <c r="D553" s="4" t="s">
        <v>796</v>
      </c>
      <c r="E553" s="4">
        <v>0.0</v>
      </c>
      <c r="F553" s="4">
        <v>2.0</v>
      </c>
      <c r="G553" s="4" t="s">
        <v>797</v>
      </c>
    </row>
    <row r="554">
      <c r="A554" s="1">
        <v>552.0</v>
      </c>
      <c r="B554" s="4" t="s">
        <v>850</v>
      </c>
      <c r="C554" s="5" t="str">
        <f>IFERROR(__xludf.DUMMYFUNCTION("GOOGLETRANSLATE(D:D,""auto"",""en"")"),"Do not let the ETC to clogging home")</f>
        <v>Do not let the ETC to clogging home</v>
      </c>
      <c r="D554" s="4" t="s">
        <v>853</v>
      </c>
      <c r="E554" s="4">
        <v>0.0</v>
      </c>
      <c r="F554" s="4">
        <v>3.0</v>
      </c>
      <c r="G554" s="4" t="s">
        <v>854</v>
      </c>
    </row>
    <row r="555">
      <c r="A555" s="1">
        <v>553.0</v>
      </c>
      <c r="B555" s="4" t="s">
        <v>850</v>
      </c>
      <c r="C555" s="5" t="str">
        <f>IFERROR(__xludf.DUMMYFUNCTION("GOOGLETRANSLATE(D:D,""auto"",""en"")"),"Tsai Ing-wen Taiwan Affairs Office to talk about re-election")</f>
        <v>Tsai Ing-wen Taiwan Affairs Office to talk about re-election</v>
      </c>
      <c r="D555" s="4" t="s">
        <v>855</v>
      </c>
      <c r="E555" s="4">
        <v>0.0</v>
      </c>
      <c r="F555" s="4">
        <v>4.0</v>
      </c>
      <c r="G555" s="4" t="s">
        <v>856</v>
      </c>
    </row>
    <row r="556">
      <c r="A556" s="1">
        <v>554.0</v>
      </c>
      <c r="B556" s="4" t="s">
        <v>850</v>
      </c>
      <c r="C556" s="5" t="str">
        <f>IFERROR(__xludf.DUMMYFUNCTION("GOOGLETRANSLATE(D:D,""auto"",""en"")"),"Feng Shuo host competition promotion")</f>
        <v>Feng Shuo host competition promotion</v>
      </c>
      <c r="D556" s="4" t="s">
        <v>857</v>
      </c>
      <c r="E556" s="4">
        <v>0.0</v>
      </c>
      <c r="F556" s="4">
        <v>5.0</v>
      </c>
      <c r="G556" s="4" t="s">
        <v>858</v>
      </c>
    </row>
    <row r="557">
      <c r="A557" s="1">
        <v>555.0</v>
      </c>
      <c r="B557" s="4" t="s">
        <v>850</v>
      </c>
      <c r="C557" s="5" t="str">
        <f>IFERROR(__xludf.DUMMYFUNCTION("GOOGLETRANSLATE(D:D,""auto"",""en"")"),"Ranking in national housing prices")</f>
        <v>Ranking in national housing prices</v>
      </c>
      <c r="D557" s="4" t="s">
        <v>859</v>
      </c>
      <c r="E557" s="4">
        <v>0.0</v>
      </c>
      <c r="F557" s="4">
        <v>6.0</v>
      </c>
      <c r="G557" s="4" t="s">
        <v>860</v>
      </c>
    </row>
    <row r="558">
      <c r="A558" s="1">
        <v>556.0</v>
      </c>
      <c r="B558" s="4" t="s">
        <v>850</v>
      </c>
      <c r="C558" s="5" t="str">
        <f>IFERROR(__xludf.DUMMYFUNCTION("GOOGLETRANSLATE(D:D,""auto"",""en"")"),"Nanchang ship the official entry list")</f>
        <v>Nanchang ship the official entry list</v>
      </c>
      <c r="D558" s="4" t="s">
        <v>861</v>
      </c>
      <c r="E558" s="4">
        <v>0.0</v>
      </c>
      <c r="F558" s="4">
        <v>7.0</v>
      </c>
      <c r="G558" s="4" t="s">
        <v>862</v>
      </c>
    </row>
    <row r="559">
      <c r="A559" s="1">
        <v>557.0</v>
      </c>
      <c r="B559" s="4" t="s">
        <v>850</v>
      </c>
      <c r="C559" s="5" t="str">
        <f>IFERROR(__xludf.DUMMYFUNCTION("GOOGLETRANSLATE(D:D,""auto"",""en"")"),"Jingdong bug brutally pull out wool")</f>
        <v>Jingdong bug brutally pull out wool</v>
      </c>
      <c r="D559" s="4" t="s">
        <v>863</v>
      </c>
      <c r="E559" s="4">
        <v>0.0</v>
      </c>
      <c r="F559" s="4">
        <v>8.0</v>
      </c>
      <c r="G559" s="4" t="s">
        <v>864</v>
      </c>
    </row>
    <row r="560">
      <c r="A560" s="1">
        <v>558.0</v>
      </c>
      <c r="B560" s="4" t="s">
        <v>850</v>
      </c>
      <c r="C560" s="5" t="str">
        <f>IFERROR(__xludf.DUMMYFUNCTION("GOOGLETRANSLATE(D:D,""auto"",""en"")"),"Li Bingbing Zhao Liying hand")</f>
        <v>Li Bingbing Zhao Liying hand</v>
      </c>
      <c r="D560" s="4" t="s">
        <v>865</v>
      </c>
      <c r="E560" s="4">
        <v>0.0</v>
      </c>
      <c r="F560" s="4">
        <v>9.0</v>
      </c>
      <c r="G560" s="4" t="s">
        <v>866</v>
      </c>
    </row>
    <row r="561">
      <c r="A561" s="1">
        <v>559.0</v>
      </c>
      <c r="B561" s="4" t="s">
        <v>850</v>
      </c>
      <c r="C561" s="5" t="str">
        <f>IFERROR(__xludf.DUMMYFUNCTION("GOOGLETRANSLATE(D:D,""auto"",""en"")"),"Zhang Yixing hand pull Wang Yibo")</f>
        <v>Zhang Yixing hand pull Wang Yibo</v>
      </c>
      <c r="D561" s="4" t="s">
        <v>867</v>
      </c>
      <c r="E561" s="4">
        <v>0.0</v>
      </c>
      <c r="F561" s="4">
        <v>10.0</v>
      </c>
      <c r="G561" s="4" t="s">
        <v>868</v>
      </c>
    </row>
    <row r="562">
      <c r="A562" s="1">
        <v>560.0</v>
      </c>
      <c r="B562" s="4" t="s">
        <v>850</v>
      </c>
      <c r="C562" s="5" t="str">
        <f>IFERROR(__xludf.DUMMYFUNCTION("GOOGLETRANSLATE(D:D,""auto"",""en"")"),"Forbidden City launch dinner")</f>
        <v>Forbidden City launch dinner</v>
      </c>
      <c r="D562" s="4" t="s">
        <v>869</v>
      </c>
      <c r="E562" s="4">
        <v>0.0</v>
      </c>
      <c r="F562" s="4">
        <v>11.0</v>
      </c>
      <c r="G562" s="4" t="s">
        <v>870</v>
      </c>
    </row>
    <row r="563">
      <c r="A563" s="1">
        <v>561.0</v>
      </c>
      <c r="B563" s="4" t="s">
        <v>850</v>
      </c>
      <c r="C563" s="5" t="str">
        <f>IFERROR(__xludf.DUMMYFUNCTION("GOOGLETRANSLATE(D:D,""auto"",""en"")"),"Iraqi commanders were stab in the back")</f>
        <v>Iraqi commanders were stab in the back</v>
      </c>
      <c r="D563" s="4" t="s">
        <v>871</v>
      </c>
      <c r="E563" s="4">
        <v>0.0</v>
      </c>
      <c r="F563" s="4">
        <v>12.0</v>
      </c>
      <c r="G563" s="4" t="s">
        <v>872</v>
      </c>
    </row>
    <row r="564">
      <c r="A564" s="1">
        <v>562.0</v>
      </c>
      <c r="B564" s="4" t="s">
        <v>850</v>
      </c>
      <c r="C564" s="5" t="str">
        <f>IFERROR(__xludf.DUMMYFUNCTION("GOOGLETRANSLATE(D:D,""auto"",""en"")"),"Strengthen the inspection of overseas drugs")</f>
        <v>Strengthen the inspection of overseas drugs</v>
      </c>
      <c r="D564" s="4" t="s">
        <v>873</v>
      </c>
      <c r="E564" s="4">
        <v>0.0</v>
      </c>
      <c r="F564" s="4">
        <v>13.0</v>
      </c>
      <c r="G564" s="4" t="s">
        <v>874</v>
      </c>
    </row>
    <row r="565">
      <c r="A565" s="1">
        <v>563.0</v>
      </c>
      <c r="B565" s="4" t="s">
        <v>850</v>
      </c>
      <c r="C565" s="5" t="str">
        <f>IFERROR(__xludf.DUMMYFUNCTION("GOOGLETRANSLATE(D:D,""auto"",""en"")"),"Shen Teng Li is now reported to fancy dish")</f>
        <v>Shen Teng Li is now reported to fancy dish</v>
      </c>
      <c r="D565" s="4" t="s">
        <v>875</v>
      </c>
      <c r="E565" s="4">
        <v>0.0</v>
      </c>
      <c r="F565" s="4">
        <v>14.0</v>
      </c>
      <c r="G565" s="4" t="s">
        <v>876</v>
      </c>
    </row>
    <row r="566">
      <c r="A566" s="1">
        <v>564.0</v>
      </c>
      <c r="B566" s="4" t="s">
        <v>850</v>
      </c>
      <c r="C566" s="5" t="str">
        <f>IFERROR(__xludf.DUMMYFUNCTION("GOOGLETRANSLATE(D:D,""auto"",""en"")"),"Chen Yufei women's singles title")</f>
        <v>Chen Yufei women's singles title</v>
      </c>
      <c r="D566" s="4" t="s">
        <v>877</v>
      </c>
      <c r="E566" s="4">
        <v>0.0</v>
      </c>
      <c r="F566" s="4">
        <v>15.0</v>
      </c>
      <c r="G566" s="4" t="s">
        <v>878</v>
      </c>
    </row>
    <row r="567">
      <c r="A567" s="1">
        <v>565.0</v>
      </c>
      <c r="B567" s="4" t="s">
        <v>850</v>
      </c>
      <c r="C567" s="5" t="str">
        <f>IFERROR(__xludf.DUMMYFUNCTION("GOOGLETRANSLATE(D:D,""auto"",""en"")"),"Hao Yun wife recurrence of a long article")</f>
        <v>Hao Yun wife recurrence of a long article</v>
      </c>
      <c r="D567" s="4" t="s">
        <v>879</v>
      </c>
      <c r="E567" s="4">
        <v>0.0</v>
      </c>
      <c r="F567" s="4">
        <v>16.0</v>
      </c>
      <c r="G567" s="4" t="s">
        <v>880</v>
      </c>
    </row>
    <row r="568">
      <c r="A568" s="1">
        <v>566.0</v>
      </c>
      <c r="B568" s="4" t="s">
        <v>850</v>
      </c>
      <c r="C568" s="5" t="str">
        <f>IFERROR(__xludf.DUMMYFUNCTION("GOOGLETRANSLATE(D:D,""auto"",""en"")"),"Guo Degang Guo Kirin God synchronization")</f>
        <v>Guo Degang Guo Kirin God synchronization</v>
      </c>
      <c r="D568" s="4" t="s">
        <v>881</v>
      </c>
      <c r="E568" s="4">
        <v>0.0</v>
      </c>
      <c r="F568" s="4">
        <v>17.0</v>
      </c>
      <c r="G568" s="4" t="s">
        <v>882</v>
      </c>
    </row>
    <row r="569">
      <c r="A569" s="1">
        <v>567.0</v>
      </c>
      <c r="B569" s="4" t="s">
        <v>850</v>
      </c>
      <c r="C569" s="5" t="str">
        <f>IFERROR(__xludf.DUMMYFUNCTION("GOOGLETRANSLATE(D:D,""auto"",""en"")"),"Jay fans pay")</f>
        <v>Jay fans pay</v>
      </c>
      <c r="D569" s="4" t="s">
        <v>883</v>
      </c>
      <c r="E569" s="4">
        <v>0.0</v>
      </c>
      <c r="F569" s="4">
        <v>18.0</v>
      </c>
      <c r="G569" s="4" t="s">
        <v>884</v>
      </c>
    </row>
    <row r="570">
      <c r="A570" s="1">
        <v>568.0</v>
      </c>
      <c r="B570" s="4" t="s">
        <v>850</v>
      </c>
      <c r="C570" s="5" t="str">
        <f>IFERROR(__xludf.DUMMYFUNCTION("GOOGLETRANSLATE(D:D,""auto"",""en"")"),"Father daughter by sunlight")</f>
        <v>Father daughter by sunlight</v>
      </c>
      <c r="D570" s="4" t="s">
        <v>885</v>
      </c>
      <c r="E570" s="4">
        <v>0.0</v>
      </c>
      <c r="F570" s="4">
        <v>19.0</v>
      </c>
      <c r="G570" s="4" t="s">
        <v>886</v>
      </c>
    </row>
    <row r="571">
      <c r="A571" s="1">
        <v>569.0</v>
      </c>
      <c r="B571" s="4" t="s">
        <v>850</v>
      </c>
      <c r="C571" s="5" t="str">
        <f>IFERROR(__xludf.DUMMYFUNCTION("GOOGLETRANSLATE(D:D,""auto"",""en"")"),"Sub Qiaomei Jia licensing")</f>
        <v>Sub Qiaomei Jia licensing</v>
      </c>
      <c r="D571" s="4" t="s">
        <v>887</v>
      </c>
      <c r="E571" s="4">
        <v>0.0</v>
      </c>
      <c r="F571" s="4">
        <v>20.0</v>
      </c>
      <c r="G571" s="4" t="s">
        <v>888</v>
      </c>
    </row>
    <row r="572">
      <c r="A572" s="1">
        <v>570.0</v>
      </c>
      <c r="B572" s="4" t="s">
        <v>850</v>
      </c>
      <c r="C572" s="5" t="str">
        <f>IFERROR(__xludf.DUMMYFUNCTION("GOOGLETRANSLATE(D:D,""auto"",""en"")"),"Zhao Rui Lin heads-flat")</f>
        <v>Zhao Rui Lin heads-flat</v>
      </c>
      <c r="D572" s="4" t="s">
        <v>889</v>
      </c>
      <c r="E572" s="4">
        <v>0.0</v>
      </c>
      <c r="F572" s="4">
        <v>21.0</v>
      </c>
      <c r="G572" s="4" t="s">
        <v>890</v>
      </c>
    </row>
    <row r="573">
      <c r="A573" s="1">
        <v>571.0</v>
      </c>
      <c r="B573" s="4" t="s">
        <v>850</v>
      </c>
      <c r="C573" s="5" t="str">
        <f>IFERROR(__xludf.DUMMYFUNCTION("GOOGLETRANSLATE(D:D,""auto"",""en"")"),"Yang Zi Yang Ying Yang Mi same box")</f>
        <v>Yang Zi Yang Ying Yang Mi same box</v>
      </c>
      <c r="D573" s="4" t="s">
        <v>812</v>
      </c>
      <c r="E573" s="4">
        <v>0.0</v>
      </c>
      <c r="F573" s="4">
        <v>22.0</v>
      </c>
      <c r="G573" s="4" t="s">
        <v>813</v>
      </c>
    </row>
    <row r="574">
      <c r="A574" s="1">
        <v>572.0</v>
      </c>
      <c r="B574" s="4" t="s">
        <v>850</v>
      </c>
      <c r="C574" s="5" t="str">
        <f>IFERROR(__xludf.DUMMYFUNCTION("GOOGLETRANSLATE(D:D,""auto"",""en"")"),"Chinese eye in the sky open run")</f>
        <v>Chinese eye in the sky open run</v>
      </c>
      <c r="D574" s="4" t="s">
        <v>822</v>
      </c>
      <c r="E574" s="4">
        <v>0.0</v>
      </c>
      <c r="F574" s="4">
        <v>23.0</v>
      </c>
      <c r="G574" s="4" t="s">
        <v>823</v>
      </c>
    </row>
    <row r="575">
      <c r="A575" s="1">
        <v>573.0</v>
      </c>
      <c r="B575" s="4" t="s">
        <v>850</v>
      </c>
      <c r="C575" s="5" t="str">
        <f>IFERROR(__xludf.DUMMYFUNCTION("GOOGLETRANSLATE(D:D,""auto"",""en"")"),"Illegitimate surveillance candid von salary flowers")</f>
        <v>Illegitimate surveillance candid von salary flowers</v>
      </c>
      <c r="D575" s="4" t="s">
        <v>891</v>
      </c>
      <c r="E575" s="4">
        <v>0.0</v>
      </c>
      <c r="F575" s="4">
        <v>24.0</v>
      </c>
      <c r="G575" s="4" t="s">
        <v>892</v>
      </c>
    </row>
    <row r="576">
      <c r="A576" s="1">
        <v>574.0</v>
      </c>
      <c r="B576" s="4" t="s">
        <v>850</v>
      </c>
      <c r="C576" s="5" t="str">
        <f>IFERROR(__xludf.DUMMYFUNCTION("GOOGLETRANSLATE(D:D,""auto"",""en"")"),"Chinese men's volleyball team qualify for the finals")</f>
        <v>Chinese men's volleyball team qualify for the finals</v>
      </c>
      <c r="D576" s="4" t="s">
        <v>893</v>
      </c>
      <c r="E576" s="4">
        <v>0.0</v>
      </c>
      <c r="F576" s="4">
        <v>25.0</v>
      </c>
      <c r="G576" s="4" t="s">
        <v>894</v>
      </c>
    </row>
    <row r="577">
      <c r="A577" s="1">
        <v>575.0</v>
      </c>
      <c r="B577" s="4" t="s">
        <v>850</v>
      </c>
      <c r="C577" s="5" t="str">
        <f>IFERROR(__xludf.DUMMYFUNCTION("GOOGLETRANSLATE(D:D,""auto"",""en"")"),"Hengda national security blockbuster deal")</f>
        <v>Hengda national security blockbuster deal</v>
      </c>
      <c r="D577" s="4" t="s">
        <v>895</v>
      </c>
      <c r="E577" s="4">
        <v>0.0</v>
      </c>
      <c r="F577" s="4">
        <v>26.0</v>
      </c>
      <c r="G577" s="4" t="s">
        <v>896</v>
      </c>
    </row>
    <row r="578">
      <c r="A578" s="1">
        <v>576.0</v>
      </c>
      <c r="B578" s="4" t="s">
        <v>850</v>
      </c>
      <c r="C578" s="5" t="str">
        <f>IFERROR(__xludf.DUMMYFUNCTION("GOOGLETRANSLATE(D:D,""auto"",""en"")"),"Yiyangqianxi emitting chest")</f>
        <v>Yiyangqianxi emitting chest</v>
      </c>
      <c r="D578" s="4" t="s">
        <v>897</v>
      </c>
      <c r="E578" s="4">
        <v>0.0</v>
      </c>
      <c r="F578" s="4">
        <v>27.0</v>
      </c>
      <c r="G578" s="4" t="s">
        <v>898</v>
      </c>
    </row>
    <row r="579">
      <c r="A579" s="1">
        <v>577.0</v>
      </c>
      <c r="B579" s="4" t="s">
        <v>850</v>
      </c>
      <c r="C579" s="5" t="str">
        <f>IFERROR(__xludf.DUMMYFUNCTION("GOOGLETRANSLATE(D:D,""auto"",""en"")"),"Du Shaoping wanted meritorious")</f>
        <v>Du Shaoping wanted meritorious</v>
      </c>
      <c r="D579" s="4" t="s">
        <v>899</v>
      </c>
      <c r="E579" s="4">
        <v>0.0</v>
      </c>
      <c r="F579" s="4">
        <v>28.0</v>
      </c>
      <c r="G579" s="4" t="s">
        <v>900</v>
      </c>
    </row>
    <row r="580">
      <c r="A580" s="1">
        <v>578.0</v>
      </c>
      <c r="B580" s="4" t="s">
        <v>850</v>
      </c>
      <c r="C580" s="5" t="str">
        <f>IFERROR(__xludf.DUMMYFUNCTION("GOOGLETRANSLATE(D:D,""auto"",""en"")"),"You go home to see their loved ones")</f>
        <v>You go home to see their loved ones</v>
      </c>
      <c r="D580" s="4" t="s">
        <v>901</v>
      </c>
      <c r="E580" s="4">
        <v>0.0</v>
      </c>
      <c r="F580" s="4">
        <v>29.0</v>
      </c>
      <c r="G580" s="4" t="s">
        <v>902</v>
      </c>
    </row>
    <row r="581">
      <c r="A581" s="1">
        <v>579.0</v>
      </c>
      <c r="B581" s="4" t="s">
        <v>850</v>
      </c>
      <c r="C581" s="5" t="str">
        <f>IFERROR(__xludf.DUMMYFUNCTION("GOOGLETRANSLATE(D:D,""auto"",""en"")"),"Zhang Changning visit the set Wu Guanxi")</f>
        <v>Zhang Changning visit the set Wu Guanxi</v>
      </c>
      <c r="D581" s="4" t="s">
        <v>903</v>
      </c>
      <c r="E581" s="4">
        <v>0.0</v>
      </c>
      <c r="F581" s="4">
        <v>30.0</v>
      </c>
      <c r="G581" s="4" t="s">
        <v>904</v>
      </c>
    </row>
    <row r="582">
      <c r="A582" s="1">
        <v>580.0</v>
      </c>
      <c r="B582" s="4" t="s">
        <v>850</v>
      </c>
      <c r="C582" s="5" t="str">
        <f>IFERROR(__xludf.DUMMYFUNCTION("GOOGLETRANSLATE(D:D,""auto"",""en"")"),"Experts on the 2020 Chinese New Year early")</f>
        <v>Experts on the 2020 Chinese New Year early</v>
      </c>
      <c r="D582" s="4" t="s">
        <v>905</v>
      </c>
      <c r="E582" s="4">
        <v>0.0</v>
      </c>
      <c r="F582" s="4">
        <v>31.0</v>
      </c>
      <c r="G582" s="4" t="s">
        <v>906</v>
      </c>
    </row>
    <row r="583">
      <c r="A583" s="1">
        <v>581.0</v>
      </c>
      <c r="B583" s="4" t="s">
        <v>850</v>
      </c>
      <c r="C583" s="5" t="str">
        <f>IFERROR(__xludf.DUMMYFUNCTION("GOOGLETRANSLATE(D:D,""auto"",""en"")"),"Wu Lei starting to play")</f>
        <v>Wu Lei starting to play</v>
      </c>
      <c r="D583" s="4" t="s">
        <v>907</v>
      </c>
      <c r="E583" s="4">
        <v>0.0</v>
      </c>
      <c r="F583" s="4">
        <v>32.0</v>
      </c>
      <c r="G583" s="4" t="s">
        <v>908</v>
      </c>
    </row>
    <row r="584">
      <c r="A584" s="1">
        <v>582.0</v>
      </c>
      <c r="B584" s="4" t="s">
        <v>850</v>
      </c>
      <c r="C584" s="5" t="str">
        <f>IFERROR(__xludf.DUMMYFUNCTION("GOOGLETRANSLATE(D:D,""auto"",""en"")"),"TVB anniversary awards")</f>
        <v>TVB anniversary awards</v>
      </c>
      <c r="D584" s="4" t="s">
        <v>909</v>
      </c>
      <c r="E584" s="4">
        <v>0.0</v>
      </c>
      <c r="F584" s="4">
        <v>33.0</v>
      </c>
      <c r="G584" s="4" t="s">
        <v>910</v>
      </c>
    </row>
    <row r="585">
      <c r="A585" s="1">
        <v>583.0</v>
      </c>
      <c r="B585" s="4" t="s">
        <v>850</v>
      </c>
      <c r="C585" s="5" t="str">
        <f>IFERROR(__xludf.DUMMYFUNCTION("GOOGLETRANSLATE(D:D,""auto"",""en"")"),"Hengda Gao Lin Fawen farewell")</f>
        <v>Hengda Gao Lin Fawen farewell</v>
      </c>
      <c r="D585" s="4" t="s">
        <v>820</v>
      </c>
      <c r="E585" s="4">
        <v>0.0</v>
      </c>
      <c r="F585" s="4">
        <v>34.0</v>
      </c>
      <c r="G585" s="4" t="s">
        <v>821</v>
      </c>
    </row>
    <row r="586">
      <c r="A586" s="1">
        <v>584.0</v>
      </c>
      <c r="B586" s="4" t="s">
        <v>850</v>
      </c>
      <c r="C586" s="5" t="str">
        <f>IFERROR(__xludf.DUMMYFUNCTION("GOOGLETRANSLATE(D:D,""auto"",""en"")"),"The well and threw firecrackers blown")</f>
        <v>The well and threw firecrackers blown</v>
      </c>
      <c r="D586" s="4" t="s">
        <v>911</v>
      </c>
      <c r="E586" s="4">
        <v>0.0</v>
      </c>
      <c r="F586" s="4">
        <v>35.0</v>
      </c>
      <c r="G586" s="4" t="s">
        <v>912</v>
      </c>
    </row>
    <row r="587">
      <c r="A587" s="1">
        <v>585.0</v>
      </c>
      <c r="B587" s="4" t="s">
        <v>850</v>
      </c>
      <c r="C587" s="5" t="str">
        <f>IFERROR(__xludf.DUMMYFUNCTION("GOOGLETRANSLATE(D:D,""auto"",""en"")"),"Chinese women's volleyball team into the group of death")</f>
        <v>Chinese women's volleyball team into the group of death</v>
      </c>
      <c r="D587" s="4" t="s">
        <v>913</v>
      </c>
      <c r="E587" s="4">
        <v>0.0</v>
      </c>
      <c r="F587" s="4">
        <v>36.0</v>
      </c>
      <c r="G587" s="4" t="s">
        <v>914</v>
      </c>
    </row>
    <row r="588">
      <c r="A588" s="1">
        <v>586.0</v>
      </c>
      <c r="B588" s="4" t="s">
        <v>850</v>
      </c>
      <c r="C588" s="5" t="str">
        <f>IFERROR(__xludf.DUMMYFUNCTION("GOOGLETRANSLATE(D:D,""auto"",""en"")"),"Iranian special forces ambush")</f>
        <v>Iranian special forces ambush</v>
      </c>
      <c r="D588" s="4" t="s">
        <v>915</v>
      </c>
      <c r="E588" s="4">
        <v>0.0</v>
      </c>
      <c r="F588" s="4">
        <v>37.0</v>
      </c>
      <c r="G588" s="4" t="s">
        <v>916</v>
      </c>
    </row>
    <row r="589">
      <c r="A589" s="1">
        <v>587.0</v>
      </c>
      <c r="B589" s="4" t="s">
        <v>850</v>
      </c>
      <c r="C589" s="5" t="str">
        <f>IFERROR(__xludf.DUMMYFUNCTION("GOOGLETRANSLATE(D:D,""auto"",""en"")"),"Protests in Iran")</f>
        <v>Protests in Iran</v>
      </c>
      <c r="D589" s="4" t="s">
        <v>917</v>
      </c>
      <c r="E589" s="4">
        <v>0.0</v>
      </c>
      <c r="F589" s="4">
        <v>38.0</v>
      </c>
      <c r="G589" s="4" t="s">
        <v>918</v>
      </c>
    </row>
    <row r="590">
      <c r="A590" s="1">
        <v>588.0</v>
      </c>
      <c r="B590" s="4" t="s">
        <v>850</v>
      </c>
      <c r="C590" s="5" t="str">
        <f>IFERROR(__xludf.DUMMYFUNCTION("GOOGLETRANSLATE(D:D,""auto"",""en"")"),"Unfamiliar street Apple sold 11 employees")</f>
        <v>Unfamiliar street Apple sold 11 employees</v>
      </c>
      <c r="D590" s="4" t="s">
        <v>919</v>
      </c>
      <c r="E590" s="4">
        <v>0.0</v>
      </c>
      <c r="F590" s="4">
        <v>39.0</v>
      </c>
      <c r="G590" s="4" t="s">
        <v>920</v>
      </c>
    </row>
    <row r="591">
      <c r="A591" s="1">
        <v>589.0</v>
      </c>
      <c r="B591" s="4" t="s">
        <v>850</v>
      </c>
      <c r="C591" s="5" t="str">
        <f>IFERROR(__xludf.DUMMYFUNCTION("GOOGLETRANSLATE(D:D,""auto"",""en"")"),"The Fountain Springs Scenic change shout")</f>
        <v>The Fountain Springs Scenic change shout</v>
      </c>
      <c r="D591" s="4" t="s">
        <v>921</v>
      </c>
      <c r="E591" s="4">
        <v>0.0</v>
      </c>
      <c r="F591" s="4">
        <v>40.0</v>
      </c>
      <c r="G591" s="4" t="s">
        <v>922</v>
      </c>
    </row>
    <row r="592">
      <c r="A592" s="1">
        <v>590.0</v>
      </c>
      <c r="B592" s="4" t="s">
        <v>850</v>
      </c>
      <c r="C592" s="5" t="str">
        <f>IFERROR(__xludf.DUMMYFUNCTION("GOOGLETRANSLATE(D:D,""auto"",""en"")"),"Allen Lin Starchaser Xiaozhan")</f>
        <v>Allen Lin Starchaser Xiaozhan</v>
      </c>
      <c r="D592" s="4" t="s">
        <v>923</v>
      </c>
      <c r="E592" s="4">
        <v>0.0</v>
      </c>
      <c r="F592" s="4">
        <v>41.0</v>
      </c>
      <c r="G592" s="4" t="s">
        <v>924</v>
      </c>
    </row>
    <row r="593">
      <c r="A593" s="1">
        <v>591.0</v>
      </c>
      <c r="B593" s="4" t="s">
        <v>850</v>
      </c>
      <c r="C593" s="5" t="str">
        <f>IFERROR(__xludf.DUMMYFUNCTION("GOOGLETRANSLATE(D:D,""auto"",""en"")"),"Elite lawyers welcome finale")</f>
        <v>Elite lawyers welcome finale</v>
      </c>
      <c r="D593" s="4" t="s">
        <v>925</v>
      </c>
      <c r="E593" s="4">
        <v>0.0</v>
      </c>
      <c r="F593" s="4">
        <v>42.0</v>
      </c>
      <c r="G593" s="4" t="s">
        <v>926</v>
      </c>
    </row>
    <row r="594">
      <c r="A594" s="1">
        <v>592.0</v>
      </c>
      <c r="B594" s="4" t="s">
        <v>850</v>
      </c>
      <c r="C594" s="5" t="str">
        <f>IFERROR(__xludf.DUMMYFUNCTION("GOOGLETRANSLATE(D:D,""auto"",""en"")"),"Jerry was traced to new romance")</f>
        <v>Jerry was traced to new romance</v>
      </c>
      <c r="D594" s="4" t="s">
        <v>824</v>
      </c>
      <c r="E594" s="4">
        <v>0.0</v>
      </c>
      <c r="F594" s="4">
        <v>43.0</v>
      </c>
      <c r="G594" s="4" t="s">
        <v>825</v>
      </c>
    </row>
    <row r="595">
      <c r="A595" s="1">
        <v>593.0</v>
      </c>
      <c r="B595" s="4" t="s">
        <v>850</v>
      </c>
      <c r="C595" s="5" t="str">
        <f>IFERROR(__xludf.DUMMYFUNCTION("GOOGLETRANSLATE(D:D,""auto"",""en"")"),"Fukushima is a large number of wild animals")</f>
        <v>Fukushima is a large number of wild animals</v>
      </c>
      <c r="D595" s="4" t="s">
        <v>834</v>
      </c>
      <c r="E595" s="4">
        <v>0.0</v>
      </c>
      <c r="F595" s="4">
        <v>44.0</v>
      </c>
      <c r="G595" s="4" t="s">
        <v>835</v>
      </c>
    </row>
    <row r="596">
      <c r="A596" s="1">
        <v>594.0</v>
      </c>
      <c r="B596" s="4" t="s">
        <v>850</v>
      </c>
      <c r="C596" s="5" t="str">
        <f>IFERROR(__xludf.DUMMYFUNCTION("GOOGLETRANSLATE(D:D,""auto"",""en"")"),"Aska seconds to delete posting")</f>
        <v>Aska seconds to delete posting</v>
      </c>
      <c r="D596" s="4" t="s">
        <v>790</v>
      </c>
      <c r="E596" s="4">
        <v>0.0</v>
      </c>
      <c r="F596" s="4">
        <v>45.0</v>
      </c>
      <c r="G596" s="4" t="s">
        <v>791</v>
      </c>
    </row>
    <row r="597">
      <c r="A597" s="1">
        <v>595.0</v>
      </c>
      <c r="B597" s="4" t="s">
        <v>850</v>
      </c>
      <c r="C597" s="5" t="str">
        <f>IFERROR(__xludf.DUMMYFUNCTION("GOOGLETRANSLATE(D:D,""auto"",""en"")"),"Li Ka-shing and his son appeared")</f>
        <v>Li Ka-shing and his son appeared</v>
      </c>
      <c r="D597" s="4" t="s">
        <v>832</v>
      </c>
      <c r="E597" s="4">
        <v>0.0</v>
      </c>
      <c r="F597" s="4">
        <v>46.0</v>
      </c>
      <c r="G597" s="4" t="s">
        <v>833</v>
      </c>
    </row>
    <row r="598">
      <c r="A598" s="1">
        <v>596.0</v>
      </c>
      <c r="B598" s="4" t="s">
        <v>850</v>
      </c>
      <c r="C598" s="5" t="str">
        <f>IFERROR(__xludf.DUMMYFUNCTION("GOOGLETRANSLATE(D:D,""auto"",""en"")"),"Ski as sweet Xin Lu Lu")</f>
        <v>Ski as sweet Xin Lu Lu</v>
      </c>
      <c r="D598" s="4" t="s">
        <v>927</v>
      </c>
      <c r="E598" s="4">
        <v>0.0</v>
      </c>
      <c r="F598" s="4">
        <v>47.0</v>
      </c>
      <c r="G598" s="4" t="s">
        <v>928</v>
      </c>
    </row>
    <row r="599">
      <c r="A599" s="1">
        <v>597.0</v>
      </c>
      <c r="B599" s="4" t="s">
        <v>850</v>
      </c>
      <c r="C599" s="5" t="str">
        <f>IFERROR(__xludf.DUMMYFUNCTION("GOOGLETRANSLATE(D:D,""auto"",""en"")"),"Toll kneel to the owners")</f>
        <v>Toll kneel to the owners</v>
      </c>
      <c r="D599" s="4" t="s">
        <v>929</v>
      </c>
      <c r="E599" s="4">
        <v>0.0</v>
      </c>
      <c r="F599" s="4">
        <v>48.0</v>
      </c>
      <c r="G599" s="4" t="s">
        <v>930</v>
      </c>
    </row>
    <row r="600">
      <c r="A600" s="1">
        <v>598.0</v>
      </c>
      <c r="B600" s="4" t="s">
        <v>850</v>
      </c>
      <c r="C600" s="5" t="str">
        <f>IFERROR(__xludf.DUMMYFUNCTION("GOOGLETRANSLATE(D:D,""auto"",""en"")"),"A new round of health care reform")</f>
        <v>A new round of health care reform</v>
      </c>
      <c r="D600" s="4" t="s">
        <v>931</v>
      </c>
      <c r="E600" s="4">
        <v>0.0</v>
      </c>
      <c r="F600" s="4">
        <v>49.0</v>
      </c>
      <c r="G600" s="4" t="s">
        <v>932</v>
      </c>
    </row>
    <row r="601">
      <c r="A601" s="1">
        <v>599.0</v>
      </c>
      <c r="B601" s="4" t="s">
        <v>850</v>
      </c>
      <c r="C601" s="5" t="str">
        <f>IFERROR(__xludf.DUMMYFUNCTION("GOOGLETRANSLATE(D:D,""auto"",""en"")"),"Zhao Liying Black Swan veil")</f>
        <v>Zhao Liying Black Swan veil</v>
      </c>
      <c r="D601" s="4" t="s">
        <v>794</v>
      </c>
      <c r="E601" s="4">
        <v>0.0</v>
      </c>
      <c r="F601" s="4">
        <v>50.0</v>
      </c>
      <c r="G601" s="4" t="s">
        <v>795</v>
      </c>
    </row>
    <row r="602">
      <c r="A602" s="1">
        <v>600.0</v>
      </c>
      <c r="B602" s="4" t="s">
        <v>933</v>
      </c>
      <c r="C602" s="5" t="str">
        <f>IFERROR(__xludf.DUMMYFUNCTION("GOOGLETRANSLATE(D:D,""auto"",""en"")"),"Na Ying did not hold Xiaozhan fish")</f>
        <v>Na Ying did not hold Xiaozhan fish</v>
      </c>
      <c r="D602" s="4" t="s">
        <v>934</v>
      </c>
      <c r="E602" s="4">
        <v>0.0</v>
      </c>
      <c r="F602" s="4">
        <v>1.0</v>
      </c>
      <c r="G602" s="4" t="s">
        <v>935</v>
      </c>
    </row>
    <row r="603">
      <c r="A603" s="1">
        <v>601.0</v>
      </c>
      <c r="B603" s="4" t="s">
        <v>933</v>
      </c>
      <c r="C603" s="5" t="str">
        <f>IFERROR(__xludf.DUMMYFUNCTION("GOOGLETRANSLATE(D:D,""auto"",""en"")"),"Elite lawyers welcome finale")</f>
        <v>Elite lawyers welcome finale</v>
      </c>
      <c r="D603" s="4" t="s">
        <v>925</v>
      </c>
      <c r="E603" s="4">
        <v>0.0</v>
      </c>
      <c r="F603" s="4">
        <v>2.0</v>
      </c>
      <c r="G603" s="4" t="s">
        <v>926</v>
      </c>
    </row>
    <row r="604">
      <c r="A604" s="1">
        <v>602.0</v>
      </c>
      <c r="B604" s="4" t="s">
        <v>933</v>
      </c>
      <c r="C604" s="5" t="str">
        <f>IFERROR(__xludf.DUMMYFUNCTION("GOOGLETRANSLATE(D:D,""auto"",""en"")"),"TVB anniversary awards")</f>
        <v>TVB anniversary awards</v>
      </c>
      <c r="D604" s="4" t="s">
        <v>909</v>
      </c>
      <c r="E604" s="4">
        <v>0.0</v>
      </c>
      <c r="F604" s="4">
        <v>3.0</v>
      </c>
      <c r="G604" s="4" t="s">
        <v>910</v>
      </c>
    </row>
    <row r="605">
      <c r="A605" s="1">
        <v>603.0</v>
      </c>
      <c r="B605" s="4" t="s">
        <v>933</v>
      </c>
      <c r="C605" s="5" t="str">
        <f>IFERROR(__xludf.DUMMYFUNCTION("GOOGLETRANSLATE(D:D,""auto"",""en"")"),"Huang Xiaoming suspect implied divorce")</f>
        <v>Huang Xiaoming suspect implied divorce</v>
      </c>
      <c r="D605" s="4" t="s">
        <v>936</v>
      </c>
      <c r="E605" s="4">
        <v>0.0</v>
      </c>
      <c r="F605" s="4">
        <v>4.0</v>
      </c>
      <c r="G605" s="4" t="s">
        <v>937</v>
      </c>
    </row>
    <row r="606">
      <c r="A606" s="1">
        <v>604.0</v>
      </c>
      <c r="B606" s="4" t="s">
        <v>933</v>
      </c>
      <c r="C606" s="5" t="str">
        <f>IFERROR(__xludf.DUMMYFUNCTION("GOOGLETRANSLATE(D:D,""auto"",""en"")"),"William Harry brothers break")</f>
        <v>William Harry brothers break</v>
      </c>
      <c r="D606" s="4" t="s">
        <v>938</v>
      </c>
      <c r="E606" s="4">
        <v>0.0</v>
      </c>
      <c r="F606" s="4">
        <v>5.0</v>
      </c>
      <c r="G606" s="4" t="s">
        <v>939</v>
      </c>
    </row>
    <row r="607">
      <c r="A607" s="1">
        <v>605.0</v>
      </c>
      <c r="B607" s="4" t="s">
        <v>933</v>
      </c>
      <c r="C607" s="5" t="str">
        <f>IFERROR(__xludf.DUMMYFUNCTION("GOOGLETRANSLATE(D:D,""auto"",""en"")"),"Reversing fell seven meters deep")</f>
        <v>Reversing fell seven meters deep</v>
      </c>
      <c r="D607" s="4" t="s">
        <v>940</v>
      </c>
      <c r="E607" s="4">
        <v>0.0</v>
      </c>
      <c r="F607" s="4">
        <v>6.0</v>
      </c>
      <c r="G607" s="4" t="s">
        <v>941</v>
      </c>
    </row>
    <row r="608">
      <c r="A608" s="1">
        <v>606.0</v>
      </c>
      <c r="B608" s="4" t="s">
        <v>933</v>
      </c>
      <c r="C608" s="5" t="str">
        <f>IFERROR(__xludf.DUMMYFUNCTION("GOOGLETRANSLATE(D:D,""auto"",""en"")"),"Net exposure Zhongxiang hospitalized")</f>
        <v>Net exposure Zhongxiang hospitalized</v>
      </c>
      <c r="D608" s="4" t="s">
        <v>942</v>
      </c>
      <c r="E608" s="4">
        <v>0.0</v>
      </c>
      <c r="F608" s="4">
        <v>7.0</v>
      </c>
      <c r="G608" s="4" t="s">
        <v>943</v>
      </c>
    </row>
    <row r="609">
      <c r="A609" s="1">
        <v>607.0</v>
      </c>
      <c r="B609" s="4" t="s">
        <v>933</v>
      </c>
      <c r="C609" s="5" t="str">
        <f>IFERROR(__xludf.DUMMYFUNCTION("GOOGLETRANSLATE(D:D,""auto"",""en"")"),"Rounders suspect worsening disease")</f>
        <v>Rounders suspect worsening disease</v>
      </c>
      <c r="D609" s="4" t="s">
        <v>944</v>
      </c>
      <c r="E609" s="4">
        <v>0.0</v>
      </c>
      <c r="F609" s="4">
        <v>8.0</v>
      </c>
      <c r="G609" s="4" t="s">
        <v>945</v>
      </c>
    </row>
    <row r="610">
      <c r="A610" s="1">
        <v>608.0</v>
      </c>
      <c r="B610" s="4" t="s">
        <v>933</v>
      </c>
      <c r="C610" s="5" t="str">
        <f>IFERROR(__xludf.DUMMYFUNCTION("GOOGLETRANSLATE(D:D,""auto"",""en"")"),"Admiralty big admits affair")</f>
        <v>Admiralty big admits affair</v>
      </c>
      <c r="D610" s="4" t="s">
        <v>946</v>
      </c>
      <c r="E610" s="4">
        <v>0.0</v>
      </c>
      <c r="F610" s="4">
        <v>9.0</v>
      </c>
      <c r="G610" s="4" t="s">
        <v>947</v>
      </c>
    </row>
    <row r="611">
      <c r="A611" s="1">
        <v>609.0</v>
      </c>
      <c r="B611" s="4" t="s">
        <v>933</v>
      </c>
      <c r="C611" s="5" t="str">
        <f>IFERROR(__xludf.DUMMYFUNCTION("GOOGLETRANSLATE(D:D,""auto"",""en"")"),"SM confirm Admiralty big marriage")</f>
        <v>SM confirm Admiralty big marriage</v>
      </c>
      <c r="D611" s="4" t="s">
        <v>948</v>
      </c>
      <c r="E611" s="4">
        <v>0.0</v>
      </c>
      <c r="F611" s="4">
        <v>10.0</v>
      </c>
      <c r="G611" s="4" t="s">
        <v>949</v>
      </c>
    </row>
    <row r="612">
      <c r="A612" s="1">
        <v>610.0</v>
      </c>
      <c r="B612" s="4" t="s">
        <v>933</v>
      </c>
      <c r="C612" s="5" t="str">
        <f>IFERROR(__xludf.DUMMYFUNCTION("GOOGLETRANSLATE(D:D,""auto"",""en"")"),"Marco Ngai exposure wife derailment")</f>
        <v>Marco Ngai exposure wife derailment</v>
      </c>
      <c r="D612" s="4" t="s">
        <v>950</v>
      </c>
      <c r="E612" s="4">
        <v>0.0</v>
      </c>
      <c r="F612" s="4">
        <v>11.0</v>
      </c>
      <c r="G612" s="4" t="s">
        <v>951</v>
      </c>
    </row>
    <row r="613">
      <c r="A613" s="1">
        <v>611.0</v>
      </c>
      <c r="B613" s="4" t="s">
        <v>933</v>
      </c>
      <c r="C613" s="5" t="str">
        <f>IFERROR(__xludf.DUMMYFUNCTION("GOOGLETRANSLATE(D:D,""auto"",""en"")"),"Han Guoyu back to work Kaohsiung")</f>
        <v>Han Guoyu back to work Kaohsiung</v>
      </c>
      <c r="D613" s="4" t="s">
        <v>952</v>
      </c>
      <c r="E613" s="4">
        <v>0.0</v>
      </c>
      <c r="F613" s="4">
        <v>12.0</v>
      </c>
      <c r="G613" s="4" t="s">
        <v>953</v>
      </c>
    </row>
    <row r="614">
      <c r="A614" s="1">
        <v>612.0</v>
      </c>
      <c r="B614" s="4" t="s">
        <v>933</v>
      </c>
      <c r="C614" s="5" t="str">
        <f>IFERROR(__xludf.DUMMYFUNCTION("GOOGLETRANSLATE(D:D,""auto"",""en"")"),"Xining subsidence occurred")</f>
        <v>Xining subsidence occurred</v>
      </c>
      <c r="D614" s="4" t="s">
        <v>954</v>
      </c>
      <c r="E614" s="4">
        <v>0.0</v>
      </c>
      <c r="F614" s="4">
        <v>13.0</v>
      </c>
      <c r="G614" s="4" t="s">
        <v>955</v>
      </c>
    </row>
    <row r="615">
      <c r="A615" s="1">
        <v>613.0</v>
      </c>
      <c r="B615" s="4" t="s">
        <v>933</v>
      </c>
      <c r="C615" s="5" t="str">
        <f>IFERROR(__xludf.DUMMYFUNCTION("GOOGLETRANSLATE(D:D,""auto"",""en"")"),"Under Jinyi plus more")</f>
        <v>Under Jinyi plus more</v>
      </c>
      <c r="D615" s="4" t="s">
        <v>956</v>
      </c>
      <c r="E615" s="4">
        <v>0.0</v>
      </c>
      <c r="F615" s="4">
        <v>14.0</v>
      </c>
      <c r="G615" s="4" t="s">
        <v>957</v>
      </c>
    </row>
    <row r="616">
      <c r="A616" s="1">
        <v>614.0</v>
      </c>
      <c r="B616" s="4" t="s">
        <v>933</v>
      </c>
      <c r="C616" s="5" t="str">
        <f>IFERROR(__xludf.DUMMYFUNCTION("GOOGLETRANSLATE(D:D,""auto"",""en"")"),"Musharraf's decision was canceled")</f>
        <v>Musharraf's decision was canceled</v>
      </c>
      <c r="D616" s="4" t="s">
        <v>958</v>
      </c>
      <c r="E616" s="4">
        <v>0.0</v>
      </c>
      <c r="F616" s="4">
        <v>15.0</v>
      </c>
      <c r="G616" s="4" t="s">
        <v>959</v>
      </c>
    </row>
    <row r="617">
      <c r="A617" s="1">
        <v>615.0</v>
      </c>
      <c r="B617" s="4" t="s">
        <v>933</v>
      </c>
      <c r="C617" s="5" t="str">
        <f>IFERROR(__xludf.DUMMYFUNCTION("GOOGLETRANSLATE(D:D,""auto"",""en"")"),"Sub Qiaomei Jia licensing")</f>
        <v>Sub Qiaomei Jia licensing</v>
      </c>
      <c r="D617" s="4" t="s">
        <v>887</v>
      </c>
      <c r="E617" s="4">
        <v>0.0</v>
      </c>
      <c r="F617" s="4">
        <v>16.0</v>
      </c>
      <c r="G617" s="4" t="s">
        <v>888</v>
      </c>
    </row>
    <row r="618">
      <c r="A618" s="1">
        <v>616.0</v>
      </c>
      <c r="B618" s="4" t="s">
        <v>933</v>
      </c>
      <c r="C618" s="5" t="str">
        <f>IFERROR(__xludf.DUMMYFUNCTION("GOOGLETRANSLATE(D:D,""auto"",""en"")"),"Chen Sicheng now embarrassed to speak")</f>
        <v>Chen Sicheng now embarrassed to speak</v>
      </c>
      <c r="D618" s="4" t="s">
        <v>960</v>
      </c>
      <c r="E618" s="4">
        <v>0.0</v>
      </c>
      <c r="F618" s="4">
        <v>17.0</v>
      </c>
      <c r="G618" s="4" t="s">
        <v>961</v>
      </c>
    </row>
    <row r="619">
      <c r="A619" s="1">
        <v>617.0</v>
      </c>
      <c r="B619" s="4" t="s">
        <v>933</v>
      </c>
      <c r="C619" s="5" t="str">
        <f>IFERROR(__xludf.DUMMYFUNCTION("GOOGLETRANSLATE(D:D,""auto"",""en"")"),"Mika exposed a small Yin Philippines licensing")</f>
        <v>Mika exposed a small Yin Philippines licensing</v>
      </c>
      <c r="D619" s="4" t="s">
        <v>962</v>
      </c>
      <c r="E619" s="4">
        <v>0.0</v>
      </c>
      <c r="F619" s="4">
        <v>18.0</v>
      </c>
      <c r="G619" s="4" t="s">
        <v>963</v>
      </c>
    </row>
    <row r="620">
      <c r="A620" s="1">
        <v>618.0</v>
      </c>
      <c r="B620" s="4" t="s">
        <v>933</v>
      </c>
      <c r="C620" s="5" t="str">
        <f>IFERROR(__xludf.DUMMYFUNCTION("GOOGLETRANSLATE(D:D,""auto"",""en"")"),"Inner Mongolia armed hijacking")</f>
        <v>Inner Mongolia armed hijacking</v>
      </c>
      <c r="D620" s="4" t="s">
        <v>964</v>
      </c>
      <c r="E620" s="4">
        <v>0.0</v>
      </c>
      <c r="F620" s="4">
        <v>19.0</v>
      </c>
      <c r="G620" s="4" t="s">
        <v>965</v>
      </c>
    </row>
    <row r="621">
      <c r="A621" s="1">
        <v>619.0</v>
      </c>
      <c r="B621" s="4" t="s">
        <v>933</v>
      </c>
      <c r="C621" s="5" t="str">
        <f>IFERROR(__xludf.DUMMYFUNCTION("GOOGLETRANSLATE(D:D,""auto"",""en"")"),"The United States captured the world's critically endangered biological")</f>
        <v>The United States captured the world's critically endangered biological</v>
      </c>
      <c r="D621" s="4" t="s">
        <v>966</v>
      </c>
      <c r="E621" s="4">
        <v>0.0</v>
      </c>
      <c r="F621" s="4">
        <v>20.0</v>
      </c>
      <c r="G621" s="4" t="s">
        <v>967</v>
      </c>
    </row>
    <row r="622">
      <c r="A622" s="1">
        <v>620.0</v>
      </c>
      <c r="B622" s="4" t="s">
        <v>933</v>
      </c>
      <c r="C622" s="5" t="str">
        <f>IFERROR(__xludf.DUMMYFUNCTION("GOOGLETRANSLATE(D:D,""auto"",""en"")"),"State-owned enterprises a night drinking Maotai 160 000")</f>
        <v>State-owned enterprises a night drinking Maotai 160 000</v>
      </c>
      <c r="D622" s="4" t="s">
        <v>968</v>
      </c>
      <c r="E622" s="4">
        <v>0.0</v>
      </c>
      <c r="F622" s="4">
        <v>21.0</v>
      </c>
      <c r="G622" s="4" t="s">
        <v>969</v>
      </c>
    </row>
    <row r="623">
      <c r="A623" s="1">
        <v>621.0</v>
      </c>
      <c r="B623" s="4" t="s">
        <v>933</v>
      </c>
      <c r="C623" s="5" t="str">
        <f>IFERROR(__xludf.DUMMYFUNCTION("GOOGLETRANSLATE(D:D,""auto"",""en"")"),"Pace out very pregnant belly")</f>
        <v>Pace out very pregnant belly</v>
      </c>
      <c r="D623" s="4" t="s">
        <v>970</v>
      </c>
      <c r="E623" s="4">
        <v>0.0</v>
      </c>
      <c r="F623" s="4">
        <v>22.0</v>
      </c>
      <c r="G623" s="4" t="s">
        <v>971</v>
      </c>
    </row>
    <row r="624">
      <c r="A624" s="1">
        <v>622.0</v>
      </c>
      <c r="B624" s="4" t="s">
        <v>933</v>
      </c>
      <c r="C624" s="5" t="str">
        <f>IFERROR(__xludf.DUMMYFUNCTION("GOOGLETRANSLATE(D:D,""auto"",""en"")"),"Xiaozhan retro disco")</f>
        <v>Xiaozhan retro disco</v>
      </c>
      <c r="D624" s="4" t="s">
        <v>972</v>
      </c>
      <c r="E624" s="4">
        <v>0.0</v>
      </c>
      <c r="F624" s="4">
        <v>23.0</v>
      </c>
      <c r="G624" s="4" t="s">
        <v>973</v>
      </c>
    </row>
    <row r="625">
      <c r="A625" s="1">
        <v>623.0</v>
      </c>
      <c r="B625" s="4" t="s">
        <v>933</v>
      </c>
      <c r="C625" s="5" t="str">
        <f>IFERROR(__xludf.DUMMYFUNCTION("GOOGLETRANSLATE(D:D,""auto"",""en"")"),"Iraq severely revenge entry into force of motion")</f>
        <v>Iraq severely revenge entry into force of motion</v>
      </c>
      <c r="D625" s="4" t="s">
        <v>974</v>
      </c>
      <c r="E625" s="4">
        <v>0.0</v>
      </c>
      <c r="F625" s="4">
        <v>24.0</v>
      </c>
      <c r="G625" s="4" t="s">
        <v>975</v>
      </c>
    </row>
    <row r="626">
      <c r="A626" s="1">
        <v>624.0</v>
      </c>
      <c r="B626" s="4" t="s">
        <v>933</v>
      </c>
      <c r="C626" s="5" t="str">
        <f>IFERROR(__xludf.DUMMYFUNCTION("GOOGLETRANSLATE(D:D,""auto"",""en"")"),"LPL spring season opener")</f>
        <v>LPL spring season opener</v>
      </c>
      <c r="D626" s="4" t="s">
        <v>976</v>
      </c>
      <c r="E626" s="4">
        <v>0.0</v>
      </c>
      <c r="F626" s="4">
        <v>25.0</v>
      </c>
      <c r="G626" s="4" t="s">
        <v>977</v>
      </c>
    </row>
    <row r="627">
      <c r="A627" s="1">
        <v>625.0</v>
      </c>
      <c r="B627" s="4" t="s">
        <v>933</v>
      </c>
      <c r="C627" s="5" t="str">
        <f>IFERROR(__xludf.DUMMYFUNCTION("GOOGLETRANSLATE(D:D,""auto"",""en"")"),"Zhao Rui Lin heads-flat")</f>
        <v>Zhao Rui Lin heads-flat</v>
      </c>
      <c r="D627" s="4" t="s">
        <v>889</v>
      </c>
      <c r="E627" s="4">
        <v>0.0</v>
      </c>
      <c r="F627" s="4">
        <v>26.0</v>
      </c>
      <c r="G627" s="4" t="s">
        <v>890</v>
      </c>
    </row>
    <row r="628">
      <c r="A628" s="1">
        <v>626.0</v>
      </c>
      <c r="B628" s="4" t="s">
        <v>933</v>
      </c>
      <c r="C628" s="5" t="str">
        <f>IFERROR(__xludf.DUMMYFUNCTION("GOOGLETRANSLATE(D:D,""auto"",""en"")"),"Zhou deep Hacken Lee sing Cantonese song")</f>
        <v>Zhou deep Hacken Lee sing Cantonese song</v>
      </c>
      <c r="D628" s="4" t="s">
        <v>978</v>
      </c>
      <c r="E628" s="4">
        <v>0.0</v>
      </c>
      <c r="F628" s="4">
        <v>27.0</v>
      </c>
      <c r="G628" s="4" t="s">
        <v>979</v>
      </c>
    </row>
    <row r="629">
      <c r="A629" s="1">
        <v>627.0</v>
      </c>
      <c r="B629" s="4" t="s">
        <v>933</v>
      </c>
      <c r="C629" s="5" t="str">
        <f>IFERROR(__xludf.DUMMYFUNCTION("GOOGLETRANSLATE(D:D,""auto"",""en"")"),"Negotiator 5 Open record")</f>
        <v>Negotiator 5 Open record</v>
      </c>
      <c r="D629" s="4" t="s">
        <v>980</v>
      </c>
      <c r="E629" s="4">
        <v>0.0</v>
      </c>
      <c r="F629" s="4">
        <v>28.0</v>
      </c>
      <c r="G629" s="4" t="s">
        <v>981</v>
      </c>
    </row>
    <row r="630">
      <c r="A630" s="1">
        <v>628.0</v>
      </c>
      <c r="B630" s="4" t="s">
        <v>933</v>
      </c>
      <c r="C630" s="5" t="str">
        <f>IFERROR(__xludf.DUMMYFUNCTION("GOOGLETRANSLATE(D:D,""auto"",""en"")"),"Du Feng Chen Linjian kissing")</f>
        <v>Du Feng Chen Linjian kissing</v>
      </c>
      <c r="D630" s="4" t="s">
        <v>982</v>
      </c>
      <c r="E630" s="4">
        <v>0.0</v>
      </c>
      <c r="F630" s="4">
        <v>29.0</v>
      </c>
      <c r="G630" s="4" t="s">
        <v>983</v>
      </c>
    </row>
    <row r="631">
      <c r="A631" s="1">
        <v>629.0</v>
      </c>
      <c r="B631" s="4" t="s">
        <v>933</v>
      </c>
      <c r="C631" s="5" t="str">
        <f>IFERROR(__xludf.DUMMYFUNCTION("GOOGLETRANSLATE(D:D,""auto"",""en"")"),"Circle of friends Tucao police detained")</f>
        <v>Circle of friends Tucao police detained</v>
      </c>
      <c r="D631" s="4" t="s">
        <v>984</v>
      </c>
      <c r="E631" s="4">
        <v>0.0</v>
      </c>
      <c r="F631" s="4">
        <v>30.0</v>
      </c>
      <c r="G631" s="4" t="s">
        <v>985</v>
      </c>
    </row>
    <row r="632">
      <c r="A632" s="1">
        <v>630.0</v>
      </c>
      <c r="B632" s="4" t="s">
        <v>933</v>
      </c>
      <c r="C632" s="5" t="str">
        <f>IFERROR(__xludf.DUMMYFUNCTION("GOOGLETRANSLATE(D:D,""auto"",""en"")"),"Hao Yun wife recurrence of a long article")</f>
        <v>Hao Yun wife recurrence of a long article</v>
      </c>
      <c r="D632" s="4" t="s">
        <v>879</v>
      </c>
      <c r="E632" s="4">
        <v>0.0</v>
      </c>
      <c r="F632" s="4">
        <v>31.0</v>
      </c>
      <c r="G632" s="4" t="s">
        <v>880</v>
      </c>
    </row>
    <row r="633">
      <c r="A633" s="1">
        <v>631.0</v>
      </c>
      <c r="B633" s="4" t="s">
        <v>933</v>
      </c>
      <c r="C633" s="5" t="str">
        <f>IFERROR(__xludf.DUMMYFUNCTION("GOOGLETRANSLATE(D:D,""auto"",""en"")"),"Missed the Tokyo Olympic Games")</f>
        <v>Missed the Tokyo Olympic Games</v>
      </c>
      <c r="D633" s="4" t="s">
        <v>986</v>
      </c>
      <c r="E633" s="4">
        <v>0.0</v>
      </c>
      <c r="F633" s="4">
        <v>32.0</v>
      </c>
      <c r="G633" s="4" t="s">
        <v>987</v>
      </c>
    </row>
    <row r="634">
      <c r="A634" s="1">
        <v>632.0</v>
      </c>
      <c r="B634" s="4" t="s">
        <v>933</v>
      </c>
      <c r="C634" s="5" t="str">
        <f>IFERROR(__xludf.DUMMYFUNCTION("GOOGLETRANSLATE(D:D,""auto"",""en"")"),"Kenneth Ma won TVB as the Emperor")</f>
        <v>Kenneth Ma won TVB as the Emperor</v>
      </c>
      <c r="D634" s="4" t="s">
        <v>988</v>
      </c>
      <c r="E634" s="4">
        <v>0.0</v>
      </c>
      <c r="F634" s="4">
        <v>33.0</v>
      </c>
      <c r="G634" s="4" t="s">
        <v>989</v>
      </c>
    </row>
    <row r="635">
      <c r="A635" s="1">
        <v>633.0</v>
      </c>
      <c r="B635" s="4" t="s">
        <v>933</v>
      </c>
      <c r="C635" s="5" t="str">
        <f>IFERROR(__xludf.DUMMYFUNCTION("GOOGLETRANSLATE(D:D,""auto"",""en"")"),"Jingdong bug brutally pull out wool")</f>
        <v>Jingdong bug brutally pull out wool</v>
      </c>
      <c r="D635" s="4" t="s">
        <v>863</v>
      </c>
      <c r="E635" s="4">
        <v>0.0</v>
      </c>
      <c r="F635" s="4">
        <v>34.0</v>
      </c>
      <c r="G635" s="4" t="s">
        <v>864</v>
      </c>
    </row>
    <row r="636">
      <c r="A636" s="1">
        <v>634.0</v>
      </c>
      <c r="B636" s="4" t="s">
        <v>933</v>
      </c>
      <c r="C636" s="5" t="str">
        <f>IFERROR(__xludf.DUMMYFUNCTION("GOOGLETRANSLATE(D:D,""auto"",""en"")"),"Hao Yun wife and then issued a complaint")</f>
        <v>Hao Yun wife and then issued a complaint</v>
      </c>
      <c r="D636" s="4" t="s">
        <v>990</v>
      </c>
      <c r="E636" s="4">
        <v>0.0</v>
      </c>
      <c r="F636" s="4">
        <v>35.0</v>
      </c>
      <c r="G636" s="4" t="s">
        <v>991</v>
      </c>
    </row>
    <row r="637">
      <c r="A637" s="1">
        <v>635.0</v>
      </c>
      <c r="B637" s="4" t="s">
        <v>933</v>
      </c>
      <c r="C637" s="5" t="str">
        <f>IFERROR(__xludf.DUMMYFUNCTION("GOOGLETRANSLATE(D:D,""auto"",""en"")"),"The Fountain Springs Scenic change shout")</f>
        <v>The Fountain Springs Scenic change shout</v>
      </c>
      <c r="D637" s="4" t="s">
        <v>921</v>
      </c>
      <c r="E637" s="4">
        <v>0.0</v>
      </c>
      <c r="F637" s="4">
        <v>36.0</v>
      </c>
      <c r="G637" s="4" t="s">
        <v>922</v>
      </c>
    </row>
    <row r="638">
      <c r="A638" s="1">
        <v>636.0</v>
      </c>
      <c r="B638" s="4" t="s">
        <v>933</v>
      </c>
      <c r="C638" s="5" t="str">
        <f>IFERROR(__xludf.DUMMYFUNCTION("GOOGLETRANSLATE(D:D,""auto"",""en"")"),"Foxconn India plant shut down")</f>
        <v>Foxconn India plant shut down</v>
      </c>
      <c r="D638" s="4" t="s">
        <v>992</v>
      </c>
      <c r="E638" s="4">
        <v>0.0</v>
      </c>
      <c r="F638" s="4">
        <v>37.0</v>
      </c>
      <c r="G638" s="4" t="s">
        <v>993</v>
      </c>
    </row>
    <row r="639">
      <c r="A639" s="1">
        <v>637.0</v>
      </c>
      <c r="B639" s="4" t="s">
        <v>933</v>
      </c>
      <c r="C639" s="5" t="str">
        <f>IFERROR(__xludf.DUMMYFUNCTION("GOOGLETRANSLATE(D:D,""auto"",""en"")"),"Protests in Iran")</f>
        <v>Protests in Iran</v>
      </c>
      <c r="D639" s="4" t="s">
        <v>917</v>
      </c>
      <c r="E639" s="4">
        <v>0.0</v>
      </c>
      <c r="F639" s="4">
        <v>38.0</v>
      </c>
      <c r="G639" s="4" t="s">
        <v>918</v>
      </c>
    </row>
    <row r="640">
      <c r="A640" s="1">
        <v>638.0</v>
      </c>
      <c r="B640" s="4" t="s">
        <v>933</v>
      </c>
      <c r="C640" s="5" t="str">
        <f>IFERROR(__xludf.DUMMYFUNCTION("GOOGLETRANSLATE(D:D,""auto"",""en"")"),"Ranking in national housing prices")</f>
        <v>Ranking in national housing prices</v>
      </c>
      <c r="D640" s="4" t="s">
        <v>859</v>
      </c>
      <c r="E640" s="4">
        <v>0.0</v>
      </c>
      <c r="F640" s="4">
        <v>39.0</v>
      </c>
      <c r="G640" s="4" t="s">
        <v>860</v>
      </c>
    </row>
    <row r="641">
      <c r="A641" s="1">
        <v>639.0</v>
      </c>
      <c r="B641" s="4" t="s">
        <v>933</v>
      </c>
      <c r="C641" s="5" t="str">
        <f>IFERROR(__xludf.DUMMYFUNCTION("GOOGLETRANSLATE(D:D,""auto"",""en"")"),"Philippines Taal Volcano eruption")</f>
        <v>Philippines Taal Volcano eruption</v>
      </c>
      <c r="D641" s="4" t="s">
        <v>994</v>
      </c>
      <c r="E641" s="4">
        <v>0.0</v>
      </c>
      <c r="F641" s="4">
        <v>40.0</v>
      </c>
      <c r="G641" s="4" t="s">
        <v>995</v>
      </c>
    </row>
    <row r="642">
      <c r="A642" s="1">
        <v>640.0</v>
      </c>
      <c r="B642" s="4" t="s">
        <v>933</v>
      </c>
      <c r="C642" s="5" t="str">
        <f>IFERROR(__xludf.DUMMYFUNCTION("GOOGLETRANSLATE(D:D,""auto"",""en"")"),"Zhang Changning visit the set Wu Guanxi")</f>
        <v>Zhang Changning visit the set Wu Guanxi</v>
      </c>
      <c r="D642" s="4" t="s">
        <v>903</v>
      </c>
      <c r="E642" s="4">
        <v>0.0</v>
      </c>
      <c r="F642" s="4">
        <v>41.0</v>
      </c>
      <c r="G642" s="4" t="s">
        <v>904</v>
      </c>
    </row>
    <row r="643">
      <c r="A643" s="1">
        <v>641.0</v>
      </c>
      <c r="B643" s="4" t="s">
        <v>933</v>
      </c>
      <c r="C643" s="5" t="str">
        <f>IFERROR(__xludf.DUMMYFUNCTION("GOOGLETRANSLATE(D:D,""auto"",""en"")"),"Cut spend 1500 yuan flat")</f>
        <v>Cut spend 1500 yuan flat</v>
      </c>
      <c r="D643" s="4" t="s">
        <v>996</v>
      </c>
      <c r="E643" s="4">
        <v>0.0</v>
      </c>
      <c r="F643" s="4">
        <v>42.0</v>
      </c>
      <c r="G643" s="4" t="s">
        <v>997</v>
      </c>
    </row>
    <row r="644">
      <c r="A644" s="1">
        <v>642.0</v>
      </c>
      <c r="B644" s="4" t="s">
        <v>933</v>
      </c>
      <c r="C644" s="5" t="str">
        <f>IFERROR(__xludf.DUMMYFUNCTION("GOOGLETRANSLATE(D:D,""auto"",""en"")"),"Hengda national security blockbuster deal")</f>
        <v>Hengda national security blockbuster deal</v>
      </c>
      <c r="D644" s="4" t="s">
        <v>895</v>
      </c>
      <c r="E644" s="4">
        <v>0.0</v>
      </c>
      <c r="F644" s="4">
        <v>43.0</v>
      </c>
      <c r="G644" s="4" t="s">
        <v>896</v>
      </c>
    </row>
    <row r="645">
      <c r="A645" s="1">
        <v>643.0</v>
      </c>
      <c r="B645" s="4" t="s">
        <v>933</v>
      </c>
      <c r="C645" s="5" t="str">
        <f>IFERROR(__xludf.DUMMYFUNCTION("GOOGLETRANSLATE(D:D,""auto"",""en"")"),"Iranian special forces ambush")</f>
        <v>Iranian special forces ambush</v>
      </c>
      <c r="D645" s="4" t="s">
        <v>915</v>
      </c>
      <c r="E645" s="4">
        <v>0.0</v>
      </c>
      <c r="F645" s="4">
        <v>44.0</v>
      </c>
      <c r="G645" s="4" t="s">
        <v>916</v>
      </c>
    </row>
    <row r="646">
      <c r="A646" s="1">
        <v>644.0</v>
      </c>
      <c r="B646" s="4" t="s">
        <v>933</v>
      </c>
      <c r="C646" s="5" t="str">
        <f>IFERROR(__xludf.DUMMYFUNCTION("GOOGLETRANSLATE(D:D,""auto"",""en"")"),"Chen Yufei women's singles title")</f>
        <v>Chen Yufei women's singles title</v>
      </c>
      <c r="D646" s="4" t="s">
        <v>877</v>
      </c>
      <c r="E646" s="4">
        <v>0.0</v>
      </c>
      <c r="F646" s="4">
        <v>45.0</v>
      </c>
      <c r="G646" s="4" t="s">
        <v>878</v>
      </c>
    </row>
    <row r="647">
      <c r="A647" s="1">
        <v>645.0</v>
      </c>
      <c r="B647" s="4" t="s">
        <v>933</v>
      </c>
      <c r="C647" s="5" t="str">
        <f>IFERROR(__xludf.DUMMYFUNCTION("GOOGLETRANSLATE(D:D,""auto"",""en"")"),"Carina Lau explosion head shape")</f>
        <v>Carina Lau explosion head shape</v>
      </c>
      <c r="D647" s="4" t="s">
        <v>998</v>
      </c>
      <c r="E647" s="4">
        <v>0.0</v>
      </c>
      <c r="F647" s="4">
        <v>46.0</v>
      </c>
      <c r="G647" s="4" t="s">
        <v>999</v>
      </c>
    </row>
    <row r="648">
      <c r="A648" s="1">
        <v>646.0</v>
      </c>
      <c r="B648" s="4" t="s">
        <v>933</v>
      </c>
      <c r="C648" s="5" t="str">
        <f>IFERROR(__xludf.DUMMYFUNCTION("GOOGLETRANSLATE(D:D,""auto"",""en"")"),"Take South Korea, for example Trump")</f>
        <v>Take South Korea, for example Trump</v>
      </c>
      <c r="D648" s="4" t="s">
        <v>1000</v>
      </c>
      <c r="E648" s="4">
        <v>0.0</v>
      </c>
      <c r="F648" s="4">
        <v>47.0</v>
      </c>
      <c r="G648" s="4" t="s">
        <v>1001</v>
      </c>
    </row>
    <row r="649">
      <c r="A649" s="1">
        <v>647.0</v>
      </c>
      <c r="B649" s="4" t="s">
        <v>933</v>
      </c>
      <c r="C649" s="5" t="str">
        <f>IFERROR(__xludf.DUMMYFUNCTION("GOOGLETRANSLATE(D:D,""auto"",""en"")"),"GAI Sun Yue Hu Mingxuan Chorus")</f>
        <v>GAI Sun Yue Hu Mingxuan Chorus</v>
      </c>
      <c r="D649" s="4" t="s">
        <v>1002</v>
      </c>
      <c r="E649" s="4">
        <v>0.0</v>
      </c>
      <c r="F649" s="4">
        <v>48.0</v>
      </c>
      <c r="G649" s="4" t="s">
        <v>1003</v>
      </c>
    </row>
    <row r="650">
      <c r="A650" s="1">
        <v>648.0</v>
      </c>
      <c r="B650" s="4" t="s">
        <v>933</v>
      </c>
      <c r="C650" s="5" t="str">
        <f>IFERROR(__xludf.DUMMYFUNCTION("GOOGLETRANSLATE(D:D,""auto"",""en"")"),"Hukou Waterfall ice icefall now")</f>
        <v>Hukou Waterfall ice icefall now</v>
      </c>
      <c r="D650" s="4" t="s">
        <v>1004</v>
      </c>
      <c r="E650" s="4">
        <v>0.0</v>
      </c>
      <c r="F650" s="4">
        <v>49.0</v>
      </c>
      <c r="G650" s="4" t="s">
        <v>1005</v>
      </c>
    </row>
    <row r="651">
      <c r="A651" s="1">
        <v>649.0</v>
      </c>
      <c r="B651" s="4" t="s">
        <v>933</v>
      </c>
      <c r="C651" s="5" t="str">
        <f>IFERROR(__xludf.DUMMYFUNCTION("GOOGLETRANSLATE(D:D,""auto"",""en"")"),"Zhang Chao sentencing retrial case")</f>
        <v>Zhang Chao sentencing retrial case</v>
      </c>
      <c r="D651" s="4" t="s">
        <v>1006</v>
      </c>
      <c r="E651" s="4">
        <v>0.0</v>
      </c>
      <c r="F651" s="4">
        <v>50.0</v>
      </c>
      <c r="G651" s="4" t="s">
        <v>1007</v>
      </c>
    </row>
    <row r="652">
      <c r="A652" s="1">
        <v>650.0</v>
      </c>
      <c r="B652" s="4" t="s">
        <v>1008</v>
      </c>
      <c r="C652" s="5" t="str">
        <f>IFERROR(__xludf.DUMMYFUNCTION("GOOGLETRANSLATE(D:D,""auto"",""en"")"),"Musharraf's decision was canceled")</f>
        <v>Musharraf's decision was canceled</v>
      </c>
      <c r="D652" s="4" t="s">
        <v>958</v>
      </c>
      <c r="E652" s="4">
        <v>0.0</v>
      </c>
      <c r="F652" s="4">
        <v>1.0</v>
      </c>
      <c r="G652" s="4" t="s">
        <v>959</v>
      </c>
    </row>
    <row r="653">
      <c r="A653" s="1">
        <v>651.0</v>
      </c>
      <c r="B653" s="4" t="s">
        <v>1008</v>
      </c>
      <c r="C653" s="5" t="str">
        <f>IFERROR(__xludf.DUMMYFUNCTION("GOOGLETRANSLATE(D:D,""auto"",""en"")"),"Busy message back his son accidentally")</f>
        <v>Busy message back his son accidentally</v>
      </c>
      <c r="D653" s="4" t="s">
        <v>1009</v>
      </c>
      <c r="E653" s="4">
        <v>0.0</v>
      </c>
      <c r="F653" s="4">
        <v>2.0</v>
      </c>
      <c r="G653" s="4" t="s">
        <v>1010</v>
      </c>
    </row>
    <row r="654">
      <c r="A654" s="1">
        <v>652.0</v>
      </c>
      <c r="B654" s="4" t="s">
        <v>1008</v>
      </c>
      <c r="C654" s="5" t="str">
        <f>IFERROR(__xludf.DUMMYFUNCTION("GOOGLETRANSLATE(D:D,""auto"",""en"")"),"Xining subsidence occurred")</f>
        <v>Xining subsidence occurred</v>
      </c>
      <c r="D654" s="4" t="s">
        <v>954</v>
      </c>
      <c r="E654" s="4">
        <v>0.0</v>
      </c>
      <c r="F654" s="4">
        <v>3.0</v>
      </c>
      <c r="G654" s="4" t="s">
        <v>955</v>
      </c>
    </row>
    <row r="655">
      <c r="A655" s="1">
        <v>653.0</v>
      </c>
      <c r="B655" s="4" t="s">
        <v>1008</v>
      </c>
      <c r="C655" s="5" t="str">
        <f>IFERROR(__xludf.DUMMYFUNCTION("GOOGLETRANSLATE(D:D,""auto"",""en"")"),"Megan cried stress exposure")</f>
        <v>Megan cried stress exposure</v>
      </c>
      <c r="D655" s="4" t="s">
        <v>1011</v>
      </c>
      <c r="E655" s="4">
        <v>0.0</v>
      </c>
      <c r="F655" s="4">
        <v>4.0</v>
      </c>
      <c r="G655" s="4" t="s">
        <v>1012</v>
      </c>
    </row>
    <row r="656">
      <c r="A656" s="1">
        <v>654.0</v>
      </c>
      <c r="B656" s="4" t="s">
        <v>1008</v>
      </c>
      <c r="C656" s="5" t="str">
        <f>IFERROR(__xludf.DUMMYFUNCTION("GOOGLETRANSLATE(D:D,""auto"",""en"")"),"Under Jinyi plus more")</f>
        <v>Under Jinyi plus more</v>
      </c>
      <c r="D656" s="4" t="s">
        <v>956</v>
      </c>
      <c r="E656" s="4">
        <v>0.0</v>
      </c>
      <c r="F656" s="4">
        <v>5.0</v>
      </c>
      <c r="G656" s="4" t="s">
        <v>957</v>
      </c>
    </row>
    <row r="657">
      <c r="A657" s="1">
        <v>655.0</v>
      </c>
      <c r="B657" s="4" t="s">
        <v>1008</v>
      </c>
      <c r="C657" s="5" t="str">
        <f>IFERROR(__xludf.DUMMYFUNCTION("GOOGLETRANSLATE(D:D,""auto"",""en"")"),"43 kg poor girl died")</f>
        <v>43 kg poor girl died</v>
      </c>
      <c r="D657" s="4" t="s">
        <v>1013</v>
      </c>
      <c r="E657" s="4">
        <v>0.0</v>
      </c>
      <c r="F657" s="4">
        <v>6.0</v>
      </c>
      <c r="G657" s="4" t="s">
        <v>1014</v>
      </c>
    </row>
    <row r="658">
      <c r="A658" s="1">
        <v>656.0</v>
      </c>
      <c r="B658" s="4" t="s">
        <v>1008</v>
      </c>
      <c r="C658" s="5" t="str">
        <f>IFERROR(__xludf.DUMMYFUNCTION("GOOGLETRANSLATE(D:D,""auto"",""en"")"),"If Zhang Yun Fan busy posting farewell")</f>
        <v>If Zhang Yun Fan busy posting farewell</v>
      </c>
      <c r="D658" s="4" t="s">
        <v>1015</v>
      </c>
      <c r="E658" s="4">
        <v>0.0</v>
      </c>
      <c r="F658" s="4">
        <v>7.0</v>
      </c>
      <c r="G658" s="4" t="s">
        <v>1016</v>
      </c>
    </row>
    <row r="659">
      <c r="A659" s="1">
        <v>657.0</v>
      </c>
      <c r="B659" s="4" t="s">
        <v>1008</v>
      </c>
      <c r="C659" s="5" t="str">
        <f>IFERROR(__xludf.DUMMYFUNCTION("GOOGLETRANSLATE(D:D,""auto"",""en"")"),"SM denied Admiralty big way wedding")</f>
        <v>SM denied Admiralty big way wedding</v>
      </c>
      <c r="D659" s="4" t="s">
        <v>1017</v>
      </c>
      <c r="E659" s="4">
        <v>0.0</v>
      </c>
      <c r="F659" s="4">
        <v>8.0</v>
      </c>
      <c r="G659" s="4" t="s">
        <v>1018</v>
      </c>
    </row>
    <row r="660">
      <c r="A660" s="1">
        <v>658.0</v>
      </c>
      <c r="B660" s="4" t="s">
        <v>1008</v>
      </c>
      <c r="C660" s="5" t="str">
        <f>IFERROR(__xludf.DUMMYFUNCTION("GOOGLETRANSLATE(D:D,""auto"",""en"")"),"Wanji Technology 2019 Results")</f>
        <v>Wanji Technology 2019 Results</v>
      </c>
      <c r="D660" s="4" t="s">
        <v>1019</v>
      </c>
      <c r="E660" s="4">
        <v>0.0</v>
      </c>
      <c r="F660" s="4">
        <v>9.0</v>
      </c>
      <c r="G660" s="4" t="s">
        <v>1020</v>
      </c>
    </row>
    <row r="661">
      <c r="A661" s="1">
        <v>659.0</v>
      </c>
      <c r="B661" s="4" t="s">
        <v>1008</v>
      </c>
      <c r="C661" s="5" t="str">
        <f>IFERROR(__xludf.DUMMYFUNCTION("GOOGLETRANSLATE(D:D,""auto"",""en"")"),"Jingdong response is pull out wool")</f>
        <v>Jingdong response is pull out wool</v>
      </c>
      <c r="D661" s="4" t="s">
        <v>1021</v>
      </c>
      <c r="E661" s="4">
        <v>0.0</v>
      </c>
      <c r="F661" s="4">
        <v>10.0</v>
      </c>
      <c r="G661" s="4" t="s">
        <v>1022</v>
      </c>
    </row>
    <row r="662">
      <c r="A662" s="1">
        <v>660.0</v>
      </c>
      <c r="B662" s="4" t="s">
        <v>1008</v>
      </c>
      <c r="C662" s="5" t="str">
        <f>IFERROR(__xludf.DUMMYFUNCTION("GOOGLETRANSLATE(D:D,""auto"",""en"")"),"Kato announced their divorce in yarn")</f>
        <v>Kato announced their divorce in yarn</v>
      </c>
      <c r="D662" s="4" t="s">
        <v>1023</v>
      </c>
      <c r="E662" s="4">
        <v>0.0</v>
      </c>
      <c r="F662" s="4">
        <v>11.0</v>
      </c>
      <c r="G662" s="4" t="s">
        <v>1024</v>
      </c>
    </row>
    <row r="663">
      <c r="A663" s="1">
        <v>661.0</v>
      </c>
      <c r="B663" s="4" t="s">
        <v>1008</v>
      </c>
      <c r="C663" s="5" t="str">
        <f>IFERROR(__xludf.DUMMYFUNCTION("GOOGLETRANSLATE(D:D,""auto"",""en"")"),"Jiaojun Yan talk about Godfrey")</f>
        <v>Jiaojun Yan talk about Godfrey</v>
      </c>
      <c r="D663" s="4" t="s">
        <v>1025</v>
      </c>
      <c r="E663" s="4">
        <v>0.0</v>
      </c>
      <c r="F663" s="4">
        <v>12.0</v>
      </c>
      <c r="G663" s="4" t="s">
        <v>1026</v>
      </c>
    </row>
    <row r="664">
      <c r="A664" s="1">
        <v>662.0</v>
      </c>
      <c r="B664" s="4" t="s">
        <v>1008</v>
      </c>
      <c r="C664" s="5" t="str">
        <f>IFERROR(__xludf.DUMMYFUNCTION("GOOGLETRANSLATE(D:D,""auto"",""en"")"),"A text message caused bankrupt")</f>
        <v>A text message caused bankrupt</v>
      </c>
      <c r="D664" s="4" t="s">
        <v>1027</v>
      </c>
      <c r="E664" s="4">
        <v>0.0</v>
      </c>
      <c r="F664" s="4">
        <v>13.0</v>
      </c>
      <c r="G664" s="4" t="s">
        <v>1028</v>
      </c>
    </row>
    <row r="665">
      <c r="A665" s="1">
        <v>663.0</v>
      </c>
      <c r="B665" s="4" t="s">
        <v>1008</v>
      </c>
      <c r="C665" s="5" t="str">
        <f>IFERROR(__xludf.DUMMYFUNCTION("GOOGLETRANSLATE(D:D,""auto"",""en"")"),"Ni Ping hospital Zhongxiang")</f>
        <v>Ni Ping hospital Zhongxiang</v>
      </c>
      <c r="D665" s="4" t="s">
        <v>1029</v>
      </c>
      <c r="E665" s="4">
        <v>0.0</v>
      </c>
      <c r="F665" s="4">
        <v>14.0</v>
      </c>
      <c r="G665" s="4" t="s">
        <v>1030</v>
      </c>
    </row>
    <row r="666">
      <c r="A666" s="1">
        <v>664.0</v>
      </c>
      <c r="B666" s="4" t="s">
        <v>1008</v>
      </c>
      <c r="C666" s="5" t="str">
        <f>IFERROR(__xludf.DUMMYFUNCTION("GOOGLETRANSLATE(D:D,""auto"",""en"")"),"Exposure traitor betray Sulejmani")</f>
        <v>Exposure traitor betray Sulejmani</v>
      </c>
      <c r="D666" s="4" t="s">
        <v>1031</v>
      </c>
      <c r="E666" s="4">
        <v>0.0</v>
      </c>
      <c r="F666" s="4">
        <v>15.0</v>
      </c>
      <c r="G666" s="4" t="s">
        <v>1032</v>
      </c>
    </row>
    <row r="667">
      <c r="A667" s="1">
        <v>665.0</v>
      </c>
      <c r="B667" s="4" t="s">
        <v>1008</v>
      </c>
      <c r="C667" s="5" t="str">
        <f>IFERROR(__xludf.DUMMYFUNCTION("GOOGLETRANSLATE(D:D,""auto"",""en"")"),"And tick drops to be interviewed")</f>
        <v>And tick drops to be interviewed</v>
      </c>
      <c r="D667" s="4" t="s">
        <v>1033</v>
      </c>
      <c r="E667" s="4">
        <v>0.0</v>
      </c>
      <c r="F667" s="4">
        <v>16.0</v>
      </c>
      <c r="G667" s="4" t="s">
        <v>1034</v>
      </c>
    </row>
    <row r="668">
      <c r="A668" s="1">
        <v>666.0</v>
      </c>
      <c r="B668" s="4" t="s">
        <v>1008</v>
      </c>
      <c r="C668" s="5" t="str">
        <f>IFERROR(__xludf.DUMMYFUNCTION("GOOGLETRANSLATE(D:D,""auto"",""en"")"),"Howard 21 points and 15 rebounds")</f>
        <v>Howard 21 points and 15 rebounds</v>
      </c>
      <c r="D668" s="4" t="s">
        <v>1035</v>
      </c>
      <c r="E668" s="4">
        <v>0.0</v>
      </c>
      <c r="F668" s="4">
        <v>17.0</v>
      </c>
      <c r="G668" s="4" t="s">
        <v>1036</v>
      </c>
    </row>
    <row r="669">
      <c r="A669" s="1">
        <v>667.0</v>
      </c>
      <c r="B669" s="4" t="s">
        <v>1008</v>
      </c>
      <c r="C669" s="5" t="str">
        <f>IFERROR(__xludf.DUMMYFUNCTION("GOOGLETRANSLATE(D:D,""auto"",""en"")"),"Zhuhai, a petrochemical plant explosion")</f>
        <v>Zhuhai, a petrochemical plant explosion</v>
      </c>
      <c r="D669" s="4" t="s">
        <v>1037</v>
      </c>
      <c r="E669" s="4">
        <v>0.0</v>
      </c>
      <c r="F669" s="4">
        <v>18.0</v>
      </c>
      <c r="G669" s="4" t="s">
        <v>1038</v>
      </c>
    </row>
    <row r="670">
      <c r="A670" s="1">
        <v>668.0</v>
      </c>
      <c r="B670" s="4" t="s">
        <v>1008</v>
      </c>
      <c r="C670" s="5" t="str">
        <f>IFERROR(__xludf.DUMMYFUNCTION("GOOGLETRANSLATE(D:D,""auto"",""en"")"),"Aerial Xining pavement collapse")</f>
        <v>Aerial Xining pavement collapse</v>
      </c>
      <c r="D670" s="4" t="s">
        <v>1039</v>
      </c>
      <c r="E670" s="4">
        <v>0.0</v>
      </c>
      <c r="F670" s="4">
        <v>19.0</v>
      </c>
      <c r="G670" s="4" t="s">
        <v>1040</v>
      </c>
    </row>
    <row r="671">
      <c r="A671" s="1">
        <v>669.0</v>
      </c>
      <c r="B671" s="4" t="s">
        <v>1008</v>
      </c>
      <c r="C671" s="5" t="str">
        <f>IFERROR(__xludf.DUMMYFUNCTION("GOOGLETRANSLATE(D:D,""auto"",""en"")"),"2020 Spring Festival Evening official declared at the venue")</f>
        <v>2020 Spring Festival Evening official declared at the venue</v>
      </c>
      <c r="D671" s="4" t="s">
        <v>1041</v>
      </c>
      <c r="E671" s="4">
        <v>0.0</v>
      </c>
      <c r="F671" s="4">
        <v>20.0</v>
      </c>
      <c r="G671" s="4" t="s">
        <v>1042</v>
      </c>
    </row>
    <row r="672">
      <c r="A672" s="1">
        <v>670.0</v>
      </c>
      <c r="B672" s="4" t="s">
        <v>1008</v>
      </c>
      <c r="C672" s="5" t="str">
        <f>IFERROR(__xludf.DUMMYFUNCTION("GOOGLETRANSLATE(D:D,""auto"",""en"")"),"Iraq Moderator resign because of the crash")</f>
        <v>Iraq Moderator resign because of the crash</v>
      </c>
      <c r="D672" s="4" t="s">
        <v>1043</v>
      </c>
      <c r="E672" s="4">
        <v>0.0</v>
      </c>
      <c r="F672" s="4">
        <v>21.0</v>
      </c>
      <c r="G672" s="4" t="s">
        <v>1044</v>
      </c>
    </row>
    <row r="673">
      <c r="A673" s="1">
        <v>671.0</v>
      </c>
      <c r="B673" s="4" t="s">
        <v>1008</v>
      </c>
      <c r="C673" s="5" t="str">
        <f>IFERROR(__xludf.DUMMYFUNCTION("GOOGLETRANSLATE(D:D,""auto"",""en"")"),"The first live birth robot")</f>
        <v>The first live birth robot</v>
      </c>
      <c r="D673" s="4" t="s">
        <v>1045</v>
      </c>
      <c r="E673" s="4">
        <v>0.0</v>
      </c>
      <c r="F673" s="4">
        <v>22.0</v>
      </c>
      <c r="G673" s="4" t="s">
        <v>1046</v>
      </c>
    </row>
    <row r="674">
      <c r="A674" s="1">
        <v>672.0</v>
      </c>
      <c r="B674" s="4" t="s">
        <v>1008</v>
      </c>
      <c r="C674" s="5" t="str">
        <f>IFERROR(__xludf.DUMMYFUNCTION("GOOGLETRANSLATE(D:D,""auto"",""en"")"),"Gordon Spring Festival Evening Song Dandan exposure Jiangzai")</f>
        <v>Gordon Spring Festival Evening Song Dandan exposure Jiangzai</v>
      </c>
      <c r="D674" s="4" t="s">
        <v>1047</v>
      </c>
      <c r="E674" s="4">
        <v>0.0</v>
      </c>
      <c r="F674" s="4">
        <v>23.0</v>
      </c>
      <c r="G674" s="4" t="s">
        <v>1048</v>
      </c>
    </row>
    <row r="675">
      <c r="A675" s="1">
        <v>673.0</v>
      </c>
      <c r="B675" s="4" t="s">
        <v>1008</v>
      </c>
      <c r="C675" s="5" t="str">
        <f>IFERROR(__xludf.DUMMYFUNCTION("GOOGLETRANSLATE(D:D,""auto"",""en"")"),"Confiscated 43 pounds of donations girl")</f>
        <v>Confiscated 43 pounds of donations girl</v>
      </c>
      <c r="D675" s="4" t="s">
        <v>1049</v>
      </c>
      <c r="E675" s="4">
        <v>0.0</v>
      </c>
      <c r="F675" s="4">
        <v>24.0</v>
      </c>
      <c r="G675" s="4" t="s">
        <v>1050</v>
      </c>
    </row>
    <row r="676">
      <c r="A676" s="1">
        <v>674.0</v>
      </c>
      <c r="B676" s="4" t="s">
        <v>1008</v>
      </c>
      <c r="C676" s="5" t="str">
        <f>IFERROR(__xludf.DUMMYFUNCTION("GOOGLETRANSLATE(D:D,""auto"",""en"")"),"Iraq severely revenge entry into force of motion")</f>
        <v>Iraq severely revenge entry into force of motion</v>
      </c>
      <c r="D676" s="4" t="s">
        <v>974</v>
      </c>
      <c r="E676" s="4">
        <v>0.0</v>
      </c>
      <c r="F676" s="4">
        <v>25.0</v>
      </c>
      <c r="G676" s="4" t="s">
        <v>975</v>
      </c>
    </row>
    <row r="677">
      <c r="A677" s="1">
        <v>675.0</v>
      </c>
      <c r="B677" s="4" t="s">
        <v>1008</v>
      </c>
      <c r="C677" s="5" t="str">
        <f>IFERROR(__xludf.DUMMYFUNCTION("GOOGLETRANSLATE(D:D,""auto"",""en"")"),"EU or ban plastic packaging")</f>
        <v>EU or ban plastic packaging</v>
      </c>
      <c r="D677" s="4" t="s">
        <v>1051</v>
      </c>
      <c r="E677" s="4">
        <v>0.0</v>
      </c>
      <c r="F677" s="4">
        <v>26.0</v>
      </c>
      <c r="G677" s="4" t="s">
        <v>1052</v>
      </c>
    </row>
    <row r="678">
      <c r="A678" s="1">
        <v>676.0</v>
      </c>
      <c r="B678" s="4" t="s">
        <v>1008</v>
      </c>
      <c r="C678" s="5" t="str">
        <f>IFERROR(__xludf.DUMMYFUNCTION("GOOGLETRANSLATE(D:D,""auto"",""en"")"),"Queen root support Hali Mei")</f>
        <v>Queen root support Hali Mei</v>
      </c>
      <c r="D678" s="4" t="s">
        <v>1053</v>
      </c>
      <c r="E678" s="4">
        <v>0.0</v>
      </c>
      <c r="F678" s="4">
        <v>27.0</v>
      </c>
      <c r="G678" s="4" t="s">
        <v>1054</v>
      </c>
    </row>
    <row r="679">
      <c r="A679" s="1">
        <v>677.0</v>
      </c>
      <c r="B679" s="4" t="s">
        <v>1008</v>
      </c>
      <c r="C679" s="5" t="str">
        <f>IFERROR(__xludf.DUMMYFUNCTION("GOOGLETRANSLATE(D:D,""auto"",""en"")"),"43 kg girl uncollected contributions")</f>
        <v>43 kg girl uncollected contributions</v>
      </c>
      <c r="D679" s="4" t="s">
        <v>1055</v>
      </c>
      <c r="E679" s="4">
        <v>0.0</v>
      </c>
      <c r="F679" s="4">
        <v>28.0</v>
      </c>
      <c r="G679" s="4" t="s">
        <v>1056</v>
      </c>
    </row>
    <row r="680">
      <c r="A680" s="1">
        <v>678.0</v>
      </c>
      <c r="B680" s="4" t="s">
        <v>1008</v>
      </c>
      <c r="C680" s="5" t="str">
        <f>IFERROR(__xludf.DUMMYFUNCTION("GOOGLETRANSLATE(D:D,""auto"",""en"")"),"William caliph disclaimer")</f>
        <v>William caliph disclaimer</v>
      </c>
      <c r="D680" s="4" t="s">
        <v>1057</v>
      </c>
      <c r="E680" s="4">
        <v>0.0</v>
      </c>
      <c r="F680" s="4">
        <v>29.0</v>
      </c>
      <c r="G680" s="4" t="s">
        <v>1058</v>
      </c>
    </row>
    <row r="681">
      <c r="A681" s="1">
        <v>679.0</v>
      </c>
      <c r="B681" s="4" t="s">
        <v>1008</v>
      </c>
      <c r="C681" s="5" t="str">
        <f>IFERROR(__xludf.DUMMYFUNCTION("GOOGLETRANSLATE(D:D,""auto"",""en"")"),"8k version of the show will be available")</f>
        <v>8k version of the show will be available</v>
      </c>
      <c r="D681" s="4" t="s">
        <v>1059</v>
      </c>
      <c r="E681" s="4">
        <v>0.0</v>
      </c>
      <c r="F681" s="4">
        <v>30.0</v>
      </c>
      <c r="G681" s="4" t="s">
        <v>1060</v>
      </c>
    </row>
    <row r="682">
      <c r="A682" s="1">
        <v>680.0</v>
      </c>
      <c r="B682" s="4" t="s">
        <v>1008</v>
      </c>
      <c r="C682" s="5" t="str">
        <f>IFERROR(__xludf.DUMMYFUNCTION("GOOGLETRANSLATE(D:D,""auto"",""en"")"),"Doctoral students apply for overtime Spring Festival")</f>
        <v>Doctoral students apply for overtime Spring Festival</v>
      </c>
      <c r="D682" s="4" t="s">
        <v>1061</v>
      </c>
      <c r="E682" s="4">
        <v>0.0</v>
      </c>
      <c r="F682" s="4">
        <v>31.0</v>
      </c>
      <c r="G682" s="4" t="s">
        <v>1062</v>
      </c>
    </row>
    <row r="683">
      <c r="A683" s="1">
        <v>681.0</v>
      </c>
      <c r="B683" s="4" t="s">
        <v>1008</v>
      </c>
      <c r="C683" s="5" t="str">
        <f>IFERROR(__xludf.DUMMYFUNCTION("GOOGLETRANSLATE(D:D,""auto"",""en"")"),"Hangzhou in the construction of the tank burst")</f>
        <v>Hangzhou in the construction of the tank burst</v>
      </c>
      <c r="D683" s="4" t="s">
        <v>1063</v>
      </c>
      <c r="E683" s="4">
        <v>0.0</v>
      </c>
      <c r="F683" s="4">
        <v>32.0</v>
      </c>
      <c r="G683" s="4" t="s">
        <v>1064</v>
      </c>
    </row>
    <row r="684">
      <c r="A684" s="1">
        <v>682.0</v>
      </c>
      <c r="B684" s="4" t="s">
        <v>1008</v>
      </c>
      <c r="C684" s="5" t="str">
        <f>IFERROR(__xludf.DUMMYFUNCTION("GOOGLETRANSLATE(D:D,""auto"",""en"")"),"Tianjin women's volleyball championship")</f>
        <v>Tianjin women's volleyball championship</v>
      </c>
      <c r="D684" s="4" t="s">
        <v>1065</v>
      </c>
      <c r="E684" s="4">
        <v>0.0</v>
      </c>
      <c r="F684" s="4">
        <v>33.0</v>
      </c>
      <c r="G684" s="4" t="s">
        <v>1066</v>
      </c>
    </row>
    <row r="685">
      <c r="A685" s="1">
        <v>683.0</v>
      </c>
      <c r="B685" s="4" t="s">
        <v>1008</v>
      </c>
      <c r="C685" s="5" t="str">
        <f>IFERROR(__xludf.DUMMYFUNCTION("GOOGLETRANSLATE(D:D,""auto"",""en"")"),"Rounders suspect worsening disease")</f>
        <v>Rounders suspect worsening disease</v>
      </c>
      <c r="D685" s="4" t="s">
        <v>944</v>
      </c>
      <c r="E685" s="4">
        <v>0.0</v>
      </c>
      <c r="F685" s="4">
        <v>34.0</v>
      </c>
      <c r="G685" s="4" t="s">
        <v>945</v>
      </c>
    </row>
    <row r="686">
      <c r="A686" s="1">
        <v>684.0</v>
      </c>
      <c r="B686" s="4" t="s">
        <v>1008</v>
      </c>
      <c r="C686" s="5" t="str">
        <f>IFERROR(__xludf.DUMMYFUNCTION("GOOGLETRANSLATE(D:D,""auto"",""en"")"),"LPL spring season opener")</f>
        <v>LPL spring season opener</v>
      </c>
      <c r="D686" s="4" t="s">
        <v>976</v>
      </c>
      <c r="E686" s="4">
        <v>0.0</v>
      </c>
      <c r="F686" s="4">
        <v>35.0</v>
      </c>
      <c r="G686" s="4" t="s">
        <v>977</v>
      </c>
    </row>
    <row r="687">
      <c r="A687" s="1">
        <v>685.0</v>
      </c>
      <c r="B687" s="4" t="s">
        <v>1008</v>
      </c>
      <c r="C687" s="5" t="str">
        <f>IFERROR(__xludf.DUMMYFUNCTION("GOOGLETRANSLATE(D:D,""auto"",""en"")"),"Marco Ngai exposure wife derailment")</f>
        <v>Marco Ngai exposure wife derailment</v>
      </c>
      <c r="D687" s="4" t="s">
        <v>950</v>
      </c>
      <c r="E687" s="4">
        <v>0.0</v>
      </c>
      <c r="F687" s="4">
        <v>36.0</v>
      </c>
      <c r="G687" s="4" t="s">
        <v>951</v>
      </c>
    </row>
    <row r="688">
      <c r="A688" s="1">
        <v>686.0</v>
      </c>
      <c r="B688" s="4" t="s">
        <v>1008</v>
      </c>
      <c r="C688" s="5" t="str">
        <f>IFERROR(__xludf.DUMMYFUNCTION("GOOGLETRANSLATE(D:D,""auto"",""en"")"),"Barcelona dismissal Valverde")</f>
        <v>Barcelona dismissal Valverde</v>
      </c>
      <c r="D688" s="4" t="s">
        <v>1067</v>
      </c>
      <c r="E688" s="4">
        <v>0.0</v>
      </c>
      <c r="F688" s="4">
        <v>37.0</v>
      </c>
      <c r="G688" s="4" t="s">
        <v>1068</v>
      </c>
    </row>
    <row r="689">
      <c r="A689" s="1">
        <v>687.0</v>
      </c>
      <c r="B689" s="4" t="s">
        <v>1008</v>
      </c>
      <c r="C689" s="5" t="str">
        <f>IFERROR(__xludf.DUMMYFUNCTION("GOOGLETRANSLATE(D:D,""auto"",""en"")"),"Coach cheating investigation")</f>
        <v>Coach cheating investigation</v>
      </c>
      <c r="D689" s="4" t="s">
        <v>1069</v>
      </c>
      <c r="E689" s="4">
        <v>0.0</v>
      </c>
      <c r="F689" s="4">
        <v>38.0</v>
      </c>
      <c r="G689" s="4" t="s">
        <v>1070</v>
      </c>
    </row>
    <row r="690">
      <c r="A690" s="1">
        <v>688.0</v>
      </c>
      <c r="B690" s="4" t="s">
        <v>1008</v>
      </c>
      <c r="C690" s="5" t="str">
        <f>IFERROR(__xludf.DUMMYFUNCTION("GOOGLETRANSLATE(D:D,""auto"",""en"")"),"SM confirm Admiralty big marriage")</f>
        <v>SM confirm Admiralty big marriage</v>
      </c>
      <c r="D690" s="4" t="s">
        <v>948</v>
      </c>
      <c r="E690" s="4">
        <v>0.0</v>
      </c>
      <c r="F690" s="4">
        <v>39.0</v>
      </c>
      <c r="G690" s="4" t="s">
        <v>949</v>
      </c>
    </row>
    <row r="691">
      <c r="A691" s="1">
        <v>689.0</v>
      </c>
      <c r="B691" s="4" t="s">
        <v>1008</v>
      </c>
      <c r="C691" s="5" t="str">
        <f>IFERROR(__xludf.DUMMYFUNCTION("GOOGLETRANSLATE(D:D,""auto"",""en"")"),"Marco Ngai wife moved out of the mansion")</f>
        <v>Marco Ngai wife moved out of the mansion</v>
      </c>
      <c r="D691" s="4" t="s">
        <v>1071</v>
      </c>
      <c r="E691" s="4">
        <v>0.0</v>
      </c>
      <c r="F691" s="4">
        <v>40.0</v>
      </c>
      <c r="G691" s="4" t="s">
        <v>1072</v>
      </c>
    </row>
    <row r="692">
      <c r="A692" s="1">
        <v>690.0</v>
      </c>
      <c r="B692" s="4" t="s">
        <v>1008</v>
      </c>
      <c r="C692" s="5" t="str">
        <f>IFERROR(__xludf.DUMMYFUNCTION("GOOGLETRANSLATE(D:D,""auto"",""en"")"),"New Party against the dissolution")</f>
        <v>New Party against the dissolution</v>
      </c>
      <c r="D692" s="4" t="s">
        <v>1073</v>
      </c>
      <c r="E692" s="4">
        <v>0.0</v>
      </c>
      <c r="F692" s="4">
        <v>41.0</v>
      </c>
      <c r="G692" s="4" t="s">
        <v>1074</v>
      </c>
    </row>
    <row r="693">
      <c r="A693" s="1">
        <v>691.0</v>
      </c>
      <c r="B693" s="4" t="s">
        <v>1008</v>
      </c>
      <c r="C693" s="5" t="str">
        <f>IFERROR(__xludf.DUMMYFUNCTION("GOOGLETRANSLATE(D:D,""auto"",""en"")"),"Guangdong's GDP broke 10 trillion")</f>
        <v>Guangdong's GDP broke 10 trillion</v>
      </c>
      <c r="D693" s="4" t="s">
        <v>1075</v>
      </c>
      <c r="E693" s="4">
        <v>0.0</v>
      </c>
      <c r="F693" s="4">
        <v>42.0</v>
      </c>
      <c r="G693" s="4" t="s">
        <v>1076</v>
      </c>
    </row>
    <row r="694">
      <c r="A694" s="1">
        <v>692.0</v>
      </c>
      <c r="B694" s="4" t="s">
        <v>1008</v>
      </c>
      <c r="C694" s="5" t="str">
        <f>IFERROR(__xludf.DUMMYFUNCTION("GOOGLETRANSLATE(D:D,""auto"",""en"")"),"Yan Wu spent 9958 in response to events")</f>
        <v>Yan Wu spent 9958 in response to events</v>
      </c>
      <c r="D694" s="4" t="s">
        <v>1077</v>
      </c>
      <c r="E694" s="4">
        <v>0.0</v>
      </c>
      <c r="F694" s="4">
        <v>43.0</v>
      </c>
      <c r="G694" s="4" t="s">
        <v>1078</v>
      </c>
    </row>
    <row r="695">
      <c r="A695" s="1">
        <v>693.0</v>
      </c>
      <c r="B695" s="4" t="s">
        <v>1008</v>
      </c>
      <c r="C695" s="5" t="str">
        <f>IFERROR(__xludf.DUMMYFUNCTION("GOOGLETRANSLATE(D:D,""auto"",""en"")"),"Net exposure Zhongxiang hospitalized")</f>
        <v>Net exposure Zhongxiang hospitalized</v>
      </c>
      <c r="D695" s="4" t="s">
        <v>942</v>
      </c>
      <c r="E695" s="4">
        <v>0.0</v>
      </c>
      <c r="F695" s="4">
        <v>44.0</v>
      </c>
      <c r="G695" s="4" t="s">
        <v>943</v>
      </c>
    </row>
    <row r="696">
      <c r="A696" s="1">
        <v>694.0</v>
      </c>
      <c r="B696" s="4" t="s">
        <v>1008</v>
      </c>
      <c r="C696" s="5" t="str">
        <f>IFERROR(__xludf.DUMMYFUNCTION("GOOGLETRANSLATE(D:D,""auto"",""en"")"),"Cai Xu Kun said the scale is broken")</f>
        <v>Cai Xu Kun said the scale is broken</v>
      </c>
      <c r="D696" s="4" t="s">
        <v>1079</v>
      </c>
      <c r="E696" s="4">
        <v>0.0</v>
      </c>
      <c r="F696" s="4">
        <v>45.0</v>
      </c>
      <c r="G696" s="4" t="s">
        <v>1080</v>
      </c>
    </row>
    <row r="697">
      <c r="A697" s="1">
        <v>695.0</v>
      </c>
      <c r="B697" s="4" t="s">
        <v>1008</v>
      </c>
      <c r="C697" s="5" t="str">
        <f>IFERROR(__xludf.DUMMYFUNCTION("GOOGLETRANSLATE(D:D,""auto"",""en"")"),"Huang Xiaoming suspect implied divorce")</f>
        <v>Huang Xiaoming suspect implied divorce</v>
      </c>
      <c r="D697" s="4" t="s">
        <v>936</v>
      </c>
      <c r="E697" s="4">
        <v>0.0</v>
      </c>
      <c r="F697" s="4">
        <v>46.0</v>
      </c>
      <c r="G697" s="4" t="s">
        <v>937</v>
      </c>
    </row>
    <row r="698">
      <c r="A698" s="1">
        <v>696.0</v>
      </c>
      <c r="B698" s="4" t="s">
        <v>1008</v>
      </c>
      <c r="C698" s="5" t="str">
        <f>IFERROR(__xludf.DUMMYFUNCTION("GOOGLETRANSLATE(D:D,""auto"",""en"")"),"William Harry brothers break")</f>
        <v>William Harry brothers break</v>
      </c>
      <c r="D698" s="4" t="s">
        <v>938</v>
      </c>
      <c r="E698" s="4">
        <v>0.0</v>
      </c>
      <c r="F698" s="4">
        <v>47.0</v>
      </c>
      <c r="G698" s="4" t="s">
        <v>939</v>
      </c>
    </row>
    <row r="699">
      <c r="A699" s="1">
        <v>697.0</v>
      </c>
      <c r="B699" s="4" t="s">
        <v>1008</v>
      </c>
      <c r="C699" s="5" t="str">
        <f>IFERROR(__xludf.DUMMYFUNCTION("GOOGLETRANSLATE(D:D,""auto"",""en"")"),"Zhang Jie Xie Na appeared Bund")</f>
        <v>Zhang Jie Xie Na appeared Bund</v>
      </c>
      <c r="D699" s="4" t="s">
        <v>1081</v>
      </c>
      <c r="E699" s="4">
        <v>0.0</v>
      </c>
      <c r="F699" s="4">
        <v>48.0</v>
      </c>
      <c r="G699" s="4" t="s">
        <v>1082</v>
      </c>
    </row>
    <row r="700">
      <c r="A700" s="1">
        <v>698.0</v>
      </c>
      <c r="B700" s="4" t="s">
        <v>1008</v>
      </c>
      <c r="C700" s="5" t="str">
        <f>IFERROR(__xludf.DUMMYFUNCTION("GOOGLETRANSLATE(D:D,""auto"",""en"")"),"Bracelet with warning for doctors")</f>
        <v>Bracelet with warning for doctors</v>
      </c>
      <c r="D700" s="4" t="s">
        <v>1083</v>
      </c>
      <c r="E700" s="4">
        <v>0.0</v>
      </c>
      <c r="F700" s="4">
        <v>49.0</v>
      </c>
      <c r="G700" s="4" t="s">
        <v>1084</v>
      </c>
    </row>
    <row r="701">
      <c r="A701" s="1">
        <v>699.0</v>
      </c>
      <c r="B701" s="4" t="s">
        <v>1008</v>
      </c>
      <c r="C701" s="5" t="str">
        <f>IFERROR(__xludf.DUMMYFUNCTION("GOOGLETRANSLATE(D:D,""auto"",""en"")"),"Song Qian fans point to the abalone rice")</f>
        <v>Song Qian fans point to the abalone rice</v>
      </c>
      <c r="D701" s="4" t="s">
        <v>1085</v>
      </c>
      <c r="E701" s="4">
        <v>0.0</v>
      </c>
      <c r="F701" s="4">
        <v>50.0</v>
      </c>
      <c r="G701" s="4" t="s">
        <v>1086</v>
      </c>
    </row>
    <row r="702">
      <c r="A702" s="1">
        <v>700.0</v>
      </c>
      <c r="B702" s="4" t="s">
        <v>1087</v>
      </c>
      <c r="C702" s="5" t="str">
        <f>IFERROR(__xludf.DUMMYFUNCTION("GOOGLETRANSLATE(D:D,""auto"",""en"")"),"Yan Wu spent 9958 in response to events")</f>
        <v>Yan Wu spent 9958 in response to events</v>
      </c>
      <c r="D702" s="4" t="s">
        <v>1077</v>
      </c>
      <c r="E702" s="4">
        <v>0.0</v>
      </c>
      <c r="F702" s="4">
        <v>1.0</v>
      </c>
      <c r="G702" s="4" t="s">
        <v>1078</v>
      </c>
    </row>
    <row r="703">
      <c r="A703" s="1">
        <v>701.0</v>
      </c>
      <c r="B703" s="4" t="s">
        <v>1087</v>
      </c>
      <c r="C703" s="5" t="str">
        <f>IFERROR(__xludf.DUMMYFUNCTION("GOOGLETRANSLATE(D:D,""auto"",""en"")"),"Guangdong's GDP broke 10 trillion")</f>
        <v>Guangdong's GDP broke 10 trillion</v>
      </c>
      <c r="D703" s="4" t="s">
        <v>1075</v>
      </c>
      <c r="E703" s="4">
        <v>0.0</v>
      </c>
      <c r="F703" s="4">
        <v>2.0</v>
      </c>
      <c r="G703" s="4" t="s">
        <v>1076</v>
      </c>
    </row>
    <row r="704">
      <c r="A704" s="1">
        <v>702.0</v>
      </c>
      <c r="B704" s="4" t="s">
        <v>1087</v>
      </c>
      <c r="C704" s="5" t="str">
        <f>IFERROR(__xludf.DUMMYFUNCTION("GOOGLETRANSLATE(D:D,""auto"",""en"")"),"2020 Spring Festival Evening official declared at the venue")</f>
        <v>2020 Spring Festival Evening official declared at the venue</v>
      </c>
      <c r="D704" s="4" t="s">
        <v>1041</v>
      </c>
      <c r="E704" s="4">
        <v>0.0</v>
      </c>
      <c r="F704" s="4">
        <v>3.0</v>
      </c>
      <c r="G704" s="4" t="s">
        <v>1042</v>
      </c>
    </row>
    <row r="705">
      <c r="A705" s="1">
        <v>703.0</v>
      </c>
      <c r="B705" s="4" t="s">
        <v>1087</v>
      </c>
      <c r="C705" s="5" t="str">
        <f>IFERROR(__xludf.DUMMYFUNCTION("GOOGLETRANSLATE(D:D,""auto"",""en"")"),"Ibaraki Prefecture, Japan earthquake")</f>
        <v>Ibaraki Prefecture, Japan earthquake</v>
      </c>
      <c r="D705" s="4" t="s">
        <v>1088</v>
      </c>
      <c r="E705" s="4">
        <v>0.0</v>
      </c>
      <c r="F705" s="4">
        <v>4.0</v>
      </c>
      <c r="G705" s="4" t="s">
        <v>1089</v>
      </c>
    </row>
    <row r="706">
      <c r="A706" s="1">
        <v>704.0</v>
      </c>
      <c r="B706" s="4" t="s">
        <v>1087</v>
      </c>
      <c r="C706" s="5" t="str">
        <f>IFERROR(__xludf.DUMMYFUNCTION("GOOGLETRANSLATE(D:D,""auto"",""en"")"),"Xining pavement collapse")</f>
        <v>Xining pavement collapse</v>
      </c>
      <c r="D706" s="4" t="s">
        <v>1090</v>
      </c>
      <c r="E706" s="4">
        <v>0.0</v>
      </c>
      <c r="F706" s="4">
        <v>5.0</v>
      </c>
      <c r="G706" s="4" t="s">
        <v>1091</v>
      </c>
    </row>
    <row r="707">
      <c r="A707" s="1">
        <v>705.0</v>
      </c>
      <c r="B707" s="4" t="s">
        <v>1087</v>
      </c>
      <c r="C707" s="5" t="str">
        <f>IFERROR(__xludf.DUMMYFUNCTION("GOOGLETRANSLATE(D:D,""auto"",""en"")"),"Song Dong Ye Hao issued a document even behind the cloud")</f>
        <v>Song Dong Ye Hao issued a document even behind the cloud</v>
      </c>
      <c r="D707" s="4" t="s">
        <v>1092</v>
      </c>
      <c r="E707" s="4">
        <v>0.0</v>
      </c>
      <c r="F707" s="4">
        <v>6.0</v>
      </c>
      <c r="G707" s="4" t="s">
        <v>1093</v>
      </c>
    </row>
    <row r="708">
      <c r="A708" s="1">
        <v>706.0</v>
      </c>
      <c r="B708" s="4" t="s">
        <v>1087</v>
      </c>
      <c r="C708" s="5" t="str">
        <f>IFERROR(__xludf.DUMMYFUNCTION("GOOGLETRANSLATE(D:D,""auto"",""en"")"),"18 city rent fell")</f>
        <v>18 city rent fell</v>
      </c>
      <c r="D708" s="4" t="s">
        <v>1094</v>
      </c>
      <c r="E708" s="4">
        <v>0.0</v>
      </c>
      <c r="F708" s="4">
        <v>7.0</v>
      </c>
      <c r="G708" s="4" t="s">
        <v>1095</v>
      </c>
    </row>
    <row r="709">
      <c r="A709" s="1">
        <v>707.0</v>
      </c>
      <c r="B709" s="4" t="s">
        <v>1087</v>
      </c>
      <c r="C709" s="5" t="str">
        <f>IFERROR(__xludf.DUMMYFUNCTION("GOOGLETRANSLATE(D:D,""auto"",""en"")"),"Article alone with her daughter dance practice")</f>
        <v>Article alone with her daughter dance practice</v>
      </c>
      <c r="D709" s="4" t="s">
        <v>1096</v>
      </c>
      <c r="E709" s="4">
        <v>0.0</v>
      </c>
      <c r="F709" s="4">
        <v>8.0</v>
      </c>
      <c r="G709" s="4" t="s">
        <v>1097</v>
      </c>
    </row>
    <row r="710">
      <c r="A710" s="1">
        <v>708.0</v>
      </c>
      <c r="B710" s="4" t="s">
        <v>1087</v>
      </c>
      <c r="C710" s="5" t="str">
        <f>IFERROR(__xludf.DUMMYFUNCTION("GOOGLETRANSLATE(D:D,""auto"",""en"")"),"Black Widow new trailer")</f>
        <v>Black Widow new trailer</v>
      </c>
      <c r="D710" s="4" t="s">
        <v>1098</v>
      </c>
      <c r="E710" s="4">
        <v>0.0</v>
      </c>
      <c r="F710" s="4">
        <v>9.0</v>
      </c>
      <c r="G710" s="4" t="s">
        <v>1099</v>
      </c>
    </row>
    <row r="711">
      <c r="A711" s="1">
        <v>709.0</v>
      </c>
      <c r="B711" s="4" t="s">
        <v>1087</v>
      </c>
      <c r="C711" s="5" t="str">
        <f>IFERROR(__xludf.DUMMYFUNCTION("GOOGLETRANSLATE(D:D,""auto"",""en"")"),"Yang Mi night to go to a beauty salon")</f>
        <v>Yang Mi night to go to a beauty salon</v>
      </c>
      <c r="D711" s="4" t="s">
        <v>1100</v>
      </c>
      <c r="E711" s="4">
        <v>0.0</v>
      </c>
      <c r="F711" s="4">
        <v>10.0</v>
      </c>
      <c r="G711" s="4" t="s">
        <v>1101</v>
      </c>
    </row>
    <row r="712">
      <c r="A712" s="1">
        <v>710.0</v>
      </c>
      <c r="B712" s="4" t="s">
        <v>1087</v>
      </c>
      <c r="C712" s="5" t="str">
        <f>IFERROR(__xludf.DUMMYFUNCTION("GOOGLETRANSLATE(D:D,""auto"",""en"")"),"Trump blasted Apple")</f>
        <v>Trump blasted Apple</v>
      </c>
      <c r="D712" s="4" t="s">
        <v>1102</v>
      </c>
      <c r="E712" s="4">
        <v>0.0</v>
      </c>
      <c r="F712" s="4">
        <v>11.0</v>
      </c>
      <c r="G712" s="4" t="s">
        <v>1103</v>
      </c>
    </row>
    <row r="713">
      <c r="A713" s="1">
        <v>711.0</v>
      </c>
      <c r="B713" s="4" t="s">
        <v>1087</v>
      </c>
      <c r="C713" s="5" t="str">
        <f>IFERROR(__xludf.DUMMYFUNCTION("GOOGLETRANSLATE(D:D,""auto"",""en"")"),"Sun Yang, the first show in 2020")</f>
        <v>Sun Yang, the first show in 2020</v>
      </c>
      <c r="D713" s="4" t="s">
        <v>1104</v>
      </c>
      <c r="E713" s="4">
        <v>0.0</v>
      </c>
      <c r="F713" s="4">
        <v>12.0</v>
      </c>
      <c r="G713" s="4" t="s">
        <v>1105</v>
      </c>
    </row>
    <row r="714">
      <c r="A714" s="1">
        <v>712.0</v>
      </c>
      <c r="B714" s="4" t="s">
        <v>1087</v>
      </c>
      <c r="C714" s="5" t="str">
        <f>IFERROR(__xludf.DUMMYFUNCTION("GOOGLETRANSLATE(D:D,""auto"",""en"")"),"Changes exposed host Spring Festival")</f>
        <v>Changes exposed host Spring Festival</v>
      </c>
      <c r="D714" s="4" t="s">
        <v>1106</v>
      </c>
      <c r="E714" s="4">
        <v>0.0</v>
      </c>
      <c r="F714" s="4">
        <v>13.0</v>
      </c>
      <c r="G714" s="4" t="s">
        <v>1107</v>
      </c>
    </row>
    <row r="715">
      <c r="A715" s="1">
        <v>713.0</v>
      </c>
      <c r="B715" s="4" t="s">
        <v>1087</v>
      </c>
      <c r="C715" s="5" t="str">
        <f>IFERROR(__xludf.DUMMYFUNCTION("GOOGLETRANSLATE(D:D,""auto"",""en"")"),"Thailand is now the new virus carriers")</f>
        <v>Thailand is now the new virus carriers</v>
      </c>
      <c r="D715" s="4" t="s">
        <v>1108</v>
      </c>
      <c r="E715" s="4">
        <v>0.0</v>
      </c>
      <c r="F715" s="4">
        <v>14.0</v>
      </c>
      <c r="G715" s="4" t="s">
        <v>1109</v>
      </c>
    </row>
    <row r="716">
      <c r="A716" s="1">
        <v>714.0</v>
      </c>
      <c r="B716" s="4" t="s">
        <v>1087</v>
      </c>
      <c r="C716" s="5" t="str">
        <f>IFERROR(__xludf.DUMMYFUNCTION("GOOGLETRANSLATE(D:D,""auto"",""en"")"),"Song Qian sister station to recognize South Korea")</f>
        <v>Song Qian sister station to recognize South Korea</v>
      </c>
      <c r="D716" s="4" t="s">
        <v>1110</v>
      </c>
      <c r="E716" s="4">
        <v>0.0</v>
      </c>
      <c r="F716" s="4">
        <v>15.0</v>
      </c>
      <c r="G716" s="4" t="s">
        <v>1111</v>
      </c>
    </row>
    <row r="717">
      <c r="A717" s="1">
        <v>715.0</v>
      </c>
      <c r="B717" s="4" t="s">
        <v>1087</v>
      </c>
      <c r="C717" s="5" t="str">
        <f>IFERROR(__xludf.DUMMYFUNCTION("GOOGLETRANSLATE(D:D,""auto"",""en"")"),"Australia 5000 killing of camels")</f>
        <v>Australia 5000 killing of camels</v>
      </c>
      <c r="D717" s="4" t="s">
        <v>1112</v>
      </c>
      <c r="E717" s="4">
        <v>0.0</v>
      </c>
      <c r="F717" s="4">
        <v>16.0</v>
      </c>
      <c r="G717" s="4" t="s">
        <v>1113</v>
      </c>
    </row>
    <row r="718">
      <c r="A718" s="1">
        <v>716.0</v>
      </c>
      <c r="B718" s="4" t="s">
        <v>1087</v>
      </c>
      <c r="C718" s="5" t="str">
        <f>IFERROR(__xludf.DUMMYFUNCTION("GOOGLETRANSLATE(D:D,""auto"",""en"")"),"In vitro liver survival of new technologies")</f>
        <v>In vitro liver survival of new technologies</v>
      </c>
      <c r="D718" s="4" t="s">
        <v>1114</v>
      </c>
      <c r="E718" s="4">
        <v>0.0</v>
      </c>
      <c r="F718" s="4">
        <v>17.0</v>
      </c>
      <c r="G718" s="4" t="s">
        <v>1115</v>
      </c>
    </row>
    <row r="719">
      <c r="A719" s="1">
        <v>717.0</v>
      </c>
      <c r="B719" s="4" t="s">
        <v>1087</v>
      </c>
      <c r="C719" s="5" t="str">
        <f>IFERROR(__xludf.DUMMYFUNCTION("GOOGLETRANSLATE(D:D,""auto"",""en"")"),"The boy threw the man a few meters")</f>
        <v>The boy threw the man a few meters</v>
      </c>
      <c r="D719" s="4" t="s">
        <v>1116</v>
      </c>
      <c r="E719" s="4">
        <v>0.0</v>
      </c>
      <c r="F719" s="4">
        <v>18.0</v>
      </c>
      <c r="G719" s="4" t="s">
        <v>1117</v>
      </c>
    </row>
    <row r="720">
      <c r="A720" s="1">
        <v>718.0</v>
      </c>
      <c r="B720" s="4" t="s">
        <v>1087</v>
      </c>
      <c r="C720" s="5" t="str">
        <f>IFERROR(__xludf.DUMMYFUNCTION("GOOGLETRANSLATE(D:D,""auto"",""en"")"),"One red flag H9 launch")</f>
        <v>One red flag H9 launch</v>
      </c>
      <c r="D720" s="4" t="s">
        <v>1118</v>
      </c>
      <c r="E720" s="4">
        <v>0.0</v>
      </c>
      <c r="F720" s="4">
        <v>19.0</v>
      </c>
      <c r="G720" s="4" t="s">
        <v>1119</v>
      </c>
    </row>
    <row r="721">
      <c r="A721" s="1">
        <v>719.0</v>
      </c>
      <c r="B721" s="4" t="s">
        <v>1087</v>
      </c>
      <c r="C721" s="5" t="str">
        <f>IFERROR(__xludf.DUMMYFUNCTION("GOOGLETRANSLATE(D:D,""auto"",""en"")"),"Archaeological materials are now seven billion years ago")</f>
        <v>Archaeological materials are now seven billion years ago</v>
      </c>
      <c r="D721" s="4" t="s">
        <v>1120</v>
      </c>
      <c r="E721" s="4">
        <v>0.0</v>
      </c>
      <c r="F721" s="4">
        <v>20.0</v>
      </c>
      <c r="G721" s="4" t="s">
        <v>1121</v>
      </c>
    </row>
    <row r="722">
      <c r="A722" s="1">
        <v>720.0</v>
      </c>
      <c r="B722" s="4" t="s">
        <v>1087</v>
      </c>
      <c r="C722" s="5" t="str">
        <f>IFERROR(__xludf.DUMMYFUNCTION("GOOGLETRANSLATE(D:D,""auto"",""en"")"),"C919 orders broken one thousand")</f>
        <v>C919 orders broken one thousand</v>
      </c>
      <c r="D722" s="4" t="s">
        <v>1122</v>
      </c>
      <c r="E722" s="4">
        <v>0.0</v>
      </c>
      <c r="F722" s="4">
        <v>21.0</v>
      </c>
      <c r="G722" s="4" t="s">
        <v>1123</v>
      </c>
    </row>
    <row r="723">
      <c r="A723" s="1">
        <v>721.0</v>
      </c>
      <c r="B723" s="4" t="s">
        <v>1087</v>
      </c>
      <c r="C723" s="5" t="str">
        <f>IFERROR(__xludf.DUMMYFUNCTION("GOOGLETRANSLATE(D:D,""auto"",""en"")"),"Kunming Xundian County earthquake")</f>
        <v>Kunming Xundian County earthquake</v>
      </c>
      <c r="D723" s="4" t="s">
        <v>1124</v>
      </c>
      <c r="E723" s="4">
        <v>0.0</v>
      </c>
      <c r="F723" s="4">
        <v>22.0</v>
      </c>
      <c r="G723" s="4" t="s">
        <v>1125</v>
      </c>
    </row>
    <row r="724">
      <c r="A724" s="1">
        <v>722.0</v>
      </c>
      <c r="B724" s="4" t="s">
        <v>1087</v>
      </c>
      <c r="C724" s="5" t="str">
        <f>IFERROR(__xludf.DUMMYFUNCTION("GOOGLETRANSLATE(D:D,""auto"",""en"")"),"Russian government resigned en bloc")</f>
        <v>Russian government resigned en bloc</v>
      </c>
      <c r="D724" s="4" t="s">
        <v>1126</v>
      </c>
      <c r="E724" s="4">
        <v>0.0</v>
      </c>
      <c r="F724" s="4">
        <v>23.0</v>
      </c>
      <c r="G724" s="4" t="s">
        <v>1127</v>
      </c>
    </row>
    <row r="725">
      <c r="A725" s="1">
        <v>723.0</v>
      </c>
      <c r="B725" s="4" t="s">
        <v>1087</v>
      </c>
      <c r="C725" s="5" t="str">
        <f>IFERROR(__xludf.DUMMYFUNCTION("GOOGLETRANSLATE(D:D,""auto"",""en"")"),"Tianjin women's volleyball championship")</f>
        <v>Tianjin women's volleyball championship</v>
      </c>
      <c r="D725" s="4" t="s">
        <v>1065</v>
      </c>
      <c r="E725" s="4">
        <v>0.0</v>
      </c>
      <c r="F725" s="4">
        <v>24.0</v>
      </c>
      <c r="G725" s="4" t="s">
        <v>1066</v>
      </c>
    </row>
    <row r="726">
      <c r="A726" s="1">
        <v>724.0</v>
      </c>
      <c r="B726" s="4" t="s">
        <v>1087</v>
      </c>
      <c r="C726" s="5" t="str">
        <f>IFERROR(__xludf.DUMMYFUNCTION("GOOGLETRANSLATE(D:D,""auto"",""en"")"),"Romance in the Rain reunited again")</f>
        <v>Romance in the Rain reunited again</v>
      </c>
      <c r="D726" s="4" t="s">
        <v>1128</v>
      </c>
      <c r="E726" s="4">
        <v>0.0</v>
      </c>
      <c r="F726" s="4">
        <v>25.0</v>
      </c>
      <c r="G726" s="4" t="s">
        <v>1129</v>
      </c>
    </row>
    <row r="727">
      <c r="A727" s="1">
        <v>725.0</v>
      </c>
      <c r="B727" s="4" t="s">
        <v>1087</v>
      </c>
      <c r="C727" s="5" t="str">
        <f>IFERROR(__xludf.DUMMYFUNCTION("GOOGLETRANSLATE(D:D,""auto"",""en"")"),"Pa female school to join the army without telling parents")</f>
        <v>Pa female school to join the army without telling parents</v>
      </c>
      <c r="D727" s="4" t="s">
        <v>1130</v>
      </c>
      <c r="E727" s="4">
        <v>0.0</v>
      </c>
      <c r="F727" s="4">
        <v>26.0</v>
      </c>
      <c r="G727" s="4" t="s">
        <v>1131</v>
      </c>
    </row>
    <row r="728">
      <c r="A728" s="1">
        <v>726.0</v>
      </c>
      <c r="B728" s="4" t="s">
        <v>1087</v>
      </c>
      <c r="C728" s="5" t="str">
        <f>IFERROR(__xludf.DUMMYFUNCTION("GOOGLETRANSLATE(D:D,""auto"",""en"")"),"Ross was fined $ 25,000")</f>
        <v>Ross was fined $ 25,000</v>
      </c>
      <c r="D728" s="4" t="s">
        <v>1132</v>
      </c>
      <c r="E728" s="4">
        <v>0.0</v>
      </c>
      <c r="F728" s="4">
        <v>27.0</v>
      </c>
      <c r="G728" s="4" t="s">
        <v>1133</v>
      </c>
    </row>
    <row r="729">
      <c r="A729" s="1">
        <v>727.0</v>
      </c>
      <c r="B729" s="4" t="s">
        <v>1087</v>
      </c>
      <c r="C729" s="5" t="str">
        <f>IFERROR(__xludf.DUMMYFUNCTION("GOOGLETRANSLATE(D:D,""auto"",""en"")"),"Chongqing Jiangbei snack bar fire")</f>
        <v>Chongqing Jiangbei snack bar fire</v>
      </c>
      <c r="D729" s="4" t="s">
        <v>1134</v>
      </c>
      <c r="E729" s="4">
        <v>0.0</v>
      </c>
      <c r="F729" s="4">
        <v>28.0</v>
      </c>
      <c r="G729" s="4" t="s">
        <v>1135</v>
      </c>
    </row>
    <row r="730">
      <c r="A730" s="1">
        <v>728.0</v>
      </c>
      <c r="B730" s="4" t="s">
        <v>1087</v>
      </c>
      <c r="C730" s="5" t="str">
        <f>IFERROR(__xludf.DUMMYFUNCTION("GOOGLETRANSLATE(D:D,""auto"",""en"")"),"Jiangsu or break 10 trillion GDP")</f>
        <v>Jiangsu or break 10 trillion GDP</v>
      </c>
      <c r="D730" s="4" t="s">
        <v>1136</v>
      </c>
      <c r="E730" s="4">
        <v>0.0</v>
      </c>
      <c r="F730" s="4">
        <v>29.0</v>
      </c>
      <c r="G730" s="4" t="s">
        <v>1137</v>
      </c>
    </row>
    <row r="731">
      <c r="A731" s="1">
        <v>729.0</v>
      </c>
      <c r="B731" s="4" t="s">
        <v>1087</v>
      </c>
      <c r="C731" s="5" t="str">
        <f>IFERROR(__xludf.DUMMYFUNCTION("GOOGLETRANSLATE(D:D,""auto"",""en"")"),"Xu Zheng embarrassing exposure mother asking price 600 million")</f>
        <v>Xu Zheng embarrassing exposure mother asking price 600 million</v>
      </c>
      <c r="D731" s="4" t="s">
        <v>1138</v>
      </c>
      <c r="E731" s="4">
        <v>0.0</v>
      </c>
      <c r="F731" s="4">
        <v>30.0</v>
      </c>
      <c r="G731" s="4" t="s">
        <v>1139</v>
      </c>
    </row>
    <row r="732">
      <c r="A732" s="1">
        <v>730.0</v>
      </c>
      <c r="B732" s="4" t="s">
        <v>1087</v>
      </c>
      <c r="C732" s="5" t="str">
        <f>IFERROR(__xludf.DUMMYFUNCTION("GOOGLETRANSLATE(D:D,""auto"",""en"")"),"5 apologize love apartment")</f>
        <v>5 apologize love apartment</v>
      </c>
      <c r="D732" s="4" t="s">
        <v>1140</v>
      </c>
      <c r="E732" s="4">
        <v>0.0</v>
      </c>
      <c r="F732" s="4">
        <v>31.0</v>
      </c>
      <c r="G732" s="4" t="s">
        <v>1141</v>
      </c>
    </row>
    <row r="733">
      <c r="A733" s="1">
        <v>731.0</v>
      </c>
      <c r="B733" s="4" t="s">
        <v>1087</v>
      </c>
      <c r="C733" s="5" t="str">
        <f>IFERROR(__xludf.DUMMYFUNCTION("GOOGLETRANSLATE(D:D,""auto"",""en"")"),"Forbidden City canceled dinner")</f>
        <v>Forbidden City canceled dinner</v>
      </c>
      <c r="D733" s="4" t="s">
        <v>1142</v>
      </c>
      <c r="E733" s="4">
        <v>0.0</v>
      </c>
      <c r="F733" s="4">
        <v>32.0</v>
      </c>
      <c r="G733" s="4" t="s">
        <v>1143</v>
      </c>
    </row>
    <row r="734">
      <c r="A734" s="1">
        <v>732.0</v>
      </c>
      <c r="B734" s="4" t="s">
        <v>1087</v>
      </c>
      <c r="C734" s="5" t="str">
        <f>IFERROR(__xludf.DUMMYFUNCTION("GOOGLETRANSLATE(D:D,""auto"",""en"")"),"Tottenham 2-1 New Year's first win")</f>
        <v>Tottenham 2-1 New Year's first win</v>
      </c>
      <c r="D734" s="4" t="s">
        <v>1144</v>
      </c>
      <c r="E734" s="4">
        <v>0.0</v>
      </c>
      <c r="F734" s="4">
        <v>33.0</v>
      </c>
      <c r="G734" s="4" t="s">
        <v>1145</v>
      </c>
    </row>
    <row r="735">
      <c r="A735" s="1">
        <v>733.0</v>
      </c>
      <c r="B735" s="4" t="s">
        <v>1087</v>
      </c>
      <c r="C735" s="5" t="str">
        <f>IFERROR(__xludf.DUMMYFUNCTION("GOOGLETRANSLATE(D:D,""auto"",""en"")"),"Hangzhou in the construction of the tank burst")</f>
        <v>Hangzhou in the construction of the tank burst</v>
      </c>
      <c r="D735" s="4" t="s">
        <v>1063</v>
      </c>
      <c r="E735" s="4">
        <v>0.0</v>
      </c>
      <c r="F735" s="4">
        <v>34.0</v>
      </c>
      <c r="G735" s="4" t="s">
        <v>1064</v>
      </c>
    </row>
    <row r="736">
      <c r="A736" s="1">
        <v>734.0</v>
      </c>
      <c r="B736" s="4" t="s">
        <v>1087</v>
      </c>
      <c r="C736" s="5" t="str">
        <f>IFERROR(__xludf.DUMMYFUNCTION("GOOGLETRANSLATE(D:D,""auto"",""en"")"),"Cai Xu Kun throwing paper airplanes")</f>
        <v>Cai Xu Kun throwing paper airplanes</v>
      </c>
      <c r="D736" s="4" t="s">
        <v>1146</v>
      </c>
      <c r="E736" s="4">
        <v>0.0</v>
      </c>
      <c r="F736" s="4">
        <v>35.0</v>
      </c>
      <c r="G736" s="4" t="s">
        <v>1147</v>
      </c>
    </row>
    <row r="737">
      <c r="A737" s="1">
        <v>735.0</v>
      </c>
      <c r="B737" s="4" t="s">
        <v>1087</v>
      </c>
      <c r="C737" s="5" t="str">
        <f>IFERROR(__xludf.DUMMYFUNCTION("GOOGLETRANSLATE(D:D,""auto"",""en"")"),"Kashmir avalanche")</f>
        <v>Kashmir avalanche</v>
      </c>
      <c r="D737" s="4" t="s">
        <v>1148</v>
      </c>
      <c r="E737" s="4">
        <v>0.0</v>
      </c>
      <c r="F737" s="4">
        <v>36.0</v>
      </c>
      <c r="G737" s="4" t="s">
        <v>1149</v>
      </c>
    </row>
    <row r="738">
      <c r="A738" s="1">
        <v>736.0</v>
      </c>
      <c r="B738" s="4" t="s">
        <v>1087</v>
      </c>
      <c r="C738" s="5" t="str">
        <f>IFERROR(__xludf.DUMMYFUNCTION("GOOGLETRANSLATE(D:D,""auto"",""en"")"),"Nongfushangquan involving subsequent deforestation")</f>
        <v>Nongfushangquan involving subsequent deforestation</v>
      </c>
      <c r="D738" s="4" t="s">
        <v>1150</v>
      </c>
      <c r="E738" s="4">
        <v>0.0</v>
      </c>
      <c r="F738" s="4">
        <v>37.0</v>
      </c>
      <c r="G738" s="4" t="s">
        <v>1151</v>
      </c>
    </row>
    <row r="739">
      <c r="A739" s="1">
        <v>737.0</v>
      </c>
      <c r="B739" s="4" t="s">
        <v>1087</v>
      </c>
      <c r="C739" s="5" t="str">
        <f>IFERROR(__xludf.DUMMYFUNCTION("GOOGLETRANSLATE(D:D,""auto"",""en"")"),"Gina Lang Lang to wear lovers")</f>
        <v>Gina Lang Lang to wear lovers</v>
      </c>
      <c r="D739" s="4" t="s">
        <v>1152</v>
      </c>
      <c r="E739" s="4">
        <v>0.0</v>
      </c>
      <c r="F739" s="4">
        <v>38.0</v>
      </c>
      <c r="G739" s="4" t="s">
        <v>1153</v>
      </c>
    </row>
    <row r="740">
      <c r="A740" s="1">
        <v>738.0</v>
      </c>
      <c r="B740" s="4" t="s">
        <v>1087</v>
      </c>
      <c r="C740" s="5" t="str">
        <f>IFERROR(__xludf.DUMMYFUNCTION("GOOGLETRANSLATE(D:D,""auto"",""en"")"),"CBA official apology to carry on into the macro")</f>
        <v>CBA official apology to carry on into the macro</v>
      </c>
      <c r="D740" s="4" t="s">
        <v>1154</v>
      </c>
      <c r="E740" s="4">
        <v>0.0</v>
      </c>
      <c r="F740" s="4">
        <v>39.0</v>
      </c>
      <c r="G740" s="4" t="s">
        <v>1155</v>
      </c>
    </row>
    <row r="741">
      <c r="A741" s="1">
        <v>739.0</v>
      </c>
      <c r="B741" s="4" t="s">
        <v>1087</v>
      </c>
      <c r="C741" s="5" t="str">
        <f>IFERROR(__xludf.DUMMYFUNCTION("GOOGLETRANSLATE(D:D,""auto"",""en"")"),"Gordon Spring Festival Evening Song Dandan exposure Jiangzai")</f>
        <v>Gordon Spring Festival Evening Song Dandan exposure Jiangzai</v>
      </c>
      <c r="D741" s="4" t="s">
        <v>1047</v>
      </c>
      <c r="E741" s="4">
        <v>0.0</v>
      </c>
      <c r="F741" s="4">
        <v>40.0</v>
      </c>
      <c r="G741" s="4" t="s">
        <v>1048</v>
      </c>
    </row>
    <row r="742">
      <c r="A742" s="1">
        <v>740.0</v>
      </c>
      <c r="B742" s="4" t="s">
        <v>1087</v>
      </c>
      <c r="C742" s="5" t="str">
        <f>IFERROR(__xludf.DUMMYFUNCTION("GOOGLETRANSLATE(D:D,""auto"",""en"")"),"An earthquake off the island of Timor")</f>
        <v>An earthquake off the island of Timor</v>
      </c>
      <c r="D742" s="4" t="s">
        <v>1156</v>
      </c>
      <c r="E742" s="4">
        <v>0.0</v>
      </c>
      <c r="F742" s="4">
        <v>41.0</v>
      </c>
      <c r="G742" s="4" t="s">
        <v>1157</v>
      </c>
    </row>
    <row r="743">
      <c r="A743" s="1">
        <v>741.0</v>
      </c>
      <c r="B743" s="4" t="s">
        <v>1087</v>
      </c>
      <c r="C743" s="5" t="str">
        <f>IFERROR(__xludf.DUMMYFUNCTION("GOOGLETRANSLATE(D:D,""auto"",""en"")"),"Sun Yang won the 400 championship since")</f>
        <v>Sun Yang won the 400 championship since</v>
      </c>
      <c r="D743" s="4" t="s">
        <v>1158</v>
      </c>
      <c r="E743" s="4">
        <v>0.0</v>
      </c>
      <c r="F743" s="4">
        <v>42.0</v>
      </c>
      <c r="G743" s="4" t="s">
        <v>1159</v>
      </c>
    </row>
    <row r="744">
      <c r="A744" s="1">
        <v>742.0</v>
      </c>
      <c r="B744" s="4" t="s">
        <v>1087</v>
      </c>
      <c r="C744" s="5" t="str">
        <f>IFERROR(__xludf.DUMMYFUNCTION("GOOGLETRANSLATE(D:D,""auto"",""en"")"),"The first live birth robot")</f>
        <v>The first live birth robot</v>
      </c>
      <c r="D744" s="4" t="s">
        <v>1045</v>
      </c>
      <c r="E744" s="4">
        <v>0.0</v>
      </c>
      <c r="F744" s="4">
        <v>43.0</v>
      </c>
      <c r="G744" s="4" t="s">
        <v>1046</v>
      </c>
    </row>
    <row r="745">
      <c r="A745" s="1">
        <v>743.0</v>
      </c>
      <c r="B745" s="4" t="s">
        <v>1087</v>
      </c>
      <c r="C745" s="5" t="str">
        <f>IFERROR(__xludf.DUMMYFUNCTION("GOOGLETRANSLATE(D:D,""auto"",""en"")"),"Hainan eldest child sentenced to death")</f>
        <v>Hainan eldest child sentenced to death</v>
      </c>
      <c r="D745" s="4" t="s">
        <v>1160</v>
      </c>
      <c r="E745" s="4">
        <v>0.0</v>
      </c>
      <c r="F745" s="4">
        <v>44.0</v>
      </c>
      <c r="G745" s="4" t="s">
        <v>1161</v>
      </c>
    </row>
    <row r="746">
      <c r="A746" s="1">
        <v>744.0</v>
      </c>
      <c r="B746" s="4" t="s">
        <v>1087</v>
      </c>
      <c r="C746" s="5" t="str">
        <f>IFERROR(__xludf.DUMMYFUNCTION("GOOGLETRANSLATE(D:D,""auto"",""en"")"),"8k version of the show will be available")</f>
        <v>8k version of the show will be available</v>
      </c>
      <c r="D746" s="4" t="s">
        <v>1059</v>
      </c>
      <c r="E746" s="4">
        <v>0.0</v>
      </c>
      <c r="F746" s="4">
        <v>45.0</v>
      </c>
      <c r="G746" s="4" t="s">
        <v>1060</v>
      </c>
    </row>
    <row r="747">
      <c r="A747" s="1">
        <v>745.0</v>
      </c>
      <c r="B747" s="4" t="s">
        <v>1087</v>
      </c>
      <c r="C747" s="5" t="str">
        <f>IFERROR(__xludf.DUMMYFUNCTION("GOOGLETRANSLATE(D:D,""auto"",""en"")"),"Chinese Olympic lost to Iran")</f>
        <v>Chinese Olympic lost to Iran</v>
      </c>
      <c r="D747" s="4" t="s">
        <v>1162</v>
      </c>
      <c r="E747" s="4">
        <v>0.0</v>
      </c>
      <c r="F747" s="4">
        <v>46.0</v>
      </c>
      <c r="G747" s="4" t="s">
        <v>1163</v>
      </c>
    </row>
    <row r="748">
      <c r="A748" s="1">
        <v>746.0</v>
      </c>
      <c r="B748" s="4" t="s">
        <v>1087</v>
      </c>
      <c r="C748" s="5" t="str">
        <f>IFERROR(__xludf.DUMMYFUNCTION("GOOGLETRANSLATE(D:D,""auto"",""en"")"),"Lou Yi Xiao view map CBA students")</f>
        <v>Lou Yi Xiao view map CBA students</v>
      </c>
      <c r="D748" s="4" t="s">
        <v>1164</v>
      </c>
      <c r="E748" s="4">
        <v>0.0</v>
      </c>
      <c r="F748" s="4">
        <v>47.0</v>
      </c>
      <c r="G748" s="4" t="s">
        <v>1165</v>
      </c>
    </row>
    <row r="749">
      <c r="A749" s="1">
        <v>747.0</v>
      </c>
      <c r="B749" s="4" t="s">
        <v>1087</v>
      </c>
      <c r="C749" s="5" t="str">
        <f>IFERROR(__xludf.DUMMYFUNCTION("GOOGLETRANSLATE(D:D,""auto"",""en"")"),"Ukrainian aircraft attacked the whole process")</f>
        <v>Ukrainian aircraft attacked the whole process</v>
      </c>
      <c r="D749" s="4" t="s">
        <v>1166</v>
      </c>
      <c r="E749" s="4">
        <v>0.0</v>
      </c>
      <c r="F749" s="4">
        <v>48.0</v>
      </c>
      <c r="G749" s="4" t="s">
        <v>1167</v>
      </c>
    </row>
    <row r="750">
      <c r="A750" s="1">
        <v>748.0</v>
      </c>
      <c r="B750" s="4" t="s">
        <v>1087</v>
      </c>
      <c r="C750" s="5" t="str">
        <f>IFERROR(__xludf.DUMMYFUNCTION("GOOGLETRANSLATE(D:D,""auto"",""en"")"),"William caliph disclaimer")</f>
        <v>William caliph disclaimer</v>
      </c>
      <c r="D750" s="4" t="s">
        <v>1057</v>
      </c>
      <c r="E750" s="4">
        <v>0.0</v>
      </c>
      <c r="F750" s="4">
        <v>49.0</v>
      </c>
      <c r="G750" s="4" t="s">
        <v>1058</v>
      </c>
    </row>
    <row r="751">
      <c r="A751" s="1">
        <v>749.0</v>
      </c>
      <c r="B751" s="4" t="s">
        <v>1087</v>
      </c>
      <c r="C751" s="5" t="str">
        <f>IFERROR(__xludf.DUMMYFUNCTION("GOOGLETRANSLATE(D:D,""auto"",""en"")"),"Piece of paper more than 50 scripts")</f>
        <v>Piece of paper more than 50 scripts</v>
      </c>
      <c r="D751" s="4" t="s">
        <v>1168</v>
      </c>
      <c r="E751" s="4">
        <v>0.0</v>
      </c>
      <c r="F751" s="4">
        <v>50.0</v>
      </c>
      <c r="G751" s="4" t="s">
        <v>1169</v>
      </c>
    </row>
    <row r="752">
      <c r="A752" s="1">
        <v>750.0</v>
      </c>
      <c r="B752" s="4" t="s">
        <v>1170</v>
      </c>
      <c r="C752" s="5" t="str">
        <f>IFERROR(__xludf.DUMMYFUNCTION("GOOGLETRANSLATE(D:D,""auto"",""en"")"),"Russian government resigned en bloc")</f>
        <v>Russian government resigned en bloc</v>
      </c>
      <c r="D752" s="4" t="s">
        <v>1126</v>
      </c>
      <c r="E752" s="4">
        <v>0.0</v>
      </c>
      <c r="F752" s="4">
        <v>1.0</v>
      </c>
      <c r="G752" s="4" t="s">
        <v>1127</v>
      </c>
    </row>
    <row r="753">
      <c r="A753" s="1">
        <v>751.0</v>
      </c>
      <c r="B753" s="4" t="s">
        <v>1170</v>
      </c>
      <c r="C753" s="5" t="str">
        <f>IFERROR(__xludf.DUMMYFUNCTION("GOOGLETRANSLATE(D:D,""auto"",""en"")"),"5 apologize love apartment")</f>
        <v>5 apologize love apartment</v>
      </c>
      <c r="D753" s="4" t="s">
        <v>1140</v>
      </c>
      <c r="E753" s="4">
        <v>0.0</v>
      </c>
      <c r="F753" s="4">
        <v>2.0</v>
      </c>
      <c r="G753" s="4" t="s">
        <v>1141</v>
      </c>
    </row>
    <row r="754">
      <c r="A754" s="1">
        <v>752.0</v>
      </c>
      <c r="B754" s="4" t="s">
        <v>1170</v>
      </c>
      <c r="C754" s="5" t="str">
        <f>IFERROR(__xludf.DUMMYFUNCTION("GOOGLETRANSLATE(D:D,""auto"",""en"")"),"Domestic release system UOS")</f>
        <v>Domestic release system UOS</v>
      </c>
      <c r="D754" s="4" t="s">
        <v>1171</v>
      </c>
      <c r="E754" s="4">
        <v>0.0</v>
      </c>
      <c r="F754" s="4">
        <v>3.0</v>
      </c>
      <c r="G754" s="4" t="s">
        <v>1172</v>
      </c>
    </row>
    <row r="755">
      <c r="A755" s="1">
        <v>753.0</v>
      </c>
      <c r="B755" s="4" t="s">
        <v>1170</v>
      </c>
      <c r="C755" s="5" t="str">
        <f>IFERROR(__xludf.DUMMYFUNCTION("GOOGLETRANSLATE(D:D,""auto"",""en"")"),"Zhongxiang death")</f>
        <v>Zhongxiang death</v>
      </c>
      <c r="D755" s="4" t="s">
        <v>1173</v>
      </c>
      <c r="E755" s="4">
        <v>0.0</v>
      </c>
      <c r="F755" s="4">
        <v>4.0</v>
      </c>
      <c r="G755" s="4" t="s">
        <v>1174</v>
      </c>
    </row>
    <row r="756">
      <c r="A756" s="1">
        <v>754.0</v>
      </c>
      <c r="B756" s="4" t="s">
        <v>1170</v>
      </c>
      <c r="C756" s="5" t="str">
        <f>IFERROR(__xludf.DUMMYFUNCTION("GOOGLETRANSLATE(D:D,""auto"",""en"")"),"Putin's State of the Union")</f>
        <v>Putin's State of the Union</v>
      </c>
      <c r="D756" s="4" t="s">
        <v>1175</v>
      </c>
      <c r="E756" s="4">
        <v>0.0</v>
      </c>
      <c r="F756" s="4">
        <v>5.0</v>
      </c>
      <c r="G756" s="4" t="s">
        <v>1176</v>
      </c>
    </row>
    <row r="757">
      <c r="A757" s="1">
        <v>755.0</v>
      </c>
      <c r="B757" s="4" t="s">
        <v>1170</v>
      </c>
      <c r="C757" s="5" t="str">
        <f>IFERROR(__xludf.DUMMYFUNCTION("GOOGLETRANSLATE(D:D,""auto"",""en"")"),"Recalling his lifetime image Zhongxiang")</f>
        <v>Recalling his lifetime image Zhongxiang</v>
      </c>
      <c r="D757" s="4" t="s">
        <v>1177</v>
      </c>
      <c r="E757" s="4">
        <v>0.0</v>
      </c>
      <c r="F757" s="4">
        <v>6.0</v>
      </c>
      <c r="G757" s="4" t="s">
        <v>1178</v>
      </c>
    </row>
    <row r="758">
      <c r="A758" s="1">
        <v>756.0</v>
      </c>
      <c r="B758" s="4" t="s">
        <v>1170</v>
      </c>
      <c r="C758" s="5" t="str">
        <f>IFERROR(__xludf.DUMMYFUNCTION("GOOGLETRANSLATE(D:D,""auto"",""en"")"),"Zhongxiang farewell ceremony time")</f>
        <v>Zhongxiang farewell ceremony time</v>
      </c>
      <c r="D758" s="4" t="s">
        <v>1179</v>
      </c>
      <c r="E758" s="4">
        <v>0.0</v>
      </c>
      <c r="F758" s="4">
        <v>7.0</v>
      </c>
      <c r="G758" s="4" t="s">
        <v>1180</v>
      </c>
    </row>
    <row r="759">
      <c r="A759" s="1">
        <v>757.0</v>
      </c>
      <c r="B759" s="4" t="s">
        <v>1170</v>
      </c>
      <c r="C759" s="5" t="str">
        <f>IFERROR(__xludf.DUMMYFUNCTION("GOOGLETRANSLATE(D:D,""auto"",""en"")"),"A stage full of Sino-US agreement")</f>
        <v>A stage full of Sino-US agreement</v>
      </c>
      <c r="D759" s="4" t="s">
        <v>1181</v>
      </c>
      <c r="E759" s="4">
        <v>0.0</v>
      </c>
      <c r="F759" s="4">
        <v>8.0</v>
      </c>
      <c r="G759" s="4" t="s">
        <v>1182</v>
      </c>
    </row>
    <row r="760">
      <c r="A760" s="1">
        <v>758.0</v>
      </c>
      <c r="B760" s="4" t="s">
        <v>1170</v>
      </c>
      <c r="C760" s="5" t="str">
        <f>IFERROR(__xludf.DUMMYFUNCTION("GOOGLETRANSLATE(D:D,""auto"",""en"")"),"Sun Wenbin was sentenced to death")</f>
        <v>Sun Wenbin was sentenced to death</v>
      </c>
      <c r="D760" s="4" t="s">
        <v>1183</v>
      </c>
      <c r="E760" s="4">
        <v>0.0</v>
      </c>
      <c r="F760" s="4">
        <v>9.0</v>
      </c>
      <c r="G760" s="4" t="s">
        <v>1184</v>
      </c>
    </row>
    <row r="761">
      <c r="A761" s="1">
        <v>759.0</v>
      </c>
      <c r="B761" s="4" t="s">
        <v>1170</v>
      </c>
      <c r="C761" s="5" t="str">
        <f>IFERROR(__xludf.DUMMYFUNCTION("GOOGLETRANSLATE(D:D,""auto"",""en"")"),"Zhao son recent photograph of exposure")</f>
        <v>Zhao son recent photograph of exposure</v>
      </c>
      <c r="D761" s="4" t="s">
        <v>1185</v>
      </c>
      <c r="E761" s="4">
        <v>0.0</v>
      </c>
      <c r="F761" s="4">
        <v>10.0</v>
      </c>
      <c r="G761" s="4" t="s">
        <v>1186</v>
      </c>
    </row>
    <row r="762">
      <c r="A762" s="1">
        <v>760.0</v>
      </c>
      <c r="B762" s="4" t="s">
        <v>1170</v>
      </c>
      <c r="C762" s="5" t="str">
        <f>IFERROR(__xludf.DUMMYFUNCTION("GOOGLETRANSLATE(D:D,""auto"",""en"")"),"Shuang Zhang Heng Zheng broke the news account non")</f>
        <v>Shuang Zhang Heng Zheng broke the news account non</v>
      </c>
      <c r="D762" s="4" t="s">
        <v>1187</v>
      </c>
      <c r="E762" s="4">
        <v>0.0</v>
      </c>
      <c r="F762" s="4">
        <v>11.0</v>
      </c>
      <c r="G762" s="4" t="s">
        <v>1188</v>
      </c>
    </row>
    <row r="763">
      <c r="A763" s="1">
        <v>761.0</v>
      </c>
      <c r="B763" s="4" t="s">
        <v>1170</v>
      </c>
      <c r="C763" s="5" t="str">
        <f>IFERROR(__xludf.DUMMYFUNCTION("GOOGLETRANSLATE(D:D,""auto"",""en"")"),"5.6 earthquake in Xinjiang Kuqa")</f>
        <v>5.6 earthquake in Xinjiang Kuqa</v>
      </c>
      <c r="D763" s="4" t="s">
        <v>1189</v>
      </c>
      <c r="E763" s="4">
        <v>0.0</v>
      </c>
      <c r="F763" s="4">
        <v>12.0</v>
      </c>
      <c r="G763" s="4" t="s">
        <v>1190</v>
      </c>
    </row>
    <row r="764">
      <c r="A764" s="1">
        <v>762.0</v>
      </c>
      <c r="B764" s="4" t="s">
        <v>1170</v>
      </c>
      <c r="C764" s="5" t="str">
        <f>IFERROR(__xludf.DUMMYFUNCTION("GOOGLETRANSLATE(D:D,""auto"",""en"")"),"Zhang Chao burned verdict")</f>
        <v>Zhang Chao burned verdict</v>
      </c>
      <c r="D764" s="4" t="s">
        <v>1191</v>
      </c>
      <c r="E764" s="4">
        <v>0.0</v>
      </c>
      <c r="F764" s="4">
        <v>13.0</v>
      </c>
      <c r="G764" s="4" t="s">
        <v>1192</v>
      </c>
    </row>
    <row r="765">
      <c r="A765" s="1">
        <v>763.0</v>
      </c>
      <c r="B765" s="4" t="s">
        <v>1170</v>
      </c>
      <c r="C765" s="5" t="str">
        <f>IFERROR(__xludf.DUMMYFUNCTION("GOOGLETRANSLATE(D:D,""auto"",""en"")"),"Wang Fei apology to the driver")</f>
        <v>Wang Fei apology to the driver</v>
      </c>
      <c r="D765" s="4" t="s">
        <v>1193</v>
      </c>
      <c r="E765" s="4">
        <v>0.0</v>
      </c>
      <c r="F765" s="4">
        <v>14.0</v>
      </c>
      <c r="G765" s="4" t="s">
        <v>1194</v>
      </c>
    </row>
    <row r="766">
      <c r="A766" s="1">
        <v>764.0</v>
      </c>
      <c r="B766" s="4" t="s">
        <v>1170</v>
      </c>
      <c r="C766" s="5" t="str">
        <f>IFERROR(__xludf.DUMMYFUNCTION("GOOGLETRANSLATE(D:D,""auto"",""en"")"),"Mai Li Yin Zhengyi issued")</f>
        <v>Mai Li Yin Zhengyi issued</v>
      </c>
      <c r="D766" s="4" t="s">
        <v>1195</v>
      </c>
      <c r="E766" s="4">
        <v>0.0</v>
      </c>
      <c r="F766" s="4">
        <v>15.0</v>
      </c>
      <c r="G766" s="4" t="s">
        <v>1196</v>
      </c>
    </row>
    <row r="767">
      <c r="A767" s="1">
        <v>765.0</v>
      </c>
      <c r="B767" s="4" t="s">
        <v>1170</v>
      </c>
      <c r="C767" s="5" t="str">
        <f>IFERROR(__xludf.DUMMYFUNCTION("GOOGLETRANSLATE(D:D,""auto"",""en"")"),"Xining subsidence blasting reasons")</f>
        <v>Xining subsidence blasting reasons</v>
      </c>
      <c r="D767" s="4" t="s">
        <v>1197</v>
      </c>
      <c r="E767" s="4">
        <v>0.0</v>
      </c>
      <c r="F767" s="4">
        <v>16.0</v>
      </c>
      <c r="G767" s="4" t="s">
        <v>1198</v>
      </c>
    </row>
    <row r="768">
      <c r="A768" s="1">
        <v>766.0</v>
      </c>
      <c r="B768" s="4" t="s">
        <v>1170</v>
      </c>
      <c r="C768" s="5" t="str">
        <f>IFERROR(__xludf.DUMMYFUNCTION("GOOGLETRANSLATE(D:D,""auto"",""en"")"),"Zhongxiang families selected funerary")</f>
        <v>Zhongxiang families selected funerary</v>
      </c>
      <c r="D768" s="4" t="s">
        <v>1199</v>
      </c>
      <c r="E768" s="4">
        <v>0.0</v>
      </c>
      <c r="F768" s="4">
        <v>17.0</v>
      </c>
      <c r="G768" s="4" t="s">
        <v>1200</v>
      </c>
    </row>
    <row r="769">
      <c r="A769" s="1">
        <v>767.0</v>
      </c>
      <c r="B769" s="4" t="s">
        <v>1170</v>
      </c>
      <c r="C769" s="5" t="str">
        <f>IFERROR(__xludf.DUMMYFUNCTION("GOOGLETRANSLATE(D:D,""auto"",""en"")"),"Sun Yang won the 400 championship since")</f>
        <v>Sun Yang won the 400 championship since</v>
      </c>
      <c r="D769" s="4" t="s">
        <v>1158</v>
      </c>
      <c r="E769" s="4">
        <v>0.0</v>
      </c>
      <c r="F769" s="4">
        <v>18.0</v>
      </c>
      <c r="G769" s="4" t="s">
        <v>1159</v>
      </c>
    </row>
    <row r="770">
      <c r="A770" s="1">
        <v>768.0</v>
      </c>
      <c r="B770" s="4" t="s">
        <v>1170</v>
      </c>
      <c r="C770" s="5" t="str">
        <f>IFERROR(__xludf.DUMMYFUNCTION("GOOGLETRANSLATE(D:D,""auto"",""en"")"),"Two habitable planets are found")</f>
        <v>Two habitable planets are found</v>
      </c>
      <c r="D770" s="4" t="s">
        <v>1201</v>
      </c>
      <c r="E770" s="4">
        <v>0.0</v>
      </c>
      <c r="F770" s="4">
        <v>19.0</v>
      </c>
      <c r="G770" s="4" t="s">
        <v>1202</v>
      </c>
    </row>
    <row r="771">
      <c r="A771" s="1">
        <v>769.0</v>
      </c>
      <c r="B771" s="4" t="s">
        <v>1170</v>
      </c>
      <c r="C771" s="5" t="str">
        <f>IFERROR(__xludf.DUMMYFUNCTION("GOOGLETRANSLATE(D:D,""auto"",""en"")"),"Forbidden City canceled dinner")</f>
        <v>Forbidden City canceled dinner</v>
      </c>
      <c r="D771" s="4" t="s">
        <v>1142</v>
      </c>
      <c r="E771" s="4">
        <v>0.0</v>
      </c>
      <c r="F771" s="4">
        <v>20.0</v>
      </c>
      <c r="G771" s="4" t="s">
        <v>1143</v>
      </c>
    </row>
    <row r="772">
      <c r="A772" s="1">
        <v>770.0</v>
      </c>
      <c r="B772" s="4" t="s">
        <v>1170</v>
      </c>
      <c r="C772" s="5" t="str">
        <f>IFERROR(__xludf.DUMMYFUNCTION("GOOGLETRANSLATE(D:D,""auto"",""en"")"),"Kunming Xundian County earthquake")</f>
        <v>Kunming Xundian County earthquake</v>
      </c>
      <c r="D772" s="4" t="s">
        <v>1124</v>
      </c>
      <c r="E772" s="4">
        <v>0.0</v>
      </c>
      <c r="F772" s="4">
        <v>21.0</v>
      </c>
      <c r="G772" s="4" t="s">
        <v>1125</v>
      </c>
    </row>
    <row r="773">
      <c r="A773" s="1">
        <v>771.0</v>
      </c>
      <c r="B773" s="4" t="s">
        <v>1170</v>
      </c>
      <c r="C773" s="5" t="str">
        <f>IFERROR(__xludf.DUMMYFUNCTION("GOOGLETRANSLATE(D:D,""auto"",""en"")"),"Nongfushangquan issued a statement")</f>
        <v>Nongfushangquan issued a statement</v>
      </c>
      <c r="D773" s="4" t="s">
        <v>1203</v>
      </c>
      <c r="E773" s="4">
        <v>0.0</v>
      </c>
      <c r="F773" s="4">
        <v>22.0</v>
      </c>
      <c r="G773" s="4" t="s">
        <v>1204</v>
      </c>
    </row>
    <row r="774">
      <c r="A774" s="1">
        <v>772.0</v>
      </c>
      <c r="B774" s="4" t="s">
        <v>1170</v>
      </c>
      <c r="C774" s="5" t="str">
        <f>IFERROR(__xludf.DUMMYFUNCTION("GOOGLETRANSLATE(D:D,""auto"",""en"")"),"Putin to nominate a new prime minister")</f>
        <v>Putin to nominate a new prime minister</v>
      </c>
      <c r="D774" s="4" t="s">
        <v>1205</v>
      </c>
      <c r="E774" s="4">
        <v>0.0</v>
      </c>
      <c r="F774" s="4">
        <v>23.0</v>
      </c>
      <c r="G774" s="4" t="s">
        <v>1206</v>
      </c>
    </row>
    <row r="775">
      <c r="A775" s="1">
        <v>773.0</v>
      </c>
      <c r="B775" s="4" t="s">
        <v>1170</v>
      </c>
      <c r="C775" s="5" t="str">
        <f>IFERROR(__xludf.DUMMYFUNCTION("GOOGLETRANSLATE(D:D,""auto"",""en"")"),"Wangjun Kai Fang denied the affair")</f>
        <v>Wangjun Kai Fang denied the affair</v>
      </c>
      <c r="D775" s="4" t="s">
        <v>1207</v>
      </c>
      <c r="E775" s="4">
        <v>0.0</v>
      </c>
      <c r="F775" s="4">
        <v>24.0</v>
      </c>
      <c r="G775" s="4" t="s">
        <v>1208</v>
      </c>
    </row>
    <row r="776">
      <c r="A776" s="1">
        <v>774.0</v>
      </c>
      <c r="B776" s="4" t="s">
        <v>1170</v>
      </c>
      <c r="C776" s="5" t="str">
        <f>IFERROR(__xludf.DUMMYFUNCTION("GOOGLETRANSLATE(D:D,""auto"",""en"")"),"Zhongxiang last public appearance")</f>
        <v>Zhongxiang last public appearance</v>
      </c>
      <c r="D776" s="4" t="s">
        <v>1209</v>
      </c>
      <c r="E776" s="4">
        <v>0.0</v>
      </c>
      <c r="F776" s="4">
        <v>25.0</v>
      </c>
      <c r="G776" s="4" t="s">
        <v>1210</v>
      </c>
    </row>
    <row r="777">
      <c r="A777" s="1">
        <v>775.0</v>
      </c>
      <c r="B777" s="4" t="s">
        <v>1170</v>
      </c>
      <c r="C777" s="5" t="str">
        <f>IFERROR(__xludf.DUMMYFUNCTION("GOOGLETRANSLATE(D:D,""auto"",""en"")"),"Remembrance stars Zhongxiang")</f>
        <v>Remembrance stars Zhongxiang</v>
      </c>
      <c r="D777" s="4" t="s">
        <v>1211</v>
      </c>
      <c r="E777" s="4">
        <v>0.0</v>
      </c>
      <c r="F777" s="4">
        <v>26.0</v>
      </c>
      <c r="G777" s="4" t="s">
        <v>1212</v>
      </c>
    </row>
    <row r="778">
      <c r="A778" s="1">
        <v>776.0</v>
      </c>
      <c r="B778" s="4" t="s">
        <v>1170</v>
      </c>
      <c r="C778" s="5" t="str">
        <f>IFERROR(__xludf.DUMMYFUNCTION("GOOGLETRANSLATE(D:D,""auto"",""en"")"),"JJM apology")</f>
        <v>JJM apology</v>
      </c>
      <c r="D778" s="4" t="s">
        <v>1213</v>
      </c>
      <c r="E778" s="4">
        <v>0.0</v>
      </c>
      <c r="F778" s="4">
        <v>27.0</v>
      </c>
      <c r="G778" s="4" t="s">
        <v>1214</v>
      </c>
    </row>
    <row r="779">
      <c r="A779" s="1">
        <v>777.0</v>
      </c>
      <c r="B779" s="4" t="s">
        <v>1170</v>
      </c>
      <c r="C779" s="5" t="str">
        <f>IFERROR(__xludf.DUMMYFUNCTION("GOOGLETRANSLATE(D:D,""auto"",""en"")"),"Zheng Shuang Zhang Heng issued innuendo")</f>
        <v>Zheng Shuang Zhang Heng issued innuendo</v>
      </c>
      <c r="D779" s="4" t="s">
        <v>1215</v>
      </c>
      <c r="E779" s="4">
        <v>0.0</v>
      </c>
      <c r="F779" s="4">
        <v>28.0</v>
      </c>
      <c r="G779" s="4" t="s">
        <v>1216</v>
      </c>
    </row>
    <row r="780">
      <c r="A780" s="1">
        <v>778.0</v>
      </c>
      <c r="B780" s="4" t="s">
        <v>1170</v>
      </c>
      <c r="C780" s="5" t="str">
        <f>IFERROR(__xludf.DUMMYFUNCTION("GOOGLETRANSLATE(D:D,""auto"",""en"")"),"CBA official apology to carry on into the macro")</f>
        <v>CBA official apology to carry on into the macro</v>
      </c>
      <c r="D780" s="4" t="s">
        <v>1154</v>
      </c>
      <c r="E780" s="4">
        <v>0.0</v>
      </c>
      <c r="F780" s="4">
        <v>29.0</v>
      </c>
      <c r="G780" s="4" t="s">
        <v>1155</v>
      </c>
    </row>
    <row r="781">
      <c r="A781" s="1">
        <v>779.0</v>
      </c>
      <c r="B781" s="4" t="s">
        <v>1170</v>
      </c>
      <c r="C781" s="5" t="str">
        <f>IFERROR(__xludf.DUMMYFUNCTION("GOOGLETRANSLATE(D:D,""auto"",""en"")"),"Trump filed articles of impeachment")</f>
        <v>Trump filed articles of impeachment</v>
      </c>
      <c r="D781" s="4" t="s">
        <v>1217</v>
      </c>
      <c r="E781" s="4">
        <v>0.0</v>
      </c>
      <c r="F781" s="4">
        <v>30.0</v>
      </c>
      <c r="G781" s="4" t="s">
        <v>1218</v>
      </c>
    </row>
    <row r="782">
      <c r="A782" s="1">
        <v>780.0</v>
      </c>
      <c r="B782" s="4" t="s">
        <v>1170</v>
      </c>
      <c r="C782" s="5" t="str">
        <f>IFERROR(__xludf.DUMMYFUNCTION("GOOGLETRANSLATE(D:D,""auto"",""en"")"),"China and the US signed a protocol stage")</f>
        <v>China and the US signed a protocol stage</v>
      </c>
      <c r="D782" s="4" t="s">
        <v>1219</v>
      </c>
      <c r="E782" s="4">
        <v>0.0</v>
      </c>
      <c r="F782" s="4">
        <v>31.0</v>
      </c>
      <c r="G782" s="4" t="s">
        <v>1220</v>
      </c>
    </row>
    <row r="783">
      <c r="A783" s="1">
        <v>781.0</v>
      </c>
      <c r="B783" s="4" t="s">
        <v>1170</v>
      </c>
      <c r="C783" s="5" t="str">
        <f>IFERROR(__xludf.DUMMYFUNCTION("GOOGLETRANSLATE(D:D,""auto"",""en"")"),"Australian victims clean up animal carcasses")</f>
        <v>Australian victims clean up animal carcasses</v>
      </c>
      <c r="D783" s="4" t="s">
        <v>1221</v>
      </c>
      <c r="E783" s="4">
        <v>0.0</v>
      </c>
      <c r="F783" s="4">
        <v>32.0</v>
      </c>
      <c r="G783" s="4" t="s">
        <v>1222</v>
      </c>
    </row>
    <row r="784">
      <c r="A784" s="1">
        <v>782.0</v>
      </c>
      <c r="B784" s="4" t="s">
        <v>1170</v>
      </c>
      <c r="C784" s="5" t="str">
        <f>IFERROR(__xludf.DUMMYFUNCTION("GOOGLETRANSLATE(D:D,""auto"",""en"")"),"Birthday too common to Hayden")</f>
        <v>Birthday too common to Hayden</v>
      </c>
      <c r="D784" s="4" t="s">
        <v>1223</v>
      </c>
      <c r="E784" s="4">
        <v>0.0</v>
      </c>
      <c r="F784" s="4">
        <v>33.0</v>
      </c>
      <c r="G784" s="4" t="s">
        <v>1224</v>
      </c>
    </row>
    <row r="785">
      <c r="A785" s="1">
        <v>783.0</v>
      </c>
      <c r="B785" s="4" t="s">
        <v>1170</v>
      </c>
      <c r="C785" s="5" t="str">
        <f>IFERROR(__xludf.DUMMYFUNCTION("GOOGLETRANSLATE(D:D,""auto"",""en"")"),"Gordon Chan announced the birth of her daughter")</f>
        <v>Gordon Chan announced the birth of her daughter</v>
      </c>
      <c r="D785" s="4" t="s">
        <v>1225</v>
      </c>
      <c r="E785" s="4">
        <v>0.0</v>
      </c>
      <c r="F785" s="4">
        <v>34.0</v>
      </c>
      <c r="G785" s="4" t="s">
        <v>1226</v>
      </c>
    </row>
    <row r="786">
      <c r="A786" s="1">
        <v>784.0</v>
      </c>
      <c r="B786" s="4" t="s">
        <v>1170</v>
      </c>
      <c r="C786" s="5" t="str">
        <f>IFERROR(__xludf.DUMMYFUNCTION("GOOGLETRANSLATE(D:D,""auto"",""en"")"),"Fujian Yongan hill fires")</f>
        <v>Fujian Yongan hill fires</v>
      </c>
      <c r="D786" s="4" t="s">
        <v>1227</v>
      </c>
      <c r="E786" s="4">
        <v>0.0</v>
      </c>
      <c r="F786" s="4">
        <v>35.0</v>
      </c>
      <c r="G786" s="4" t="s">
        <v>1228</v>
      </c>
    </row>
    <row r="787">
      <c r="A787" s="1">
        <v>785.0</v>
      </c>
      <c r="B787" s="4" t="s">
        <v>1170</v>
      </c>
      <c r="C787" s="5" t="str">
        <f>IFERROR(__xludf.DUMMYFUNCTION("GOOGLETRANSLATE(D:D,""auto"",""en"")"),"Jiangsu or break 10 trillion GDP")</f>
        <v>Jiangsu or break 10 trillion GDP</v>
      </c>
      <c r="D787" s="4" t="s">
        <v>1136</v>
      </c>
      <c r="E787" s="4">
        <v>0.0</v>
      </c>
      <c r="F787" s="4">
        <v>36.0</v>
      </c>
      <c r="G787" s="4" t="s">
        <v>1137</v>
      </c>
    </row>
    <row r="788">
      <c r="A788" s="1">
        <v>786.0</v>
      </c>
      <c r="B788" s="4" t="s">
        <v>1170</v>
      </c>
      <c r="C788" s="5" t="str">
        <f>IFERROR(__xludf.DUMMYFUNCTION("GOOGLETRANSLATE(D:D,""auto"",""en"")"),"One red flag H9 launch")</f>
        <v>One red flag H9 launch</v>
      </c>
      <c r="D788" s="4" t="s">
        <v>1118</v>
      </c>
      <c r="E788" s="4">
        <v>0.0</v>
      </c>
      <c r="F788" s="4">
        <v>37.0</v>
      </c>
      <c r="G788" s="4" t="s">
        <v>1119</v>
      </c>
    </row>
    <row r="789">
      <c r="A789" s="1">
        <v>787.0</v>
      </c>
      <c r="B789" s="4" t="s">
        <v>1170</v>
      </c>
      <c r="C789" s="5" t="str">
        <f>IFERROR(__xludf.DUMMYFUNCTION("GOOGLETRANSLATE(D:D,""auto"",""en"")"),"Yang Zi Zhang Yishan sing on the same stage")</f>
        <v>Yang Zi Zhang Yishan sing on the same stage</v>
      </c>
      <c r="D789" s="4" t="s">
        <v>1229</v>
      </c>
      <c r="E789" s="4">
        <v>0.0</v>
      </c>
      <c r="F789" s="4">
        <v>38.0</v>
      </c>
      <c r="G789" s="4" t="s">
        <v>1230</v>
      </c>
    </row>
    <row r="790">
      <c r="A790" s="1">
        <v>788.0</v>
      </c>
      <c r="B790" s="4" t="s">
        <v>1170</v>
      </c>
      <c r="C790" s="5" t="str">
        <f>IFERROR(__xludf.DUMMYFUNCTION("GOOGLETRANSLATE(D:D,""auto"",""en"")"),"Australian fire row tons of carbon dioxide")</f>
        <v>Australian fire row tons of carbon dioxide</v>
      </c>
      <c r="D790" s="4" t="s">
        <v>1231</v>
      </c>
      <c r="E790" s="4">
        <v>0.0</v>
      </c>
      <c r="F790" s="4">
        <v>39.0</v>
      </c>
      <c r="G790" s="4" t="s">
        <v>1232</v>
      </c>
    </row>
    <row r="791">
      <c r="A791" s="1">
        <v>789.0</v>
      </c>
      <c r="B791" s="4" t="s">
        <v>1170</v>
      </c>
      <c r="C791" s="5" t="str">
        <f>IFERROR(__xludf.DUMMYFUNCTION("GOOGLETRANSLATE(D:D,""auto"",""en"")"),"Yi Xi smelt one thousand do not wear Qiuku")</f>
        <v>Yi Xi smelt one thousand do not wear Qiuku</v>
      </c>
      <c r="D791" s="4" t="s">
        <v>1233</v>
      </c>
      <c r="E791" s="4">
        <v>0.0</v>
      </c>
      <c r="F791" s="4">
        <v>40.0</v>
      </c>
      <c r="G791" s="4" t="s">
        <v>1234</v>
      </c>
    </row>
    <row r="792">
      <c r="A792" s="1">
        <v>790.0</v>
      </c>
      <c r="B792" s="4" t="s">
        <v>1170</v>
      </c>
      <c r="C792" s="5" t="str">
        <f>IFERROR(__xludf.DUMMYFUNCTION("GOOGLETRANSLATE(D:D,""auto"",""en"")"),"Scarab recall Zhongxiang")</f>
        <v>Scarab recall Zhongxiang</v>
      </c>
      <c r="D792" s="4" t="s">
        <v>1235</v>
      </c>
      <c r="E792" s="4">
        <v>0.0</v>
      </c>
      <c r="F792" s="4">
        <v>41.0</v>
      </c>
      <c r="G792" s="4" t="s">
        <v>1236</v>
      </c>
    </row>
    <row r="793">
      <c r="A793" s="1">
        <v>791.0</v>
      </c>
      <c r="B793" s="4" t="s">
        <v>1170</v>
      </c>
      <c r="C793" s="5" t="str">
        <f>IFERROR(__xludf.DUMMYFUNCTION("GOOGLETRANSLATE(D:D,""auto"",""en"")"),"Archaeological materials are now seven billion years ago")</f>
        <v>Archaeological materials are now seven billion years ago</v>
      </c>
      <c r="D793" s="4" t="s">
        <v>1120</v>
      </c>
      <c r="E793" s="4">
        <v>0.0</v>
      </c>
      <c r="F793" s="4">
        <v>42.0</v>
      </c>
      <c r="G793" s="4" t="s">
        <v>1121</v>
      </c>
    </row>
    <row r="794">
      <c r="A794" s="1">
        <v>792.0</v>
      </c>
      <c r="B794" s="4" t="s">
        <v>1170</v>
      </c>
      <c r="C794" s="5" t="str">
        <f>IFERROR(__xludf.DUMMYFUNCTION("GOOGLETRANSLATE(D:D,""auto"",""en"")"),"Song Qian sister station to recognize South Korea")</f>
        <v>Song Qian sister station to recognize South Korea</v>
      </c>
      <c r="D794" s="4" t="s">
        <v>1110</v>
      </c>
      <c r="E794" s="4">
        <v>0.0</v>
      </c>
      <c r="F794" s="4">
        <v>43.0</v>
      </c>
      <c r="G794" s="4" t="s">
        <v>1111</v>
      </c>
    </row>
    <row r="795">
      <c r="A795" s="1">
        <v>793.0</v>
      </c>
      <c r="B795" s="4" t="s">
        <v>1170</v>
      </c>
      <c r="C795" s="5" t="str">
        <f>IFERROR(__xludf.DUMMYFUNCTION("GOOGLETRANSLATE(D:D,""auto"",""en"")"),"Xining pavement collapse")</f>
        <v>Xining pavement collapse</v>
      </c>
      <c r="D795" s="4" t="s">
        <v>1090</v>
      </c>
      <c r="E795" s="4">
        <v>0.0</v>
      </c>
      <c r="F795" s="4">
        <v>44.0</v>
      </c>
      <c r="G795" s="4" t="s">
        <v>1091</v>
      </c>
    </row>
    <row r="796">
      <c r="A796" s="1">
        <v>794.0</v>
      </c>
      <c r="B796" s="4" t="s">
        <v>1170</v>
      </c>
      <c r="C796" s="5" t="str">
        <f>IFERROR(__xludf.DUMMYFUNCTION("GOOGLETRANSLATE(D:D,""auto"",""en"")"),"Bus trapped inside the hole picture")</f>
        <v>Bus trapped inside the hole picture</v>
      </c>
      <c r="D796" s="4" t="s">
        <v>1237</v>
      </c>
      <c r="E796" s="4">
        <v>0.0</v>
      </c>
      <c r="F796" s="4">
        <v>45.0</v>
      </c>
      <c r="G796" s="4" t="s">
        <v>1238</v>
      </c>
    </row>
    <row r="797">
      <c r="A797" s="1">
        <v>795.0</v>
      </c>
      <c r="B797" s="4" t="s">
        <v>1170</v>
      </c>
      <c r="C797" s="5" t="str">
        <f>IFERROR(__xludf.DUMMYFUNCTION("GOOGLETRANSLATE(D:D,""auto"",""en"")"),"Yue Yunpeng was friends talk p map")</f>
        <v>Yue Yunpeng was friends talk p map</v>
      </c>
      <c r="D797" s="4" t="s">
        <v>1239</v>
      </c>
      <c r="E797" s="4">
        <v>0.0</v>
      </c>
      <c r="F797" s="4">
        <v>46.0</v>
      </c>
      <c r="G797" s="4" t="s">
        <v>1240</v>
      </c>
    </row>
    <row r="798">
      <c r="A798" s="1">
        <v>796.0</v>
      </c>
      <c r="B798" s="4" t="s">
        <v>1170</v>
      </c>
      <c r="C798" s="5" t="str">
        <f>IFERROR(__xludf.DUMMYFUNCTION("GOOGLETRANSLATE(D:D,""auto"",""en"")"),"Boys throw men in administrative detention")</f>
        <v>Boys throw men in administrative detention</v>
      </c>
      <c r="D798" s="4" t="s">
        <v>1241</v>
      </c>
      <c r="E798" s="4">
        <v>0.0</v>
      </c>
      <c r="F798" s="4">
        <v>47.0</v>
      </c>
      <c r="G798" s="4" t="s">
        <v>1242</v>
      </c>
    </row>
    <row r="799">
      <c r="A799" s="1">
        <v>797.0</v>
      </c>
      <c r="B799" s="4" t="s">
        <v>1170</v>
      </c>
      <c r="C799" s="5" t="str">
        <f>IFERROR(__xludf.DUMMYFUNCTION("GOOGLETRANSLATE(D:D,""auto"",""en"")"),"Medvedev resignation site")</f>
        <v>Medvedev resignation site</v>
      </c>
      <c r="D799" s="4" t="s">
        <v>1243</v>
      </c>
      <c r="E799" s="4">
        <v>0.0</v>
      </c>
      <c r="F799" s="4">
        <v>48.0</v>
      </c>
      <c r="G799" s="4" t="s">
        <v>1244</v>
      </c>
    </row>
    <row r="800">
      <c r="A800" s="1">
        <v>798.0</v>
      </c>
      <c r="B800" s="4" t="s">
        <v>1170</v>
      </c>
      <c r="C800" s="5" t="str">
        <f>IFERROR(__xludf.DUMMYFUNCTION("GOOGLETRANSLATE(D:D,""auto"",""en"")"),"Chinese Embassy in Thailand, informed")</f>
        <v>Chinese Embassy in Thailand, informed</v>
      </c>
      <c r="D800" s="4" t="s">
        <v>1245</v>
      </c>
      <c r="E800" s="4">
        <v>0.0</v>
      </c>
      <c r="F800" s="4">
        <v>49.0</v>
      </c>
      <c r="G800" s="4" t="s">
        <v>1246</v>
      </c>
    </row>
    <row r="801">
      <c r="A801" s="1">
        <v>799.0</v>
      </c>
      <c r="B801" s="4" t="s">
        <v>1170</v>
      </c>
      <c r="C801" s="5" t="str">
        <f>IFERROR(__xludf.DUMMYFUNCTION("GOOGLETRANSLATE(D:D,""auto"",""en"")"),"Yang Mi night to go to a beauty salon")</f>
        <v>Yang Mi night to go to a beauty salon</v>
      </c>
      <c r="D801" s="4" t="s">
        <v>1100</v>
      </c>
      <c r="E801" s="4">
        <v>0.0</v>
      </c>
      <c r="F801" s="4">
        <v>50.0</v>
      </c>
      <c r="G801" s="4" t="s">
        <v>1101</v>
      </c>
    </row>
    <row r="802">
      <c r="A802" s="1">
        <v>800.0</v>
      </c>
      <c r="B802" s="4" t="s">
        <v>1247</v>
      </c>
      <c r="C802" s="5" t="str">
        <f>IFERROR(__xludf.DUMMYFUNCTION("GOOGLETRANSLATE(D:D,""auto"",""en"")"),"Zhongxiang death")</f>
        <v>Zhongxiang death</v>
      </c>
      <c r="D802" s="4" t="s">
        <v>1173</v>
      </c>
      <c r="E802" s="4">
        <v>0.0</v>
      </c>
      <c r="F802" s="4">
        <v>1.0</v>
      </c>
      <c r="G802" s="4" t="s">
        <v>1174</v>
      </c>
    </row>
    <row r="803">
      <c r="A803" s="1">
        <v>801.0</v>
      </c>
      <c r="B803" s="4" t="s">
        <v>1247</v>
      </c>
      <c r="C803" s="5" t="str">
        <f>IFERROR(__xludf.DUMMYFUNCTION("GOOGLETRANSLATE(D:D,""auto"",""en"")"),"Zhongxiang families selected funerary")</f>
        <v>Zhongxiang families selected funerary</v>
      </c>
      <c r="D803" s="4" t="s">
        <v>1199</v>
      </c>
      <c r="E803" s="4">
        <v>0.0</v>
      </c>
      <c r="F803" s="4">
        <v>2.0</v>
      </c>
      <c r="G803" s="4" t="s">
        <v>1200</v>
      </c>
    </row>
    <row r="804">
      <c r="A804" s="1">
        <v>802.0</v>
      </c>
      <c r="B804" s="4" t="s">
        <v>1247</v>
      </c>
      <c r="C804" s="5" t="str">
        <f>IFERROR(__xludf.DUMMYFUNCTION("GOOGLETRANSLATE(D:D,""auto"",""en"")"),"Mai Li Yin Zhengyi issued")</f>
        <v>Mai Li Yin Zhengyi issued</v>
      </c>
      <c r="D804" s="4" t="s">
        <v>1195</v>
      </c>
      <c r="E804" s="4">
        <v>0.0</v>
      </c>
      <c r="F804" s="4">
        <v>3.0</v>
      </c>
      <c r="G804" s="4" t="s">
        <v>1196</v>
      </c>
    </row>
    <row r="805">
      <c r="A805" s="1">
        <v>803.0</v>
      </c>
      <c r="B805" s="4" t="s">
        <v>1247</v>
      </c>
      <c r="C805" s="5" t="str">
        <f>IFERROR(__xludf.DUMMYFUNCTION("GOOGLETRANSLATE(D:D,""auto"",""en"")"),"Chinese Embassy in Thailand, informed")</f>
        <v>Chinese Embassy in Thailand, informed</v>
      </c>
      <c r="D805" s="4" t="s">
        <v>1245</v>
      </c>
      <c r="E805" s="4">
        <v>0.0</v>
      </c>
      <c r="F805" s="4">
        <v>4.0</v>
      </c>
      <c r="G805" s="4" t="s">
        <v>1246</v>
      </c>
    </row>
    <row r="806">
      <c r="A806" s="1">
        <v>804.0</v>
      </c>
      <c r="B806" s="4" t="s">
        <v>1247</v>
      </c>
      <c r="C806" s="5" t="str">
        <f>IFERROR(__xludf.DUMMYFUNCTION("GOOGLETRANSLATE(D:D,""auto"",""en"")"),"Xining subsidence blasting reasons")</f>
        <v>Xining subsidence blasting reasons</v>
      </c>
      <c r="D806" s="4" t="s">
        <v>1197</v>
      </c>
      <c r="E806" s="4">
        <v>0.0</v>
      </c>
      <c r="F806" s="4">
        <v>5.0</v>
      </c>
      <c r="G806" s="4" t="s">
        <v>1198</v>
      </c>
    </row>
    <row r="807">
      <c r="A807" s="1">
        <v>805.0</v>
      </c>
      <c r="B807" s="4" t="s">
        <v>1247</v>
      </c>
      <c r="C807" s="5" t="str">
        <f>IFERROR(__xludf.DUMMYFUNCTION("GOOGLETRANSLATE(D:D,""auto"",""en"")"),"Wuhan by pneumonia deaths")</f>
        <v>Wuhan by pneumonia deaths</v>
      </c>
      <c r="D807" s="4" t="s">
        <v>1248</v>
      </c>
      <c r="E807" s="4">
        <v>0.0</v>
      </c>
      <c r="F807" s="4">
        <v>6.0</v>
      </c>
      <c r="G807" s="4" t="s">
        <v>1249</v>
      </c>
    </row>
    <row r="808">
      <c r="A808" s="1">
        <v>806.0</v>
      </c>
      <c r="B808" s="4" t="s">
        <v>1247</v>
      </c>
      <c r="C808" s="5" t="str">
        <f>IFERROR(__xludf.DUMMYFUNCTION("GOOGLETRANSLATE(D:D,""auto"",""en"")"),"Lost to subsidence or off the air-raid shelter")</f>
        <v>Lost to subsidence or off the air-raid shelter</v>
      </c>
      <c r="D808" s="4" t="s">
        <v>1250</v>
      </c>
      <c r="E808" s="4">
        <v>0.0</v>
      </c>
      <c r="F808" s="4">
        <v>7.0</v>
      </c>
      <c r="G808" s="4" t="s">
        <v>1251</v>
      </c>
    </row>
    <row r="809">
      <c r="A809" s="1">
        <v>807.0</v>
      </c>
      <c r="B809" s="4" t="s">
        <v>1247</v>
      </c>
      <c r="C809" s="5" t="str">
        <f>IFERROR(__xludf.DUMMYFUNCTION("GOOGLETRANSLATE(D:D,""auto"",""en"")"),"Zhang Chao sudden illness hospitalized")</f>
        <v>Zhang Chao sudden illness hospitalized</v>
      </c>
      <c r="D809" s="4" t="s">
        <v>1252</v>
      </c>
      <c r="E809" s="4">
        <v>0.0</v>
      </c>
      <c r="F809" s="4">
        <v>8.0</v>
      </c>
      <c r="G809" s="4" t="s">
        <v>1253</v>
      </c>
    </row>
    <row r="810">
      <c r="A810" s="1">
        <v>808.0</v>
      </c>
      <c r="B810" s="4" t="s">
        <v>1247</v>
      </c>
      <c r="C810" s="5" t="str">
        <f>IFERROR(__xludf.DUMMYFUNCTION("GOOGLETRANSLATE(D:D,""auto"",""en"")"),"Sicong issued a high-profile show off their wealth")</f>
        <v>Sicong issued a high-profile show off their wealth</v>
      </c>
      <c r="D810" s="4" t="s">
        <v>1254</v>
      </c>
      <c r="E810" s="4">
        <v>0.0</v>
      </c>
      <c r="F810" s="4">
        <v>9.0</v>
      </c>
      <c r="G810" s="4" t="s">
        <v>1255</v>
      </c>
    </row>
    <row r="811">
      <c r="A811" s="1">
        <v>809.0</v>
      </c>
      <c r="B811" s="4" t="s">
        <v>1247</v>
      </c>
      <c r="C811" s="5" t="str">
        <f>IFERROR(__xludf.DUMMYFUNCTION("GOOGLETRANSLATE(D:D,""auto"",""en"")"),"Queensland wide high-speed multi-car collision")</f>
        <v>Queensland wide high-speed multi-car collision</v>
      </c>
      <c r="D811" s="4" t="s">
        <v>1256</v>
      </c>
      <c r="E811" s="4">
        <v>0.0</v>
      </c>
      <c r="F811" s="4">
        <v>10.0</v>
      </c>
      <c r="G811" s="4" t="s">
        <v>1257</v>
      </c>
    </row>
    <row r="812">
      <c r="A812" s="1">
        <v>810.0</v>
      </c>
      <c r="B812" s="4" t="s">
        <v>1247</v>
      </c>
      <c r="C812" s="5" t="str">
        <f>IFERROR(__xludf.DUMMYFUNCTION("GOOGLETRANSLATE(D:D,""auto"",""en"")"),"Chinese Shao received a threatening Express")</f>
        <v>Chinese Shao received a threatening Express</v>
      </c>
      <c r="D812" s="4" t="s">
        <v>1258</v>
      </c>
      <c r="E812" s="4">
        <v>0.0</v>
      </c>
      <c r="F812" s="4">
        <v>11.0</v>
      </c>
      <c r="G812" s="4" t="s">
        <v>1259</v>
      </c>
    </row>
    <row r="813">
      <c r="A813" s="1">
        <v>811.0</v>
      </c>
      <c r="B813" s="4" t="s">
        <v>1247</v>
      </c>
      <c r="C813" s="5" t="str">
        <f>IFERROR(__xludf.DUMMYFUNCTION("GOOGLETRANSLATE(D:D,""auto"",""en"")"),"Ministry of Civil Affairs will interview children Tsz")</f>
        <v>Ministry of Civil Affairs will interview children Tsz</v>
      </c>
      <c r="D813" s="4" t="s">
        <v>1260</v>
      </c>
      <c r="E813" s="4">
        <v>0.0</v>
      </c>
      <c r="F813" s="4">
        <v>12.0</v>
      </c>
      <c r="G813" s="4" t="s">
        <v>1261</v>
      </c>
    </row>
    <row r="814">
      <c r="A814" s="1">
        <v>812.0</v>
      </c>
      <c r="B814" s="4" t="s">
        <v>1247</v>
      </c>
      <c r="C814" s="5" t="str">
        <f>IFERROR(__xludf.DUMMYFUNCTION("GOOGLETRANSLATE(D:D,""auto"",""en"")"),"Ingram maddening 49 minutes")</f>
        <v>Ingram maddening 49 minutes</v>
      </c>
      <c r="D814" s="4" t="s">
        <v>1262</v>
      </c>
      <c r="E814" s="4">
        <v>0.0</v>
      </c>
      <c r="F814" s="4">
        <v>13.0</v>
      </c>
      <c r="G814" s="4" t="s">
        <v>1263</v>
      </c>
    </row>
    <row r="815">
      <c r="A815" s="1">
        <v>813.0</v>
      </c>
      <c r="B815" s="4" t="s">
        <v>1247</v>
      </c>
      <c r="C815" s="5" t="str">
        <f>IFERROR(__xludf.DUMMYFUNCTION("GOOGLETRANSLATE(D:D,""auto"",""en"")"),"The birth rate to new lows")</f>
        <v>The birth rate to new lows</v>
      </c>
      <c r="D815" s="4" t="s">
        <v>1264</v>
      </c>
      <c r="E815" s="4">
        <v>0.0</v>
      </c>
      <c r="F815" s="4">
        <v>14.0</v>
      </c>
      <c r="G815" s="4" t="s">
        <v>1265</v>
      </c>
    </row>
    <row r="816">
      <c r="A816" s="1">
        <v>814.0</v>
      </c>
      <c r="B816" s="4" t="s">
        <v>1247</v>
      </c>
      <c r="C816" s="5" t="str">
        <f>IFERROR(__xludf.DUMMYFUNCTION("GOOGLETRANSLATE(D:D,""auto"",""en"")"),"Ministry millet interviews")</f>
        <v>Ministry millet interviews</v>
      </c>
      <c r="D816" s="4" t="s">
        <v>1266</v>
      </c>
      <c r="E816" s="4">
        <v>0.0</v>
      </c>
      <c r="F816" s="4">
        <v>15.0</v>
      </c>
      <c r="G816" s="4" t="s">
        <v>1267</v>
      </c>
    </row>
    <row r="817">
      <c r="A817" s="1">
        <v>815.0</v>
      </c>
      <c r="B817" s="4" t="s">
        <v>1247</v>
      </c>
      <c r="C817" s="5" t="str">
        <f>IFERROR(__xludf.DUMMYFUNCTION("GOOGLETRANSLATE(D:D,""auto"",""en"")"),"Iraqi missiles caused 11 US troops hurt")</f>
        <v>Iraqi missiles caused 11 US troops hurt</v>
      </c>
      <c r="D817" s="4" t="s">
        <v>1268</v>
      </c>
      <c r="E817" s="4">
        <v>0.0</v>
      </c>
      <c r="F817" s="4">
        <v>16.0</v>
      </c>
      <c r="G817" s="4" t="s">
        <v>1269</v>
      </c>
    </row>
    <row r="818">
      <c r="A818" s="1">
        <v>816.0</v>
      </c>
      <c r="B818" s="4" t="s">
        <v>1247</v>
      </c>
      <c r="C818" s="5" t="str">
        <f>IFERROR(__xludf.DUMMYFUNCTION("GOOGLETRANSLATE(D:D,""auto"",""en"")"),"CCTV Spring Festival Evening Network")</f>
        <v>CCTV Spring Festival Evening Network</v>
      </c>
      <c r="D818" s="4" t="s">
        <v>1270</v>
      </c>
      <c r="E818" s="4">
        <v>0.0</v>
      </c>
      <c r="F818" s="4">
        <v>17.0</v>
      </c>
      <c r="G818" s="4" t="s">
        <v>1271</v>
      </c>
    </row>
    <row r="819">
      <c r="A819" s="1">
        <v>817.0</v>
      </c>
      <c r="B819" s="4" t="s">
        <v>1247</v>
      </c>
      <c r="C819" s="5" t="str">
        <f>IFERROR(__xludf.DUMMYFUNCTION("GOOGLETRANSLATE(D:D,""auto"",""en"")"),"Wendy Zhang Yi test results released")</f>
        <v>Wendy Zhang Yi test results released</v>
      </c>
      <c r="D819" s="4" t="s">
        <v>1272</v>
      </c>
      <c r="E819" s="4">
        <v>0.0</v>
      </c>
      <c r="F819" s="4">
        <v>18.0</v>
      </c>
      <c r="G819" s="4" t="s">
        <v>1273</v>
      </c>
    </row>
    <row r="820">
      <c r="A820" s="1">
        <v>818.0</v>
      </c>
      <c r="B820" s="4" t="s">
        <v>1247</v>
      </c>
      <c r="C820" s="5" t="str">
        <f>IFERROR(__xludf.DUMMYFUNCTION("GOOGLETRANSLATE(D:D,""auto"",""en"")"),"Xining subsidence or off the air-raid shelter")</f>
        <v>Xining subsidence or off the air-raid shelter</v>
      </c>
      <c r="D820" s="4" t="s">
        <v>1274</v>
      </c>
      <c r="E820" s="4">
        <v>0.0</v>
      </c>
      <c r="F820" s="4">
        <v>19.0</v>
      </c>
      <c r="G820" s="4" t="s">
        <v>1275</v>
      </c>
    </row>
    <row r="821">
      <c r="A821" s="1">
        <v>819.0</v>
      </c>
      <c r="B821" s="4" t="s">
        <v>1247</v>
      </c>
      <c r="C821" s="5" t="str">
        <f>IFERROR(__xludf.DUMMYFUNCTION("GOOGLETRANSLATE(D:D,""auto"",""en"")"),"Comfort ZHU Guang right to hate each other")</f>
        <v>Comfort ZHU Guang right to hate each other</v>
      </c>
      <c r="D821" s="4" t="s">
        <v>1276</v>
      </c>
      <c r="E821" s="4">
        <v>0.0</v>
      </c>
      <c r="F821" s="4">
        <v>20.0</v>
      </c>
      <c r="G821" s="4" t="s">
        <v>1277</v>
      </c>
    </row>
    <row r="822">
      <c r="A822" s="1">
        <v>820.0</v>
      </c>
      <c r="B822" s="4" t="s">
        <v>1247</v>
      </c>
      <c r="C822" s="5" t="str">
        <f>IFERROR(__xludf.DUMMYFUNCTION("GOOGLETRANSLATE(D:D,""auto"",""en"")"),"Mercedes-Benz owners into the Forbidden City to respond")</f>
        <v>Mercedes-Benz owners into the Forbidden City to respond</v>
      </c>
      <c r="D822" s="4" t="s">
        <v>1278</v>
      </c>
      <c r="E822" s="4">
        <v>0.0</v>
      </c>
      <c r="F822" s="4">
        <v>21.0</v>
      </c>
      <c r="G822" s="4" t="s">
        <v>1279</v>
      </c>
    </row>
    <row r="823">
      <c r="A823" s="1">
        <v>821.0</v>
      </c>
      <c r="B823" s="4" t="s">
        <v>1247</v>
      </c>
      <c r="C823" s="5" t="str">
        <f>IFERROR(__xludf.DUMMYFUNCTION("GOOGLETRANSLATE(D:D,""auto"",""en"")"),"Zhou Tao mourn Zhao Zhongxiang")</f>
        <v>Zhou Tao mourn Zhao Zhongxiang</v>
      </c>
      <c r="D823" s="4" t="s">
        <v>1280</v>
      </c>
      <c r="E823" s="4">
        <v>0.0</v>
      </c>
      <c r="F823" s="4">
        <v>22.0</v>
      </c>
      <c r="G823" s="4" t="s">
        <v>1281</v>
      </c>
    </row>
    <row r="824">
      <c r="A824" s="1">
        <v>822.0</v>
      </c>
      <c r="B824" s="4" t="s">
        <v>1247</v>
      </c>
      <c r="C824" s="5" t="str">
        <f>IFERROR(__xludf.DUMMYFUNCTION("GOOGLETRANSLATE(D:D,""auto"",""en"")"),"Women's Mercedes into the Forbidden City")</f>
        <v>Women's Mercedes into the Forbidden City</v>
      </c>
      <c r="D824" s="4" t="s">
        <v>1282</v>
      </c>
      <c r="E824" s="4">
        <v>0.0</v>
      </c>
      <c r="F824" s="4">
        <v>23.0</v>
      </c>
      <c r="G824" s="4" t="s">
        <v>1283</v>
      </c>
    </row>
    <row r="825">
      <c r="A825" s="1">
        <v>823.0</v>
      </c>
      <c r="B825" s="4" t="s">
        <v>1247</v>
      </c>
      <c r="C825" s="5" t="str">
        <f>IFERROR(__xludf.DUMMYFUNCTION("GOOGLETRANSLATE(D:D,""auto"",""en"")"),"Sun Wenbin was sentenced to death")</f>
        <v>Sun Wenbin was sentenced to death</v>
      </c>
      <c r="D825" s="4" t="s">
        <v>1183</v>
      </c>
      <c r="E825" s="4">
        <v>0.0</v>
      </c>
      <c r="F825" s="4">
        <v>24.0</v>
      </c>
      <c r="G825" s="4" t="s">
        <v>1184</v>
      </c>
    </row>
    <row r="826">
      <c r="A826" s="1">
        <v>824.0</v>
      </c>
      <c r="B826" s="4" t="s">
        <v>1247</v>
      </c>
      <c r="C826" s="5" t="str">
        <f>IFERROR(__xludf.DUMMYFUNCTION("GOOGLETRANSLATE(D:D,""auto"",""en"")"),"Wang Fei apology to the driver")</f>
        <v>Wang Fei apology to the driver</v>
      </c>
      <c r="D826" s="4" t="s">
        <v>1193</v>
      </c>
      <c r="E826" s="4">
        <v>0.0</v>
      </c>
      <c r="F826" s="4">
        <v>25.0</v>
      </c>
      <c r="G826" s="4" t="s">
        <v>1194</v>
      </c>
    </row>
    <row r="827">
      <c r="A827" s="1">
        <v>825.0</v>
      </c>
      <c r="B827" s="4" t="s">
        <v>1247</v>
      </c>
      <c r="C827" s="5" t="str">
        <f>IFERROR(__xludf.DUMMYFUNCTION("GOOGLETRANSLATE(D:D,""auto"",""en"")"),"Taobao account was closed in 1980")</f>
        <v>Taobao account was closed in 1980</v>
      </c>
      <c r="D827" s="4" t="s">
        <v>1284</v>
      </c>
      <c r="E827" s="4">
        <v>0.0</v>
      </c>
      <c r="F827" s="4">
        <v>26.0</v>
      </c>
      <c r="G827" s="4" t="s">
        <v>1285</v>
      </c>
    </row>
    <row r="828">
      <c r="A828" s="1">
        <v>826.0</v>
      </c>
      <c r="B828" s="4" t="s">
        <v>1247</v>
      </c>
      <c r="C828" s="5" t="str">
        <f>IFERROR(__xludf.DUMMYFUNCTION("GOOGLETRANSLATE(D:D,""auto"",""en"")"),"Chinese tourists Iceland accident")</f>
        <v>Chinese tourists Iceland accident</v>
      </c>
      <c r="D828" s="4" t="s">
        <v>1286</v>
      </c>
      <c r="E828" s="4">
        <v>0.0</v>
      </c>
      <c r="F828" s="4">
        <v>27.0</v>
      </c>
      <c r="G828" s="4" t="s">
        <v>1287</v>
      </c>
    </row>
    <row r="829">
      <c r="A829" s="1">
        <v>827.0</v>
      </c>
      <c r="B829" s="4" t="s">
        <v>1247</v>
      </c>
      <c r="C829" s="5" t="str">
        <f>IFERROR(__xludf.DUMMYFUNCTION("GOOGLETRANSLATE(D:D,""auto"",""en"")"),"Holly Olympic China wins first gold")</f>
        <v>Holly Olympic China wins first gold</v>
      </c>
      <c r="D829" s="4" t="s">
        <v>1288</v>
      </c>
      <c r="E829" s="4">
        <v>0.0</v>
      </c>
      <c r="F829" s="4">
        <v>28.0</v>
      </c>
      <c r="G829" s="4" t="s">
        <v>1289</v>
      </c>
    </row>
    <row r="830">
      <c r="A830" s="1">
        <v>828.0</v>
      </c>
      <c r="B830" s="4" t="s">
        <v>1247</v>
      </c>
      <c r="C830" s="5" t="str">
        <f>IFERROR(__xludf.DUMMYFUNCTION("GOOGLETRANSLATE(D:D,""auto"",""en"")"),"Chinese mainland population of 1.4 billion break")</f>
        <v>Chinese mainland population of 1.4 billion break</v>
      </c>
      <c r="D830" s="4" t="s">
        <v>1290</v>
      </c>
      <c r="E830" s="4">
        <v>0.0</v>
      </c>
      <c r="F830" s="4">
        <v>29.0</v>
      </c>
      <c r="G830" s="4" t="s">
        <v>1291</v>
      </c>
    </row>
    <row r="831">
      <c r="A831" s="1">
        <v>829.0</v>
      </c>
      <c r="B831" s="4" t="s">
        <v>1247</v>
      </c>
      <c r="C831" s="5" t="str">
        <f>IFERROR(__xludf.DUMMYFUNCTION("GOOGLETRANSLATE(D:D,""auto"",""en"")"),"Boeing aircraft seized in Guizhou")</f>
        <v>Boeing aircraft seized in Guizhou</v>
      </c>
      <c r="D831" s="4" t="s">
        <v>1292</v>
      </c>
      <c r="E831" s="4">
        <v>0.0</v>
      </c>
      <c r="F831" s="4">
        <v>30.0</v>
      </c>
      <c r="G831" s="4" t="s">
        <v>1293</v>
      </c>
    </row>
    <row r="832">
      <c r="A832" s="1">
        <v>830.0</v>
      </c>
      <c r="B832" s="4" t="s">
        <v>1247</v>
      </c>
      <c r="C832" s="5" t="str">
        <f>IFERROR(__xludf.DUMMYFUNCTION("GOOGLETRANSLATE(D:D,""auto"",""en"")"),"Jilin TV Spring Festival")</f>
        <v>Jilin TV Spring Festival</v>
      </c>
      <c r="D832" s="4" t="s">
        <v>1294</v>
      </c>
      <c r="E832" s="4">
        <v>0.0</v>
      </c>
      <c r="F832" s="4">
        <v>31.0</v>
      </c>
      <c r="G832" s="4" t="s">
        <v>1295</v>
      </c>
    </row>
    <row r="833">
      <c r="A833" s="1">
        <v>831.0</v>
      </c>
      <c r="B833" s="4" t="s">
        <v>1247</v>
      </c>
      <c r="C833" s="5" t="str">
        <f>IFERROR(__xludf.DUMMYFUNCTION("GOOGLETRANSLATE(D:D,""auto"",""en"")"),"Thai reproduction coronavirus in patients")</f>
        <v>Thai reproduction coronavirus in patients</v>
      </c>
      <c r="D833" s="4" t="s">
        <v>1296</v>
      </c>
      <c r="E833" s="4">
        <v>0.0</v>
      </c>
      <c r="F833" s="4">
        <v>32.0</v>
      </c>
      <c r="G833" s="4" t="s">
        <v>1297</v>
      </c>
    </row>
    <row r="834">
      <c r="A834" s="1">
        <v>832.0</v>
      </c>
      <c r="B834" s="4" t="s">
        <v>1247</v>
      </c>
      <c r="C834" s="5" t="str">
        <f>IFERROR(__xludf.DUMMYFUNCTION("GOOGLETRANSLATE(D:D,""auto"",""en"")"),"5.6 earthquake in Xinjiang Kuqa")</f>
        <v>5.6 earthquake in Xinjiang Kuqa</v>
      </c>
      <c r="D834" s="4" t="s">
        <v>1189</v>
      </c>
      <c r="E834" s="4">
        <v>0.0</v>
      </c>
      <c r="F834" s="4">
        <v>33.0</v>
      </c>
      <c r="G834" s="4" t="s">
        <v>1190</v>
      </c>
    </row>
    <row r="835">
      <c r="A835" s="1">
        <v>833.0</v>
      </c>
      <c r="B835" s="4" t="s">
        <v>1247</v>
      </c>
      <c r="C835" s="5" t="str">
        <f>IFERROR(__xludf.DUMMYFUNCTION("GOOGLETRANSLATE(D:D,""auto"",""en"")"),"China's per capita GDP report card")</f>
        <v>China's per capita GDP report card</v>
      </c>
      <c r="D835" s="4" t="s">
        <v>1298</v>
      </c>
      <c r="E835" s="4">
        <v>0.0</v>
      </c>
      <c r="F835" s="4">
        <v>34.0</v>
      </c>
      <c r="G835" s="4" t="s">
        <v>1299</v>
      </c>
    </row>
    <row r="836">
      <c r="A836" s="1">
        <v>834.0</v>
      </c>
      <c r="B836" s="4" t="s">
        <v>1247</v>
      </c>
      <c r="C836" s="5" t="str">
        <f>IFERROR(__xludf.DUMMYFUNCTION("GOOGLETRANSLATE(D:D,""auto"",""en"")"),"Australian rain ecstasy")</f>
        <v>Australian rain ecstasy</v>
      </c>
      <c r="D836" s="4" t="s">
        <v>1300</v>
      </c>
      <c r="E836" s="4">
        <v>0.0</v>
      </c>
      <c r="F836" s="4">
        <v>35.0</v>
      </c>
      <c r="G836" s="4" t="s">
        <v>1301</v>
      </c>
    </row>
    <row r="837">
      <c r="A837" s="1">
        <v>835.0</v>
      </c>
      <c r="B837" s="4" t="s">
        <v>1247</v>
      </c>
      <c r="C837" s="5" t="str">
        <f>IFERROR(__xludf.DUMMYFUNCTION("GOOGLETRANSLATE(D:D,""auto"",""en"")"),"eStar beat the FPX")</f>
        <v>eStar beat the FPX</v>
      </c>
      <c r="D837" s="4" t="s">
        <v>1302</v>
      </c>
      <c r="E837" s="4">
        <v>0.0</v>
      </c>
      <c r="F837" s="4">
        <v>36.0</v>
      </c>
      <c r="G837" s="4" t="s">
        <v>1303</v>
      </c>
    </row>
    <row r="838">
      <c r="A838" s="1">
        <v>836.0</v>
      </c>
      <c r="B838" s="4" t="s">
        <v>1247</v>
      </c>
      <c r="C838" s="5" t="str">
        <f>IFERROR(__xludf.DUMMYFUNCTION("GOOGLETRANSLATE(D:D,""auto"",""en"")"),"Forbidden City in response to drive into the Forbidden City")</f>
        <v>Forbidden City in response to drive into the Forbidden City</v>
      </c>
      <c r="D838" s="4" t="s">
        <v>1304</v>
      </c>
      <c r="E838" s="4">
        <v>0.0</v>
      </c>
      <c r="F838" s="4">
        <v>37.0</v>
      </c>
      <c r="G838" s="4" t="s">
        <v>1305</v>
      </c>
    </row>
    <row r="839">
      <c r="A839" s="1">
        <v>837.0</v>
      </c>
      <c r="B839" s="4" t="s">
        <v>1247</v>
      </c>
      <c r="C839" s="5" t="str">
        <f>IFERROR(__xludf.DUMMYFUNCTION("GOOGLETRANSLATE(D:D,""auto"",""en"")"),"Zhongxiang farewell ceremony time")</f>
        <v>Zhongxiang farewell ceremony time</v>
      </c>
      <c r="D839" s="4" t="s">
        <v>1179</v>
      </c>
      <c r="E839" s="4">
        <v>0.0</v>
      </c>
      <c r="F839" s="4">
        <v>38.0</v>
      </c>
      <c r="G839" s="4" t="s">
        <v>1180</v>
      </c>
    </row>
    <row r="840">
      <c r="A840" s="1">
        <v>838.0</v>
      </c>
      <c r="B840" s="4" t="s">
        <v>1247</v>
      </c>
      <c r="C840" s="5" t="str">
        <f>IFERROR(__xludf.DUMMYFUNCTION("GOOGLETRANSLATE(D:D,""auto"",""en"")"),"Men ignite bum quilt")</f>
        <v>Men ignite bum quilt</v>
      </c>
      <c r="D840" s="4" t="s">
        <v>1306</v>
      </c>
      <c r="E840" s="4">
        <v>0.0</v>
      </c>
      <c r="F840" s="4">
        <v>39.0</v>
      </c>
      <c r="G840" s="4" t="s">
        <v>1307</v>
      </c>
    </row>
    <row r="841">
      <c r="A841" s="1">
        <v>839.0</v>
      </c>
      <c r="B841" s="4" t="s">
        <v>1247</v>
      </c>
      <c r="C841" s="5" t="str">
        <f>IFERROR(__xludf.DUMMYFUNCTION("GOOGLETRANSLATE(D:D,""auto"",""en"")"),"Kate responded pregnancy rumors")</f>
        <v>Kate responded pregnancy rumors</v>
      </c>
      <c r="D841" s="4" t="s">
        <v>1308</v>
      </c>
      <c r="E841" s="4">
        <v>0.0</v>
      </c>
      <c r="F841" s="4">
        <v>40.0</v>
      </c>
      <c r="G841" s="4" t="s">
        <v>1309</v>
      </c>
    </row>
    <row r="842">
      <c r="A842" s="1">
        <v>840.0</v>
      </c>
      <c r="B842" s="4" t="s">
        <v>1247</v>
      </c>
      <c r="C842" s="5" t="str">
        <f>IFERROR(__xludf.DUMMYFUNCTION("GOOGLETRANSLATE(D:D,""auto"",""en"")"),"ETC does not show the full cost")</f>
        <v>ETC does not show the full cost</v>
      </c>
      <c r="D842" s="4" t="s">
        <v>1310</v>
      </c>
      <c r="E842" s="4">
        <v>0.0</v>
      </c>
      <c r="F842" s="4">
        <v>41.0</v>
      </c>
      <c r="G842" s="4" t="s">
        <v>1311</v>
      </c>
    </row>
    <row r="843">
      <c r="A843" s="1">
        <v>841.0</v>
      </c>
      <c r="B843" s="4" t="s">
        <v>1247</v>
      </c>
      <c r="C843" s="5" t="str">
        <f>IFERROR(__xludf.DUMMYFUNCTION("GOOGLETRANSLATE(D:D,""auto"",""en"")"),"Medvedev resignation site")</f>
        <v>Medvedev resignation site</v>
      </c>
      <c r="D843" s="4" t="s">
        <v>1243</v>
      </c>
      <c r="E843" s="4">
        <v>0.0</v>
      </c>
      <c r="F843" s="4">
        <v>42.0</v>
      </c>
      <c r="G843" s="4" t="s">
        <v>1244</v>
      </c>
    </row>
    <row r="844">
      <c r="A844" s="1">
        <v>842.0</v>
      </c>
      <c r="B844" s="4" t="s">
        <v>1247</v>
      </c>
      <c r="C844" s="5" t="str">
        <f>IFERROR(__xludf.DUMMYFUNCTION("GOOGLETRANSLATE(D:D,""auto"",""en"")"),"Two habitable planets are found")</f>
        <v>Two habitable planets are found</v>
      </c>
      <c r="D844" s="4" t="s">
        <v>1201</v>
      </c>
      <c r="E844" s="4">
        <v>0.0</v>
      </c>
      <c r="F844" s="4">
        <v>43.0</v>
      </c>
      <c r="G844" s="4" t="s">
        <v>1202</v>
      </c>
    </row>
    <row r="845">
      <c r="A845" s="1">
        <v>843.0</v>
      </c>
      <c r="B845" s="4" t="s">
        <v>1247</v>
      </c>
      <c r="C845" s="5" t="str">
        <f>IFERROR(__xludf.DUMMYFUNCTION("GOOGLETRANSLATE(D:D,""auto"",""en"")"),"People's Daily commentary Wu Yan flower event")</f>
        <v>People's Daily commentary Wu Yan flower event</v>
      </c>
      <c r="D845" s="4" t="s">
        <v>1312</v>
      </c>
      <c r="E845" s="4">
        <v>0.0</v>
      </c>
      <c r="F845" s="4">
        <v>44.0</v>
      </c>
      <c r="G845" s="4" t="s">
        <v>1313</v>
      </c>
    </row>
    <row r="846">
      <c r="A846" s="1">
        <v>844.0</v>
      </c>
      <c r="B846" s="4" t="s">
        <v>1247</v>
      </c>
      <c r="C846" s="5" t="str">
        <f>IFERROR(__xludf.DUMMYFUNCTION("GOOGLETRANSLATE(D:D,""auto"",""en"")"),"Scotland intends to ban Children's header")</f>
        <v>Scotland intends to ban Children's header</v>
      </c>
      <c r="D846" s="4" t="s">
        <v>1314</v>
      </c>
      <c r="E846" s="4">
        <v>0.0</v>
      </c>
      <c r="F846" s="4">
        <v>45.0</v>
      </c>
      <c r="G846" s="4" t="s">
        <v>1315</v>
      </c>
    </row>
    <row r="847">
      <c r="A847" s="1">
        <v>845.0</v>
      </c>
      <c r="B847" s="4" t="s">
        <v>1247</v>
      </c>
      <c r="C847" s="5" t="str">
        <f>IFERROR(__xludf.DUMMYFUNCTION("GOOGLETRANSLATE(D:D,""auto"",""en"")"),"Guo Degang Guo Kirin is to marry")</f>
        <v>Guo Degang Guo Kirin is to marry</v>
      </c>
      <c r="D847" s="4" t="s">
        <v>1316</v>
      </c>
      <c r="E847" s="4">
        <v>0.0</v>
      </c>
      <c r="F847" s="4">
        <v>46.0</v>
      </c>
      <c r="G847" s="4" t="s">
        <v>1317</v>
      </c>
    </row>
    <row r="848">
      <c r="A848" s="1">
        <v>846.0</v>
      </c>
      <c r="B848" s="4" t="s">
        <v>1247</v>
      </c>
      <c r="C848" s="5" t="str">
        <f>IFERROR(__xludf.DUMMYFUNCTION("GOOGLETRANSLATE(D:D,""auto"",""en"")"),"Recalling his lifetime image Zhongxiang")</f>
        <v>Recalling his lifetime image Zhongxiang</v>
      </c>
      <c r="D848" s="4" t="s">
        <v>1177</v>
      </c>
      <c r="E848" s="4">
        <v>0.0</v>
      </c>
      <c r="F848" s="4">
        <v>47.0</v>
      </c>
      <c r="G848" s="4" t="s">
        <v>1178</v>
      </c>
    </row>
    <row r="849">
      <c r="A849" s="1">
        <v>847.0</v>
      </c>
      <c r="B849" s="4" t="s">
        <v>1247</v>
      </c>
      <c r="C849" s="5" t="str">
        <f>IFERROR(__xludf.DUMMYFUNCTION("GOOGLETRANSLATE(D:D,""auto"",""en"")"),"Russian government resigned en bloc")</f>
        <v>Russian government resigned en bloc</v>
      </c>
      <c r="D849" s="4" t="s">
        <v>1126</v>
      </c>
      <c r="E849" s="4">
        <v>0.0</v>
      </c>
      <c r="F849" s="4">
        <v>48.0</v>
      </c>
      <c r="G849" s="4" t="s">
        <v>1127</v>
      </c>
    </row>
    <row r="850">
      <c r="A850" s="1">
        <v>848.0</v>
      </c>
      <c r="B850" s="4" t="s">
        <v>1247</v>
      </c>
      <c r="C850" s="5" t="str">
        <f>IFERROR(__xludf.DUMMYFUNCTION("GOOGLETRANSLATE(D:D,""auto"",""en"")"),"CBA official apology to carry on into the macro")</f>
        <v>CBA official apology to carry on into the macro</v>
      </c>
      <c r="D850" s="4" t="s">
        <v>1154</v>
      </c>
      <c r="E850" s="4">
        <v>0.0</v>
      </c>
      <c r="F850" s="4">
        <v>49.0</v>
      </c>
      <c r="G850" s="4" t="s">
        <v>1155</v>
      </c>
    </row>
    <row r="851">
      <c r="A851" s="1">
        <v>849.0</v>
      </c>
      <c r="B851" s="4" t="s">
        <v>1247</v>
      </c>
      <c r="C851" s="5" t="str">
        <f>IFERROR(__xludf.DUMMYFUNCTION("GOOGLETRANSLATE(D:D,""auto"",""en"")"),"Zhang Yun Lei after snapshots")</f>
        <v>Zhang Yun Lei after snapshots</v>
      </c>
      <c r="D851" s="4" t="s">
        <v>1318</v>
      </c>
      <c r="E851" s="4">
        <v>0.0</v>
      </c>
      <c r="F851" s="4">
        <v>50.0</v>
      </c>
      <c r="G851" s="4" t="s">
        <v>1319</v>
      </c>
    </row>
    <row r="852">
      <c r="A852" s="1">
        <v>850.0</v>
      </c>
      <c r="B852" s="4" t="s">
        <v>1320</v>
      </c>
      <c r="C852" s="5" t="str">
        <f>IFERROR(__xludf.DUMMYFUNCTION("GOOGLETRANSLATE(D:D,""auto"",""en"")"),"Mercedes-Benz owners into the Forbidden City to respond")</f>
        <v>Mercedes-Benz owners into the Forbidden City to respond</v>
      </c>
      <c r="D852" s="4" t="s">
        <v>1278</v>
      </c>
      <c r="E852" s="4">
        <v>0.0</v>
      </c>
      <c r="F852" s="4">
        <v>1.0</v>
      </c>
      <c r="G852" s="4" t="s">
        <v>1279</v>
      </c>
    </row>
    <row r="853">
      <c r="A853" s="1">
        <v>851.0</v>
      </c>
      <c r="B853" s="4" t="s">
        <v>1320</v>
      </c>
      <c r="C853" s="5" t="str">
        <f>IFERROR(__xludf.DUMMYFUNCTION("GOOGLETRANSLATE(D:D,""auto"",""en"")"),"Comfort ZHU Guang right to hate each other")</f>
        <v>Comfort ZHU Guang right to hate each other</v>
      </c>
      <c r="D853" s="4" t="s">
        <v>1276</v>
      </c>
      <c r="E853" s="4">
        <v>0.0</v>
      </c>
      <c r="F853" s="4">
        <v>2.0</v>
      </c>
      <c r="G853" s="4" t="s">
        <v>1277</v>
      </c>
    </row>
    <row r="854">
      <c r="A854" s="1">
        <v>852.0</v>
      </c>
      <c r="B854" s="4" t="s">
        <v>1320</v>
      </c>
      <c r="C854" s="5" t="str">
        <f>IFERROR(__xludf.DUMMYFUNCTION("GOOGLETRANSLATE(D:D,""auto"",""en"")"),"Film Chinese women's volleyball team was renamed")</f>
        <v>Film Chinese women's volleyball team was renamed</v>
      </c>
      <c r="D854" s="4" t="s">
        <v>1321</v>
      </c>
      <c r="E854" s="4">
        <v>0.0</v>
      </c>
      <c r="F854" s="4">
        <v>3.0</v>
      </c>
      <c r="G854" s="4" t="s">
        <v>1322</v>
      </c>
    </row>
    <row r="855">
      <c r="A855" s="1">
        <v>853.0</v>
      </c>
      <c r="B855" s="4" t="s">
        <v>1320</v>
      </c>
      <c r="C855" s="5" t="str">
        <f>IFERROR(__xludf.DUMMYFUNCTION("GOOGLETRANSLATE(D:D,""auto"",""en"")"),"Wuhan new growth pneumonia 4 cases")</f>
        <v>Wuhan new growth pneumonia 4 cases</v>
      </c>
      <c r="D855" s="4" t="s">
        <v>1323</v>
      </c>
      <c r="E855" s="4">
        <v>0.0</v>
      </c>
      <c r="F855" s="4">
        <v>4.0</v>
      </c>
      <c r="G855" s="4" t="s">
        <v>1324</v>
      </c>
    </row>
    <row r="856">
      <c r="A856" s="1">
        <v>854.0</v>
      </c>
      <c r="B856" s="4" t="s">
        <v>1320</v>
      </c>
      <c r="C856" s="5" t="str">
        <f>IFERROR(__xludf.DUMMYFUNCTION("GOOGLETRANSLATE(D:D,""auto"",""en"")"),"Mercedes-Benz issued a document to empty the Forbidden City woman")</f>
        <v>Mercedes-Benz issued a document to empty the Forbidden City woman</v>
      </c>
      <c r="D856" s="4" t="s">
        <v>1325</v>
      </c>
      <c r="E856" s="4">
        <v>0.0</v>
      </c>
      <c r="F856" s="4">
        <v>5.0</v>
      </c>
      <c r="G856" s="4" t="s">
        <v>1326</v>
      </c>
    </row>
    <row r="857">
      <c r="A857" s="1">
        <v>855.0</v>
      </c>
      <c r="B857" s="4" t="s">
        <v>1320</v>
      </c>
      <c r="C857" s="5" t="str">
        <f>IFERROR(__xludf.DUMMYFUNCTION("GOOGLETRANSLATE(D:D,""auto"",""en"")"),"Xining to stop the search and rescue trapped")</f>
        <v>Xining to stop the search and rescue trapped</v>
      </c>
      <c r="D857" s="4" t="s">
        <v>1327</v>
      </c>
      <c r="E857" s="4">
        <v>0.0</v>
      </c>
      <c r="F857" s="4">
        <v>6.0</v>
      </c>
      <c r="G857" s="4" t="s">
        <v>1328</v>
      </c>
    </row>
    <row r="858">
      <c r="A858" s="1">
        <v>856.0</v>
      </c>
      <c r="B858" s="4" t="s">
        <v>1320</v>
      </c>
      <c r="C858" s="5" t="str">
        <f>IFERROR(__xludf.DUMMYFUNCTION("GOOGLETRANSLATE(D:D,""auto"",""en"")"),"Air respond drive into the Forbidden City")</f>
        <v>Air respond drive into the Forbidden City</v>
      </c>
      <c r="D858" s="4" t="s">
        <v>1329</v>
      </c>
      <c r="E858" s="4">
        <v>0.0</v>
      </c>
      <c r="F858" s="4">
        <v>7.0</v>
      </c>
      <c r="G858" s="4" t="s">
        <v>1330</v>
      </c>
    </row>
    <row r="859">
      <c r="A859" s="1">
        <v>857.0</v>
      </c>
      <c r="B859" s="4" t="s">
        <v>1320</v>
      </c>
      <c r="C859" s="5" t="str">
        <f>IFERROR(__xludf.DUMMYFUNCTION("GOOGLETRANSLATE(D:D,""auto"",""en"")"),"Godfrey exposure compensation has been settled")</f>
        <v>Godfrey exposure compensation has been settled</v>
      </c>
      <c r="D859" s="4" t="s">
        <v>1331</v>
      </c>
      <c r="E859" s="4">
        <v>0.0</v>
      </c>
      <c r="F859" s="4">
        <v>8.0</v>
      </c>
      <c r="G859" s="4" t="s">
        <v>1332</v>
      </c>
    </row>
    <row r="860">
      <c r="A860" s="1">
        <v>858.0</v>
      </c>
      <c r="B860" s="4" t="s">
        <v>1320</v>
      </c>
      <c r="C860" s="5" t="str">
        <f>IFERROR(__xludf.DUMMYFUNCTION("GOOGLETRANSLATE(D:D,""auto"",""en"")"),"Rocket Girls song to Hi Sen")</f>
        <v>Rocket Girls song to Hi Sen</v>
      </c>
      <c r="D860" s="4" t="s">
        <v>1333</v>
      </c>
      <c r="E860" s="4">
        <v>0.0</v>
      </c>
      <c r="F860" s="4">
        <v>9.0</v>
      </c>
      <c r="G860" s="4" t="s">
        <v>1334</v>
      </c>
    </row>
    <row r="861">
      <c r="A861" s="1">
        <v>859.0</v>
      </c>
      <c r="B861" s="4" t="s">
        <v>1320</v>
      </c>
      <c r="C861" s="5" t="str">
        <f>IFERROR(__xludf.DUMMYFUNCTION("GOOGLETRANSLATE(D:D,""auto"",""en"")"),"Cecilia was traced situation")</f>
        <v>Cecilia was traced situation</v>
      </c>
      <c r="D861" s="4" t="s">
        <v>1335</v>
      </c>
      <c r="E861" s="4">
        <v>0.0</v>
      </c>
      <c r="F861" s="4">
        <v>10.0</v>
      </c>
      <c r="G861" s="4" t="s">
        <v>1336</v>
      </c>
    </row>
    <row r="862">
      <c r="A862" s="1">
        <v>860.0</v>
      </c>
      <c r="B862" s="4" t="s">
        <v>1320</v>
      </c>
      <c r="C862" s="5" t="str">
        <f>IFERROR(__xludf.DUMMYFUNCTION("GOOGLETRANSLATE(D:D,""auto"",""en"")"),"Finance executive editor rumor")</f>
        <v>Finance executive editor rumor</v>
      </c>
      <c r="D862" s="4" t="s">
        <v>1337</v>
      </c>
      <c r="E862" s="4">
        <v>0.0</v>
      </c>
      <c r="F862" s="4">
        <v>11.0</v>
      </c>
      <c r="G862" s="4" t="s">
        <v>1338</v>
      </c>
    </row>
    <row r="863">
      <c r="A863" s="1">
        <v>861.0</v>
      </c>
      <c r="B863" s="4" t="s">
        <v>1320</v>
      </c>
      <c r="C863" s="5" t="str">
        <f>IFERROR(__xludf.DUMMYFUNCTION("GOOGLETRANSLATE(D:D,""auto"",""en"")"),"Imperial Palace Benz exposed female background")</f>
        <v>Imperial Palace Benz exposed female background</v>
      </c>
      <c r="D863" s="4" t="s">
        <v>1339</v>
      </c>
      <c r="E863" s="4">
        <v>0.0</v>
      </c>
      <c r="F863" s="4">
        <v>12.0</v>
      </c>
      <c r="G863" s="4" t="s">
        <v>1340</v>
      </c>
    </row>
    <row r="864">
      <c r="A864" s="1">
        <v>862.0</v>
      </c>
      <c r="B864" s="4" t="s">
        <v>1320</v>
      </c>
      <c r="C864" s="5" t="str">
        <f>IFERROR(__xludf.DUMMYFUNCTION("GOOGLETRANSLATE(D:D,""auto"",""en"")"),"Trump warned Khamenei")</f>
        <v>Trump warned Khamenei</v>
      </c>
      <c r="D864" s="4" t="s">
        <v>1341</v>
      </c>
      <c r="E864" s="4">
        <v>0.0</v>
      </c>
      <c r="F864" s="4">
        <v>13.0</v>
      </c>
      <c r="G864" s="4" t="s">
        <v>1342</v>
      </c>
    </row>
    <row r="865">
      <c r="A865" s="1">
        <v>863.0</v>
      </c>
      <c r="B865" s="4" t="s">
        <v>1320</v>
      </c>
      <c r="C865" s="5" t="str">
        <f>IFERROR(__xludf.DUMMYFUNCTION("GOOGLETRANSLATE(D:D,""auto"",""en"")"),"Sicong thumbs received no response")</f>
        <v>Sicong thumbs received no response</v>
      </c>
      <c r="D865" s="4" t="s">
        <v>1343</v>
      </c>
      <c r="E865" s="4">
        <v>0.0</v>
      </c>
      <c r="F865" s="4">
        <v>14.0</v>
      </c>
      <c r="G865" s="4" t="s">
        <v>1344</v>
      </c>
    </row>
    <row r="866">
      <c r="A866" s="1">
        <v>864.0</v>
      </c>
      <c r="B866" s="4" t="s">
        <v>1320</v>
      </c>
      <c r="C866" s="5" t="str">
        <f>IFERROR(__xludf.DUMMYFUNCTION("GOOGLETRANSLATE(D:D,""auto"",""en"")"),"2020 Hunan TV Spring Festival")</f>
        <v>2020 Hunan TV Spring Festival</v>
      </c>
      <c r="D866" s="4" t="s">
        <v>1345</v>
      </c>
      <c r="E866" s="4">
        <v>0.0</v>
      </c>
      <c r="F866" s="4">
        <v>15.0</v>
      </c>
      <c r="G866" s="4" t="s">
        <v>1346</v>
      </c>
    </row>
    <row r="867">
      <c r="A867" s="1">
        <v>865.0</v>
      </c>
      <c r="B867" s="4" t="s">
        <v>1320</v>
      </c>
      <c r="C867" s="5" t="str">
        <f>IFERROR(__xludf.DUMMYFUNCTION("GOOGLETRANSLATE(D:D,""auto"",""en"")"),"Pan Changjiang Li Baoguo mourn")</f>
        <v>Pan Changjiang Li Baoguo mourn</v>
      </c>
      <c r="D867" s="4" t="s">
        <v>1347</v>
      </c>
      <c r="E867" s="4">
        <v>0.0</v>
      </c>
      <c r="F867" s="4">
        <v>16.0</v>
      </c>
      <c r="G867" s="4" t="s">
        <v>1348</v>
      </c>
    </row>
    <row r="868">
      <c r="A868" s="1">
        <v>866.0</v>
      </c>
      <c r="B868" s="4" t="s">
        <v>1320</v>
      </c>
      <c r="C868" s="5" t="str">
        <f>IFERROR(__xludf.DUMMYFUNCTION("GOOGLETRANSLATE(D:D,""auto"",""en"")"),"Family clarification Zhongxiang leg")</f>
        <v>Family clarification Zhongxiang leg</v>
      </c>
      <c r="D868" s="4" t="s">
        <v>1349</v>
      </c>
      <c r="E868" s="4">
        <v>0.0</v>
      </c>
      <c r="F868" s="4">
        <v>17.0</v>
      </c>
      <c r="G868" s="4" t="s">
        <v>1350</v>
      </c>
    </row>
    <row r="869">
      <c r="A869" s="1">
        <v>867.0</v>
      </c>
      <c r="B869" s="4" t="s">
        <v>1320</v>
      </c>
      <c r="C869" s="5" t="str">
        <f>IFERROR(__xludf.DUMMYFUNCTION("GOOGLETRANSLATE(D:D,""auto"",""en"")"),"Sun Yang won the 200 from")</f>
        <v>Sun Yang won the 200 from</v>
      </c>
      <c r="D869" s="4" t="s">
        <v>1351</v>
      </c>
      <c r="E869" s="4">
        <v>0.0</v>
      </c>
      <c r="F869" s="4">
        <v>18.0</v>
      </c>
      <c r="G869" s="4" t="s">
        <v>1352</v>
      </c>
    </row>
    <row r="870">
      <c r="A870" s="1">
        <v>868.0</v>
      </c>
      <c r="B870" s="4" t="s">
        <v>1320</v>
      </c>
      <c r="C870" s="5" t="str">
        <f>IFERROR(__xludf.DUMMYFUNCTION("GOOGLETRANSLATE(D:D,""auto"",""en"")"),"People's Daily commentary Forbidden City event")</f>
        <v>People's Daily commentary Forbidden City event</v>
      </c>
      <c r="D870" s="4" t="s">
        <v>1353</v>
      </c>
      <c r="E870" s="4">
        <v>0.0</v>
      </c>
      <c r="F870" s="4">
        <v>19.0</v>
      </c>
      <c r="G870" s="4" t="s">
        <v>1354</v>
      </c>
    </row>
    <row r="871">
      <c r="A871" s="1">
        <v>869.0</v>
      </c>
      <c r="B871" s="4" t="s">
        <v>1320</v>
      </c>
      <c r="C871" s="5" t="str">
        <f>IFERROR(__xludf.DUMMYFUNCTION("GOOGLETRANSLATE(D:D,""auto"",""en"")"),"Forbidden City in response to drive into the Forbidden City")</f>
        <v>Forbidden City in response to drive into the Forbidden City</v>
      </c>
      <c r="D871" s="4" t="s">
        <v>1304</v>
      </c>
      <c r="E871" s="4">
        <v>0.0</v>
      </c>
      <c r="F871" s="4">
        <v>20.0</v>
      </c>
      <c r="G871" s="4" t="s">
        <v>1305</v>
      </c>
    </row>
    <row r="872">
      <c r="A872" s="1">
        <v>870.0</v>
      </c>
      <c r="B872" s="4" t="s">
        <v>1320</v>
      </c>
      <c r="C872" s="5" t="str">
        <f>IFERROR(__xludf.DUMMYFUNCTION("GOOGLETRANSLATE(D:D,""auto"",""en"")"),"Ximeng Yao Jie Ke apologize again")</f>
        <v>Ximeng Yao Jie Ke apologize again</v>
      </c>
      <c r="D872" s="4" t="s">
        <v>1355</v>
      </c>
      <c r="E872" s="4">
        <v>0.0</v>
      </c>
      <c r="F872" s="4">
        <v>21.0</v>
      </c>
      <c r="G872" s="4" t="s">
        <v>1356</v>
      </c>
    </row>
    <row r="873">
      <c r="A873" s="1">
        <v>871.0</v>
      </c>
      <c r="B873" s="4" t="s">
        <v>1320</v>
      </c>
      <c r="C873" s="5" t="str">
        <f>IFERROR(__xludf.DUMMYFUNCTION("GOOGLETRANSLATE(D:D,""auto"",""en"")"),"Jiashi County, Xinjiang earthquake")</f>
        <v>Jiashi County, Xinjiang earthquake</v>
      </c>
      <c r="D873" s="4" t="s">
        <v>1357</v>
      </c>
      <c r="E873" s="4">
        <v>0.0</v>
      </c>
      <c r="F873" s="4">
        <v>22.0</v>
      </c>
      <c r="G873" s="4" t="s">
        <v>1358</v>
      </c>
    </row>
    <row r="874">
      <c r="A874" s="1">
        <v>872.0</v>
      </c>
      <c r="B874" s="4" t="s">
        <v>1320</v>
      </c>
      <c r="C874" s="5" t="str">
        <f>IFERROR(__xludf.DUMMYFUNCTION("GOOGLETRANSLATE(D:D,""auto"",""en"")"),"5 suspect Wang Chuanjun love innuendo")</f>
        <v>5 suspect Wang Chuanjun love innuendo</v>
      </c>
      <c r="D874" s="4" t="s">
        <v>1359</v>
      </c>
      <c r="E874" s="4">
        <v>0.0</v>
      </c>
      <c r="F874" s="4">
        <v>23.0</v>
      </c>
      <c r="G874" s="4" t="s">
        <v>1360</v>
      </c>
    </row>
    <row r="875">
      <c r="A875" s="1">
        <v>873.0</v>
      </c>
      <c r="B875" s="4" t="s">
        <v>1320</v>
      </c>
      <c r="C875" s="5" t="str">
        <f>IFERROR(__xludf.DUMMYFUNCTION("GOOGLETRANSLATE(D:D,""auto"",""en"")"),"Xinhua News Agency interview with plums SEVEN")</f>
        <v>Xinhua News Agency interview with plums SEVEN</v>
      </c>
      <c r="D875" s="4" t="s">
        <v>1361</v>
      </c>
      <c r="E875" s="4">
        <v>0.0</v>
      </c>
      <c r="F875" s="4">
        <v>24.0</v>
      </c>
      <c r="G875" s="4" t="s">
        <v>1362</v>
      </c>
    </row>
    <row r="876">
      <c r="A876" s="1">
        <v>874.0</v>
      </c>
      <c r="B876" s="4" t="s">
        <v>1320</v>
      </c>
      <c r="C876" s="5" t="str">
        <f>IFERROR(__xludf.DUMMYFUNCTION("GOOGLETRANSLATE(D:D,""auto"",""en"")"),"The second batch of drug price cuts on the way")</f>
        <v>The second batch of drug price cuts on the way</v>
      </c>
      <c r="D876" s="4" t="s">
        <v>1363</v>
      </c>
      <c r="E876" s="4">
        <v>0.0</v>
      </c>
      <c r="F876" s="4">
        <v>25.0</v>
      </c>
      <c r="G876" s="4" t="s">
        <v>1364</v>
      </c>
    </row>
    <row r="877">
      <c r="A877" s="1">
        <v>875.0</v>
      </c>
      <c r="B877" s="4" t="s">
        <v>1320</v>
      </c>
      <c r="C877" s="5" t="str">
        <f>IFERROR(__xludf.DUMMYFUNCTION("GOOGLETRANSLATE(D:D,""auto"",""en"")"),"Li Yong daughter show his waist tattoo")</f>
        <v>Li Yong daughter show his waist tattoo</v>
      </c>
      <c r="D877" s="4" t="s">
        <v>1365</v>
      </c>
      <c r="E877" s="4">
        <v>0.0</v>
      </c>
      <c r="F877" s="4">
        <v>26.0</v>
      </c>
      <c r="G877" s="4" t="s">
        <v>1366</v>
      </c>
    </row>
    <row r="878">
      <c r="A878" s="1">
        <v>876.0</v>
      </c>
      <c r="B878" s="4" t="s">
        <v>1320</v>
      </c>
      <c r="C878" s="5" t="str">
        <f>IFERROR(__xludf.DUMMYFUNCTION("GOOGLETRANSLATE(D:D,""auto"",""en"")"),"HyunA show perfect body")</f>
        <v>HyunA show perfect body</v>
      </c>
      <c r="D878" s="4" t="s">
        <v>1367</v>
      </c>
      <c r="E878" s="4">
        <v>0.0</v>
      </c>
      <c r="F878" s="4">
        <v>27.0</v>
      </c>
      <c r="G878" s="4" t="s">
        <v>1368</v>
      </c>
    </row>
    <row r="879">
      <c r="A879" s="1">
        <v>877.0</v>
      </c>
      <c r="B879" s="4" t="s">
        <v>1320</v>
      </c>
      <c r="C879" s="5" t="str">
        <f>IFERROR(__xludf.DUMMYFUNCTION("GOOGLETRANSLATE(D:D,""auto"",""en"")"),"Zhongxiang makeup picture before his death")</f>
        <v>Zhongxiang makeup picture before his death</v>
      </c>
      <c r="D879" s="4" t="s">
        <v>1369</v>
      </c>
      <c r="E879" s="4">
        <v>0.0</v>
      </c>
      <c r="F879" s="4">
        <v>28.0</v>
      </c>
      <c r="G879" s="4" t="s">
        <v>1370</v>
      </c>
    </row>
    <row r="880">
      <c r="A880" s="1">
        <v>878.0</v>
      </c>
      <c r="B880" s="4" t="s">
        <v>1320</v>
      </c>
      <c r="C880" s="5" t="str">
        <f>IFERROR(__xludf.DUMMYFUNCTION("GOOGLETRANSLATE(D:D,""auto"",""en"")"),"Wendy Zhang Yi test results released")</f>
        <v>Wendy Zhang Yi test results released</v>
      </c>
      <c r="D880" s="4" t="s">
        <v>1272</v>
      </c>
      <c r="E880" s="4">
        <v>0.0</v>
      </c>
      <c r="F880" s="4">
        <v>29.0</v>
      </c>
      <c r="G880" s="4" t="s">
        <v>1273</v>
      </c>
    </row>
    <row r="881">
      <c r="A881" s="1">
        <v>879.0</v>
      </c>
      <c r="B881" s="4" t="s">
        <v>1320</v>
      </c>
      <c r="C881" s="5" t="str">
        <f>IFERROR(__xludf.DUMMYFUNCTION("GOOGLETRANSLATE(D:D,""auto"",""en"")"),"eStar beat the FPX")</f>
        <v>eStar beat the FPX</v>
      </c>
      <c r="D881" s="4" t="s">
        <v>1302</v>
      </c>
      <c r="E881" s="4">
        <v>0.0</v>
      </c>
      <c r="F881" s="4">
        <v>30.0</v>
      </c>
      <c r="G881" s="4" t="s">
        <v>1303</v>
      </c>
    </row>
    <row r="882">
      <c r="A882" s="1">
        <v>880.0</v>
      </c>
      <c r="B882" s="4" t="s">
        <v>1320</v>
      </c>
      <c r="C882" s="5" t="str">
        <f>IFERROR(__xludf.DUMMYFUNCTION("GOOGLETRANSLATE(D:D,""auto"",""en"")"),"ETC does not show the full cost")</f>
        <v>ETC does not show the full cost</v>
      </c>
      <c r="D882" s="4" t="s">
        <v>1310</v>
      </c>
      <c r="E882" s="4">
        <v>0.0</v>
      </c>
      <c r="F882" s="4">
        <v>31.0</v>
      </c>
      <c r="G882" s="4" t="s">
        <v>1311</v>
      </c>
    </row>
    <row r="883">
      <c r="A883" s="1">
        <v>881.0</v>
      </c>
      <c r="B883" s="4" t="s">
        <v>1320</v>
      </c>
      <c r="C883" s="5" t="str">
        <f>IFERROR(__xludf.DUMMYFUNCTION("GOOGLETRANSLATE(D:D,""auto"",""en"")"),"baby is small sponge birthday")</f>
        <v>baby is small sponge birthday</v>
      </c>
      <c r="D883" s="4" t="s">
        <v>1371</v>
      </c>
      <c r="E883" s="4">
        <v>0.0</v>
      </c>
      <c r="F883" s="4">
        <v>32.0</v>
      </c>
      <c r="G883" s="4" t="s">
        <v>1372</v>
      </c>
    </row>
    <row r="884">
      <c r="A884" s="1">
        <v>882.0</v>
      </c>
      <c r="B884" s="4" t="s">
        <v>1320</v>
      </c>
      <c r="C884" s="5" t="str">
        <f>IFERROR(__xludf.DUMMYFUNCTION("GOOGLETRANSLATE(D:D,""auto"",""en"")"),"Second generation system on-line credit")</f>
        <v>Second generation system on-line credit</v>
      </c>
      <c r="D884" s="4" t="s">
        <v>1373</v>
      </c>
      <c r="E884" s="4">
        <v>0.0</v>
      </c>
      <c r="F884" s="4">
        <v>33.0</v>
      </c>
      <c r="G884" s="4" t="s">
        <v>1374</v>
      </c>
    </row>
    <row r="885">
      <c r="A885" s="1">
        <v>883.0</v>
      </c>
      <c r="B885" s="4" t="s">
        <v>1320</v>
      </c>
      <c r="C885" s="5" t="str">
        <f>IFERROR(__xludf.DUMMYFUNCTION("GOOGLETRANSLATE(D:D,""auto"",""en"")"),"Wuhan pneumonia five rumor")</f>
        <v>Wuhan pneumonia five rumor</v>
      </c>
      <c r="D885" s="4" t="s">
        <v>1375</v>
      </c>
      <c r="E885" s="4">
        <v>0.0</v>
      </c>
      <c r="F885" s="4">
        <v>34.0</v>
      </c>
      <c r="G885" s="4" t="s">
        <v>1376</v>
      </c>
    </row>
    <row r="886">
      <c r="A886" s="1">
        <v>884.0</v>
      </c>
      <c r="B886" s="4" t="s">
        <v>1320</v>
      </c>
      <c r="C886" s="5" t="str">
        <f>IFERROR(__xludf.DUMMYFUNCTION("GOOGLETRANSLATE(D:D,""auto"",""en"")"),"Wahaha issued 600 million year-end awards")</f>
        <v>Wahaha issued 600 million year-end awards</v>
      </c>
      <c r="D886" s="4" t="s">
        <v>1377</v>
      </c>
      <c r="E886" s="4">
        <v>0.0</v>
      </c>
      <c r="F886" s="4">
        <v>35.0</v>
      </c>
      <c r="G886" s="4" t="s">
        <v>1378</v>
      </c>
    </row>
    <row r="887">
      <c r="A887" s="1">
        <v>885.0</v>
      </c>
      <c r="B887" s="4" t="s">
        <v>1320</v>
      </c>
      <c r="C887" s="5" t="str">
        <f>IFERROR(__xludf.DUMMYFUNCTION("GOOGLETRANSLATE(D:D,""auto"",""en"")"),"Iraqi missiles caused 11 US troops hurt")</f>
        <v>Iraqi missiles caused 11 US troops hurt</v>
      </c>
      <c r="D887" s="4" t="s">
        <v>1268</v>
      </c>
      <c r="E887" s="4">
        <v>0.0</v>
      </c>
      <c r="F887" s="4">
        <v>36.0</v>
      </c>
      <c r="G887" s="4" t="s">
        <v>1269</v>
      </c>
    </row>
    <row r="888">
      <c r="A888" s="1">
        <v>886.0</v>
      </c>
      <c r="B888" s="4" t="s">
        <v>1320</v>
      </c>
      <c r="C888" s="5" t="str">
        <f>IFERROR(__xludf.DUMMYFUNCTION("GOOGLETRANSLATE(D:D,""auto"",""en"")"),"Zheng Shuang doubt sell second-hand goods rollover")</f>
        <v>Zheng Shuang doubt sell second-hand goods rollover</v>
      </c>
      <c r="D888" s="4" t="s">
        <v>1379</v>
      </c>
      <c r="E888" s="4">
        <v>0.0</v>
      </c>
      <c r="F888" s="4">
        <v>37.0</v>
      </c>
      <c r="G888" s="4" t="s">
        <v>1380</v>
      </c>
    </row>
    <row r="889">
      <c r="A889" s="1">
        <v>887.0</v>
      </c>
      <c r="B889" s="4" t="s">
        <v>1320</v>
      </c>
      <c r="C889" s="5" t="str">
        <f>IFERROR(__xludf.DUMMYFUNCTION("GOOGLETRANSLATE(D:D,""auto"",""en"")"),"Indonesia's two islands disappear")</f>
        <v>Indonesia's two islands disappear</v>
      </c>
      <c r="D889" s="4" t="s">
        <v>1381</v>
      </c>
      <c r="E889" s="4">
        <v>0.0</v>
      </c>
      <c r="F889" s="4">
        <v>38.0</v>
      </c>
      <c r="G889" s="4" t="s">
        <v>1382</v>
      </c>
    </row>
    <row r="890">
      <c r="A890" s="1">
        <v>888.0</v>
      </c>
      <c r="B890" s="4" t="s">
        <v>1320</v>
      </c>
      <c r="C890" s="5" t="str">
        <f>IFERROR(__xludf.DUMMYFUNCTION("GOOGLETRANSLATE(D:D,""auto"",""en"")"),"Ukrainian president dismissed Prime Minister resignation")</f>
        <v>Ukrainian president dismissed Prime Minister resignation</v>
      </c>
      <c r="D890" s="4" t="s">
        <v>1383</v>
      </c>
      <c r="E890" s="4">
        <v>0.0</v>
      </c>
      <c r="F890" s="4">
        <v>39.0</v>
      </c>
      <c r="G890" s="4" t="s">
        <v>1384</v>
      </c>
    </row>
    <row r="891">
      <c r="A891" s="1">
        <v>889.0</v>
      </c>
      <c r="B891" s="4" t="s">
        <v>1320</v>
      </c>
      <c r="C891" s="5" t="str">
        <f>IFERROR(__xludf.DUMMYFUNCTION("GOOGLETRANSLATE(D:D,""auto"",""en"")"),"Boeing aircraft seized in Guizhou")</f>
        <v>Boeing aircraft seized in Guizhou</v>
      </c>
      <c r="D891" s="4" t="s">
        <v>1292</v>
      </c>
      <c r="E891" s="4">
        <v>0.0</v>
      </c>
      <c r="F891" s="4">
        <v>40.0</v>
      </c>
      <c r="G891" s="4" t="s">
        <v>1293</v>
      </c>
    </row>
    <row r="892">
      <c r="A892" s="1">
        <v>890.0</v>
      </c>
      <c r="B892" s="4" t="s">
        <v>1320</v>
      </c>
      <c r="C892" s="5" t="str">
        <f>IFERROR(__xludf.DUMMYFUNCTION("GOOGLETRANSLATE(D:D,""auto"",""en"")"),"Utah shooting")</f>
        <v>Utah shooting</v>
      </c>
      <c r="D892" s="4" t="s">
        <v>1385</v>
      </c>
      <c r="E892" s="4">
        <v>0.0</v>
      </c>
      <c r="F892" s="4">
        <v>41.0</v>
      </c>
      <c r="G892" s="4" t="s">
        <v>1386</v>
      </c>
    </row>
    <row r="893">
      <c r="A893" s="1">
        <v>891.0</v>
      </c>
      <c r="B893" s="4" t="s">
        <v>1320</v>
      </c>
      <c r="C893" s="5" t="str">
        <f>IFERROR(__xludf.DUMMYFUNCTION("GOOGLETRANSLATE(D:D,""auto"",""en"")"),"Burqin Barry Rime")</f>
        <v>Burqin Barry Rime</v>
      </c>
      <c r="D893" s="4" t="s">
        <v>1387</v>
      </c>
      <c r="E893" s="4">
        <v>0.0</v>
      </c>
      <c r="F893" s="4">
        <v>42.0</v>
      </c>
      <c r="G893" s="4" t="s">
        <v>1388</v>
      </c>
    </row>
    <row r="894">
      <c r="A894" s="1">
        <v>892.0</v>
      </c>
      <c r="B894" s="4" t="s">
        <v>1320</v>
      </c>
      <c r="C894" s="5" t="str">
        <f>IFERROR(__xludf.DUMMYFUNCTION("GOOGLETRANSLATE(D:D,""auto"",""en"")"),"Year of the Rat began to exchange coins")</f>
        <v>Year of the Rat began to exchange coins</v>
      </c>
      <c r="D894" s="4" t="s">
        <v>1389</v>
      </c>
      <c r="E894" s="4">
        <v>0.0</v>
      </c>
      <c r="F894" s="4">
        <v>43.0</v>
      </c>
      <c r="G894" s="4" t="s">
        <v>1390</v>
      </c>
    </row>
    <row r="895">
      <c r="A895" s="1">
        <v>893.0</v>
      </c>
      <c r="B895" s="4" t="s">
        <v>1320</v>
      </c>
      <c r="C895" s="5" t="str">
        <f>IFERROR(__xludf.DUMMYFUNCTION("GOOGLETRANSLATE(D:D,""auto"",""en"")"),"China's GDP growth dynamic map")</f>
        <v>China's GDP growth dynamic map</v>
      </c>
      <c r="D895" s="4" t="s">
        <v>1391</v>
      </c>
      <c r="E895" s="4">
        <v>0.0</v>
      </c>
      <c r="F895" s="4">
        <v>44.0</v>
      </c>
      <c r="G895" s="4" t="s">
        <v>1392</v>
      </c>
    </row>
    <row r="896">
      <c r="A896" s="1">
        <v>894.0</v>
      </c>
      <c r="B896" s="4" t="s">
        <v>1320</v>
      </c>
      <c r="C896" s="5" t="str">
        <f>IFERROR(__xludf.DUMMYFUNCTION("GOOGLETRANSLATE(D:D,""auto"",""en"")"),"People's Daily commentary Wu Yan flower event")</f>
        <v>People's Daily commentary Wu Yan flower event</v>
      </c>
      <c r="D896" s="4" t="s">
        <v>1312</v>
      </c>
      <c r="E896" s="4">
        <v>0.0</v>
      </c>
      <c r="F896" s="4">
        <v>45.0</v>
      </c>
      <c r="G896" s="4" t="s">
        <v>1313</v>
      </c>
    </row>
    <row r="897">
      <c r="A897" s="1">
        <v>895.0</v>
      </c>
      <c r="B897" s="4" t="s">
        <v>1320</v>
      </c>
      <c r="C897" s="5" t="str">
        <f>IFERROR(__xludf.DUMMYFUNCTION("GOOGLETRANSLATE(D:D,""auto"",""en"")"),"Sicong issued a high-profile show off their wealth")</f>
        <v>Sicong issued a high-profile show off their wealth</v>
      </c>
      <c r="D897" s="4" t="s">
        <v>1254</v>
      </c>
      <c r="E897" s="4">
        <v>0.0</v>
      </c>
      <c r="F897" s="4">
        <v>46.0</v>
      </c>
      <c r="G897" s="4" t="s">
        <v>1255</v>
      </c>
    </row>
    <row r="898">
      <c r="A898" s="1">
        <v>896.0</v>
      </c>
      <c r="B898" s="4" t="s">
        <v>1320</v>
      </c>
      <c r="C898" s="5" t="str">
        <f>IFERROR(__xludf.DUMMYFUNCTION("GOOGLETRANSLATE(D:D,""auto"",""en"")"),"Zhang Chao sudden illness hospitalized")</f>
        <v>Zhang Chao sudden illness hospitalized</v>
      </c>
      <c r="D898" s="4" t="s">
        <v>1252</v>
      </c>
      <c r="E898" s="4">
        <v>0.0</v>
      </c>
      <c r="F898" s="4">
        <v>47.0</v>
      </c>
      <c r="G898" s="4" t="s">
        <v>1253</v>
      </c>
    </row>
    <row r="899">
      <c r="A899" s="1">
        <v>897.0</v>
      </c>
      <c r="B899" s="4" t="s">
        <v>1320</v>
      </c>
      <c r="C899" s="5" t="str">
        <f>IFERROR(__xludf.DUMMYFUNCTION("GOOGLETRANSLATE(D:D,""auto"",""en"")"),"Chinese Shao received a threatening Express")</f>
        <v>Chinese Shao received a threatening Express</v>
      </c>
      <c r="D899" s="4" t="s">
        <v>1258</v>
      </c>
      <c r="E899" s="4">
        <v>0.0</v>
      </c>
      <c r="F899" s="4">
        <v>48.0</v>
      </c>
      <c r="G899" s="4" t="s">
        <v>1259</v>
      </c>
    </row>
    <row r="900">
      <c r="A900" s="1">
        <v>898.0</v>
      </c>
      <c r="B900" s="4" t="s">
        <v>1320</v>
      </c>
      <c r="C900" s="5" t="str">
        <f>IFERROR(__xludf.DUMMYFUNCTION("GOOGLETRANSLATE(D:D,""auto"",""en"")"),"Medvedev any new positions")</f>
        <v>Medvedev any new positions</v>
      </c>
      <c r="D900" s="4" t="s">
        <v>1393</v>
      </c>
      <c r="E900" s="4">
        <v>0.0</v>
      </c>
      <c r="F900" s="4">
        <v>49.0</v>
      </c>
      <c r="G900" s="4" t="s">
        <v>1394</v>
      </c>
    </row>
    <row r="901">
      <c r="A901" s="1">
        <v>899.0</v>
      </c>
      <c r="B901" s="4" t="s">
        <v>1320</v>
      </c>
      <c r="C901" s="5" t="str">
        <f>IFERROR(__xludf.DUMMYFUNCTION("GOOGLETRANSLATE(D:D,""auto"",""en"")"),"Scored 51 points Zhelin")</f>
        <v>Scored 51 points Zhelin</v>
      </c>
      <c r="D901" s="4" t="s">
        <v>1395</v>
      </c>
      <c r="E901" s="4">
        <v>0.0</v>
      </c>
      <c r="F901" s="4">
        <v>50.0</v>
      </c>
      <c r="G901" s="4" t="s">
        <v>1396</v>
      </c>
    </row>
    <row r="902">
      <c r="A902" s="1">
        <v>900.0</v>
      </c>
      <c r="B902" s="4" t="s">
        <v>1397</v>
      </c>
      <c r="C902" s="5" t="str">
        <f>IFERROR(__xludf.DUMMYFUNCTION("GOOGLETRANSLATE(D:D,""auto"",""en"")"),"Family clarification Zhongxiang leg")</f>
        <v>Family clarification Zhongxiang leg</v>
      </c>
      <c r="D902" s="4" t="s">
        <v>1349</v>
      </c>
      <c r="E902" s="4">
        <v>0.0</v>
      </c>
      <c r="F902" s="4">
        <v>1.0</v>
      </c>
      <c r="G902" s="4" t="s">
        <v>1350</v>
      </c>
    </row>
    <row r="903">
      <c r="A903" s="1">
        <v>901.0</v>
      </c>
      <c r="B903" s="4" t="s">
        <v>1397</v>
      </c>
      <c r="C903" s="5" t="str">
        <f>IFERROR(__xludf.DUMMYFUNCTION("GOOGLETRANSLATE(D:D,""auto"",""en"")"),"Sicong thumbs received no response")</f>
        <v>Sicong thumbs received no response</v>
      </c>
      <c r="D903" s="4" t="s">
        <v>1343</v>
      </c>
      <c r="E903" s="4">
        <v>0.0</v>
      </c>
      <c r="F903" s="4">
        <v>2.0</v>
      </c>
      <c r="G903" s="4" t="s">
        <v>1344</v>
      </c>
    </row>
    <row r="904">
      <c r="A904" s="1">
        <v>902.0</v>
      </c>
      <c r="B904" s="4" t="s">
        <v>1397</v>
      </c>
      <c r="C904" s="5" t="str">
        <f>IFERROR(__xludf.DUMMYFUNCTION("GOOGLETRANSLATE(D:D,""auto"",""en"")"),"Trump warned Khamenei")</f>
        <v>Trump warned Khamenei</v>
      </c>
      <c r="D904" s="4" t="s">
        <v>1341</v>
      </c>
      <c r="E904" s="4">
        <v>0.0</v>
      </c>
      <c r="F904" s="4">
        <v>3.0</v>
      </c>
      <c r="G904" s="4" t="s">
        <v>1342</v>
      </c>
    </row>
    <row r="905">
      <c r="A905" s="1">
        <v>903.0</v>
      </c>
      <c r="B905" s="4" t="s">
        <v>1397</v>
      </c>
      <c r="C905" s="5" t="str">
        <f>IFERROR(__xludf.DUMMYFUNCTION("GOOGLETRANSLATE(D:D,""auto"",""en"")"),"Zhongxiang makeup picture before his death")</f>
        <v>Zhongxiang makeup picture before his death</v>
      </c>
      <c r="D905" s="4" t="s">
        <v>1369</v>
      </c>
      <c r="E905" s="4">
        <v>0.0</v>
      </c>
      <c r="F905" s="4">
        <v>4.0</v>
      </c>
      <c r="G905" s="4" t="s">
        <v>1370</v>
      </c>
    </row>
    <row r="906">
      <c r="A906" s="1">
        <v>904.0</v>
      </c>
      <c r="B906" s="4" t="s">
        <v>1397</v>
      </c>
      <c r="C906" s="5" t="str">
        <f>IFERROR(__xludf.DUMMYFUNCTION("GOOGLETRANSLATE(D:D,""auto"",""en"")"),"Pan Changjiang Li Baoguo mourn")</f>
        <v>Pan Changjiang Li Baoguo mourn</v>
      </c>
      <c r="D906" s="4" t="s">
        <v>1347</v>
      </c>
      <c r="E906" s="4">
        <v>0.0</v>
      </c>
      <c r="F906" s="4">
        <v>5.0</v>
      </c>
      <c r="G906" s="4" t="s">
        <v>1348</v>
      </c>
    </row>
    <row r="907">
      <c r="A907" s="1">
        <v>905.0</v>
      </c>
      <c r="B907" s="4" t="s">
        <v>1397</v>
      </c>
      <c r="C907" s="5" t="str">
        <f>IFERROR(__xludf.DUMMYFUNCTION("GOOGLETRANSLATE(D:D,""auto"",""en"")"),"Net exposure Cai confined to bed")</f>
        <v>Net exposure Cai confined to bed</v>
      </c>
      <c r="D907" s="4" t="s">
        <v>1398</v>
      </c>
      <c r="E907" s="4">
        <v>0.0</v>
      </c>
      <c r="F907" s="4">
        <v>6.0</v>
      </c>
      <c r="G907" s="4" t="s">
        <v>1399</v>
      </c>
    </row>
    <row r="908">
      <c r="A908" s="1">
        <v>906.0</v>
      </c>
      <c r="B908" s="4" t="s">
        <v>1397</v>
      </c>
      <c r="C908" s="5" t="str">
        <f>IFERROR(__xludf.DUMMYFUNCTION("GOOGLETRANSLATE(D:D,""auto"",""en"")"),"RNG spring season debut failure")</f>
        <v>RNG spring season debut failure</v>
      </c>
      <c r="D908" s="4" t="s">
        <v>1400</v>
      </c>
      <c r="E908" s="4">
        <v>0.0</v>
      </c>
      <c r="F908" s="4">
        <v>7.0</v>
      </c>
      <c r="G908" s="4" t="s">
        <v>1401</v>
      </c>
    </row>
    <row r="909">
      <c r="A909" s="1">
        <v>907.0</v>
      </c>
      <c r="B909" s="4" t="s">
        <v>1397</v>
      </c>
      <c r="C909" s="5" t="str">
        <f>IFERROR(__xludf.DUMMYFUNCTION("GOOGLETRANSLATE(D:D,""auto"",""en"")"),"Forbidden City drove into the path reduction")</f>
        <v>Forbidden City drove into the path reduction</v>
      </c>
      <c r="D909" s="4" t="s">
        <v>1402</v>
      </c>
      <c r="E909" s="4">
        <v>0.0</v>
      </c>
      <c r="F909" s="4">
        <v>8.0</v>
      </c>
      <c r="G909" s="4" t="s">
        <v>1403</v>
      </c>
    </row>
    <row r="910">
      <c r="A910" s="1">
        <v>908.0</v>
      </c>
      <c r="B910" s="4" t="s">
        <v>1397</v>
      </c>
      <c r="C910" s="5" t="str">
        <f>IFERROR(__xludf.DUMMYFUNCTION("GOOGLETRANSLATE(D:D,""auto"",""en"")"),"6.0 Earthquake in Indonesia")</f>
        <v>6.0 Earthquake in Indonesia</v>
      </c>
      <c r="D910" s="4" t="s">
        <v>1404</v>
      </c>
      <c r="E910" s="4">
        <v>0.0</v>
      </c>
      <c r="F910" s="4">
        <v>9.0</v>
      </c>
      <c r="G910" s="4" t="s">
        <v>1405</v>
      </c>
    </row>
    <row r="911">
      <c r="A911" s="1">
        <v>909.0</v>
      </c>
      <c r="B911" s="4" t="s">
        <v>1397</v>
      </c>
      <c r="C911" s="5" t="str">
        <f>IFERROR(__xludf.DUMMYFUNCTION("GOOGLETRANSLATE(D:D,""auto"",""en"")"),"I had to drive into the Forbidden City's sound")</f>
        <v>I had to drive into the Forbidden City's sound</v>
      </c>
      <c r="D911" s="4" t="s">
        <v>1406</v>
      </c>
      <c r="E911" s="4">
        <v>0.0</v>
      </c>
      <c r="F911" s="4">
        <v>10.0</v>
      </c>
      <c r="G911" s="4" t="s">
        <v>1407</v>
      </c>
    </row>
    <row r="912">
      <c r="A912" s="1">
        <v>910.0</v>
      </c>
      <c r="B912" s="4" t="s">
        <v>1397</v>
      </c>
      <c r="C912" s="5" t="str">
        <f>IFERROR(__xludf.DUMMYFUNCTION("GOOGLETRANSLATE(D:D,""auto"",""en"")"),"Wuhan new growth pneumonia 17 cases")</f>
        <v>Wuhan new growth pneumonia 17 cases</v>
      </c>
      <c r="D912" s="4" t="s">
        <v>1408</v>
      </c>
      <c r="E912" s="4">
        <v>0.0</v>
      </c>
      <c r="F912" s="4">
        <v>11.0</v>
      </c>
      <c r="G912" s="4" t="s">
        <v>1409</v>
      </c>
    </row>
    <row r="913">
      <c r="A913" s="1">
        <v>911.0</v>
      </c>
      <c r="B913" s="4" t="s">
        <v>1397</v>
      </c>
      <c r="C913" s="5" t="str">
        <f>IFERROR(__xludf.DUMMYFUNCTION("GOOGLETRANSLATE(D:D,""auto"",""en"")"),"Hali Mei root exits the royal family")</f>
        <v>Hali Mei root exits the royal family</v>
      </c>
      <c r="D913" s="4" t="s">
        <v>1410</v>
      </c>
      <c r="E913" s="4">
        <v>0.0</v>
      </c>
      <c r="F913" s="4">
        <v>12.0</v>
      </c>
      <c r="G913" s="4" t="s">
        <v>1411</v>
      </c>
    </row>
    <row r="914">
      <c r="A914" s="1">
        <v>912.0</v>
      </c>
      <c r="B914" s="4" t="s">
        <v>1397</v>
      </c>
      <c r="C914" s="5" t="str">
        <f>IFERROR(__xludf.DUMMYFUNCTION("GOOGLETRANSLATE(D:D,""auto"",""en"")"),"Ministry of Civil Affairs to explain divorce")</f>
        <v>Ministry of Civil Affairs to explain divorce</v>
      </c>
      <c r="D914" s="4" t="s">
        <v>1412</v>
      </c>
      <c r="E914" s="4">
        <v>0.0</v>
      </c>
      <c r="F914" s="4">
        <v>13.0</v>
      </c>
      <c r="G914" s="4" t="s">
        <v>1413</v>
      </c>
    </row>
    <row r="915">
      <c r="A915" s="1">
        <v>913.0</v>
      </c>
      <c r="B915" s="4" t="s">
        <v>1397</v>
      </c>
      <c r="C915" s="5" t="str">
        <f>IFERROR(__xludf.DUMMYFUNCTION("GOOGLETRANSLATE(D:D,""auto"",""en"")"),"Ma Rong transition when the director")</f>
        <v>Ma Rong transition when the director</v>
      </c>
      <c r="D915" s="4" t="s">
        <v>1414</v>
      </c>
      <c r="E915" s="4">
        <v>0.0</v>
      </c>
      <c r="F915" s="4">
        <v>14.0</v>
      </c>
      <c r="G915" s="4" t="s">
        <v>1415</v>
      </c>
    </row>
    <row r="916">
      <c r="A916" s="1">
        <v>914.0</v>
      </c>
      <c r="B916" s="4" t="s">
        <v>1397</v>
      </c>
      <c r="C916" s="5" t="str">
        <f>IFERROR(__xludf.DUMMYFUNCTION("GOOGLETRANSLATE(D:D,""auto"",""en"")"),"Jay 41-year-old birthday party")</f>
        <v>Jay 41-year-old birthday party</v>
      </c>
      <c r="D916" s="4" t="s">
        <v>1416</v>
      </c>
      <c r="E916" s="4">
        <v>0.0</v>
      </c>
      <c r="F916" s="4">
        <v>15.0</v>
      </c>
      <c r="G916" s="4" t="s">
        <v>1417</v>
      </c>
    </row>
    <row r="917">
      <c r="A917" s="1">
        <v>915.0</v>
      </c>
      <c r="B917" s="4" t="s">
        <v>1397</v>
      </c>
      <c r="C917" s="5" t="str">
        <f>IFERROR(__xludf.DUMMYFUNCTION("GOOGLETRANSLATE(D:D,""auto"",""en"")"),"A value of 400,000 tiles Palace")</f>
        <v>A value of 400,000 tiles Palace</v>
      </c>
      <c r="D917" s="4" t="s">
        <v>1418</v>
      </c>
      <c r="E917" s="4">
        <v>0.0</v>
      </c>
      <c r="F917" s="4">
        <v>16.0</v>
      </c>
      <c r="G917" s="4" t="s">
        <v>1419</v>
      </c>
    </row>
    <row r="918">
      <c r="A918" s="1">
        <v>916.0</v>
      </c>
      <c r="B918" s="4" t="s">
        <v>1397</v>
      </c>
      <c r="C918" s="5" t="str">
        <f>IFERROR(__xludf.DUMMYFUNCTION("GOOGLETRANSLATE(D:D,""auto"",""en"")"),"Kuqa County of Xinjiang earthquake")</f>
        <v>Kuqa County of Xinjiang earthquake</v>
      </c>
      <c r="D918" s="4" t="s">
        <v>1420</v>
      </c>
      <c r="E918" s="4">
        <v>0.0</v>
      </c>
      <c r="F918" s="4">
        <v>17.0</v>
      </c>
      <c r="G918" s="4" t="s">
        <v>1421</v>
      </c>
    </row>
    <row r="919">
      <c r="A919" s="1">
        <v>917.0</v>
      </c>
      <c r="B919" s="4" t="s">
        <v>1397</v>
      </c>
      <c r="C919" s="5" t="str">
        <f>IFERROR(__xludf.DUMMYFUNCTION("GOOGLETRANSLATE(D:D,""auto"",""en"")"),"The new plastic limit")</f>
        <v>The new plastic limit</v>
      </c>
      <c r="D919" s="4" t="s">
        <v>1422</v>
      </c>
      <c r="E919" s="4">
        <v>0.0</v>
      </c>
      <c r="F919" s="4">
        <v>18.0</v>
      </c>
      <c r="G919" s="4" t="s">
        <v>1423</v>
      </c>
    </row>
    <row r="920">
      <c r="A920" s="1">
        <v>918.0</v>
      </c>
      <c r="B920" s="4" t="s">
        <v>1397</v>
      </c>
      <c r="C920" s="5" t="str">
        <f>IFERROR(__xludf.DUMMYFUNCTION("GOOGLETRANSLATE(D:D,""auto"",""en"")"),"Jiashi County earthquake")</f>
        <v>Jiashi County earthquake</v>
      </c>
      <c r="D920" s="4" t="s">
        <v>1424</v>
      </c>
      <c r="E920" s="4">
        <v>0.0</v>
      </c>
      <c r="F920" s="4">
        <v>19.0</v>
      </c>
      <c r="G920" s="4" t="s">
        <v>1425</v>
      </c>
    </row>
    <row r="921">
      <c r="A921" s="1">
        <v>919.0</v>
      </c>
      <c r="B921" s="4" t="s">
        <v>1397</v>
      </c>
      <c r="C921" s="5" t="str">
        <f>IFERROR(__xludf.DUMMYFUNCTION("GOOGLETRANSLATE(D:D,""auto"",""en"")"),"Imperial Palace Benz exposed female background")</f>
        <v>Imperial Palace Benz exposed female background</v>
      </c>
      <c r="D921" s="4" t="s">
        <v>1339</v>
      </c>
      <c r="E921" s="4">
        <v>0.0</v>
      </c>
      <c r="F921" s="4">
        <v>20.0</v>
      </c>
      <c r="G921" s="4" t="s">
        <v>1340</v>
      </c>
    </row>
    <row r="922">
      <c r="A922" s="1">
        <v>920.0</v>
      </c>
      <c r="B922" s="4" t="s">
        <v>1397</v>
      </c>
      <c r="C922" s="5" t="str">
        <f>IFERROR(__xludf.DUMMYFUNCTION("GOOGLETRANSLATE(D:D,""auto"",""en"")"),"Cai Spring Festival to talk about feelings of defeat")</f>
        <v>Cai Spring Festival to talk about feelings of defeat</v>
      </c>
      <c r="D922" s="4" t="s">
        <v>1426</v>
      </c>
      <c r="E922" s="4">
        <v>0.0</v>
      </c>
      <c r="F922" s="4">
        <v>21.0</v>
      </c>
      <c r="G922" s="4" t="s">
        <v>1427</v>
      </c>
    </row>
    <row r="923">
      <c r="A923" s="1">
        <v>921.0</v>
      </c>
      <c r="B923" s="4" t="s">
        <v>1397</v>
      </c>
      <c r="C923" s="5" t="str">
        <f>IFERROR(__xludf.DUMMYFUNCTION("GOOGLETRANSLATE(D:D,""auto"",""en"")"),"Deng Chao is warm crying son")</f>
        <v>Deng Chao is warm crying son</v>
      </c>
      <c r="D923" s="4" t="s">
        <v>1428</v>
      </c>
      <c r="E923" s="4">
        <v>0.0</v>
      </c>
      <c r="F923" s="4">
        <v>22.0</v>
      </c>
      <c r="G923" s="4" t="s">
        <v>1429</v>
      </c>
    </row>
    <row r="924">
      <c r="A924" s="1">
        <v>922.0</v>
      </c>
      <c r="B924" s="4" t="s">
        <v>1397</v>
      </c>
      <c r="C924" s="5" t="str">
        <f>IFERROR(__xludf.DUMMYFUNCTION("GOOGLETRANSLATE(D:D,""auto"",""en"")"),"South Korean popular support Park Geun-hye")</f>
        <v>South Korean popular support Park Geun-hye</v>
      </c>
      <c r="D924" s="4" t="s">
        <v>1430</v>
      </c>
      <c r="E924" s="4">
        <v>0.0</v>
      </c>
      <c r="F924" s="4">
        <v>23.0</v>
      </c>
      <c r="G924" s="4" t="s">
        <v>1431</v>
      </c>
    </row>
    <row r="925">
      <c r="A925" s="1">
        <v>923.0</v>
      </c>
      <c r="B925" s="4" t="s">
        <v>1397</v>
      </c>
      <c r="C925" s="5" t="str">
        <f>IFERROR(__xludf.DUMMYFUNCTION("GOOGLETRANSLATE(D:D,""auto"",""en"")"),"Forbidden City in response to drive into the Forbidden City")</f>
        <v>Forbidden City in response to drive into the Forbidden City</v>
      </c>
      <c r="D925" s="4" t="s">
        <v>1304</v>
      </c>
      <c r="E925" s="4">
        <v>0.0</v>
      </c>
      <c r="F925" s="4">
        <v>24.0</v>
      </c>
      <c r="G925" s="4" t="s">
        <v>1305</v>
      </c>
    </row>
    <row r="926">
      <c r="A926" s="1">
        <v>924.0</v>
      </c>
      <c r="B926" s="4" t="s">
        <v>1397</v>
      </c>
      <c r="C926" s="5" t="str">
        <f>IFERROR(__xludf.DUMMYFUNCTION("GOOGLETRANSLATE(D:D,""auto"",""en"")"),"Wei Guo Degang Birthday issued")</f>
        <v>Wei Guo Degang Birthday issued</v>
      </c>
      <c r="D926" s="4" t="s">
        <v>1432</v>
      </c>
      <c r="E926" s="4">
        <v>0.0</v>
      </c>
      <c r="F926" s="4">
        <v>25.0</v>
      </c>
      <c r="G926" s="4" t="s">
        <v>1433</v>
      </c>
    </row>
    <row r="927">
      <c r="A927" s="1">
        <v>925.0</v>
      </c>
      <c r="B927" s="4" t="s">
        <v>1397</v>
      </c>
      <c r="C927" s="5" t="str">
        <f>IFERROR(__xludf.DUMMYFUNCTION("GOOGLETRANSLATE(D:D,""auto"",""en"")"),"HyunA show perfect body")</f>
        <v>HyunA show perfect body</v>
      </c>
      <c r="D927" s="4" t="s">
        <v>1367</v>
      </c>
      <c r="E927" s="4">
        <v>0.0</v>
      </c>
      <c r="F927" s="4">
        <v>26.0</v>
      </c>
      <c r="G927" s="4" t="s">
        <v>1368</v>
      </c>
    </row>
    <row r="928">
      <c r="A928" s="1">
        <v>926.0</v>
      </c>
      <c r="B928" s="4" t="s">
        <v>1397</v>
      </c>
      <c r="C928" s="5" t="str">
        <f>IFERROR(__xludf.DUMMYFUNCTION("GOOGLETRANSLATE(D:D,""auto"",""en"")"),"Godfrey exposure compensation has been settled")</f>
        <v>Godfrey exposure compensation has been settled</v>
      </c>
      <c r="D928" s="4" t="s">
        <v>1331</v>
      </c>
      <c r="E928" s="4">
        <v>0.0</v>
      </c>
      <c r="F928" s="4">
        <v>27.0</v>
      </c>
      <c r="G928" s="4" t="s">
        <v>1332</v>
      </c>
    </row>
    <row r="929">
      <c r="A929" s="1">
        <v>927.0</v>
      </c>
      <c r="B929" s="4" t="s">
        <v>1397</v>
      </c>
      <c r="C929" s="5" t="str">
        <f>IFERROR(__xludf.DUMMYFUNCTION("GOOGLETRANSLATE(D:D,""auto"",""en"")"),"Sun Yang won the 200 from")</f>
        <v>Sun Yang won the 200 from</v>
      </c>
      <c r="D929" s="4" t="s">
        <v>1351</v>
      </c>
      <c r="E929" s="4">
        <v>0.0</v>
      </c>
      <c r="F929" s="4">
        <v>28.0</v>
      </c>
      <c r="G929" s="4" t="s">
        <v>1352</v>
      </c>
    </row>
    <row r="930">
      <c r="A930" s="1">
        <v>928.0</v>
      </c>
      <c r="B930" s="4" t="s">
        <v>1397</v>
      </c>
      <c r="C930" s="5" t="str">
        <f>IFERROR(__xludf.DUMMYFUNCTION("GOOGLETRANSLATE(D:D,""auto"",""en"")"),"LV president into a new world's richest man")</f>
        <v>LV president into a new world's richest man</v>
      </c>
      <c r="D930" s="4" t="s">
        <v>1434</v>
      </c>
      <c r="E930" s="4">
        <v>0.0</v>
      </c>
      <c r="F930" s="4">
        <v>29.0</v>
      </c>
      <c r="G930" s="4" t="s">
        <v>1435</v>
      </c>
    </row>
    <row r="931">
      <c r="A931" s="1">
        <v>929.0</v>
      </c>
      <c r="B931" s="4" t="s">
        <v>1397</v>
      </c>
      <c r="C931" s="5" t="str">
        <f>IFERROR(__xludf.DUMMYFUNCTION("GOOGLETRANSLATE(D:D,""auto"",""en"")"),"Wuhan new growth pneumonia 4 cases")</f>
        <v>Wuhan new growth pneumonia 4 cases</v>
      </c>
      <c r="D931" s="4" t="s">
        <v>1323</v>
      </c>
      <c r="E931" s="4">
        <v>0.0</v>
      </c>
      <c r="F931" s="4">
        <v>30.0</v>
      </c>
      <c r="G931" s="4" t="s">
        <v>1324</v>
      </c>
    </row>
    <row r="932">
      <c r="A932" s="1">
        <v>930.0</v>
      </c>
      <c r="B932" s="4" t="s">
        <v>1397</v>
      </c>
      <c r="C932" s="5" t="str">
        <f>IFERROR(__xludf.DUMMYFUNCTION("GOOGLETRANSLATE(D:D,""auto"",""en"")"),"Mercedes-Benz owners into the Forbidden City to respond")</f>
        <v>Mercedes-Benz owners into the Forbidden City to respond</v>
      </c>
      <c r="D932" s="4" t="s">
        <v>1278</v>
      </c>
      <c r="E932" s="4">
        <v>0.0</v>
      </c>
      <c r="F932" s="4">
        <v>31.0</v>
      </c>
      <c r="G932" s="4" t="s">
        <v>1279</v>
      </c>
    </row>
    <row r="933">
      <c r="A933" s="1">
        <v>931.0</v>
      </c>
      <c r="B933" s="4" t="s">
        <v>1397</v>
      </c>
      <c r="C933" s="5" t="str">
        <f>IFERROR(__xludf.DUMMYFUNCTION("GOOGLETRANSLATE(D:D,""auto"",""en"")"),"Husband and wife assault nurse arrested")</f>
        <v>Husband and wife assault nurse arrested</v>
      </c>
      <c r="D933" s="4" t="s">
        <v>1436</v>
      </c>
      <c r="E933" s="4">
        <v>0.0</v>
      </c>
      <c r="F933" s="4">
        <v>32.0</v>
      </c>
      <c r="G933" s="4" t="s">
        <v>1437</v>
      </c>
    </row>
    <row r="934">
      <c r="A934" s="1">
        <v>932.0</v>
      </c>
      <c r="B934" s="4" t="s">
        <v>1397</v>
      </c>
      <c r="C934" s="5" t="str">
        <f>IFERROR(__xludf.DUMMYFUNCTION("GOOGLETRANSLATE(D:D,""auto"",""en"")"),"8-ball victory over the national football warm-up match")</f>
        <v>8-ball victory over the national football warm-up match</v>
      </c>
      <c r="D934" s="4" t="s">
        <v>1438</v>
      </c>
      <c r="E934" s="4">
        <v>0.0</v>
      </c>
      <c r="F934" s="4">
        <v>33.0</v>
      </c>
      <c r="G934" s="4" t="s">
        <v>1439</v>
      </c>
    </row>
    <row r="935">
      <c r="A935" s="1">
        <v>933.0</v>
      </c>
      <c r="B935" s="4" t="s">
        <v>1397</v>
      </c>
      <c r="C935" s="5" t="str">
        <f>IFERROR(__xludf.DUMMYFUNCTION("GOOGLETRANSLATE(D:D,""auto"",""en"")"),"Hu Xijin comment Forbidden City Mercedes-Benz F")</f>
        <v>Hu Xijin comment Forbidden City Mercedes-Benz F</v>
      </c>
      <c r="D935" s="4" t="s">
        <v>1440</v>
      </c>
      <c r="E935" s="4">
        <v>0.0</v>
      </c>
      <c r="F935" s="4">
        <v>34.0</v>
      </c>
      <c r="G935" s="4" t="s">
        <v>1441</v>
      </c>
    </row>
    <row r="936">
      <c r="A936" s="1">
        <v>934.0</v>
      </c>
      <c r="B936" s="4" t="s">
        <v>1397</v>
      </c>
      <c r="C936" s="5" t="str">
        <f>IFERROR(__xludf.DUMMYFUNCTION("GOOGLETRANSLATE(D:D,""auto"",""en"")"),"Shanghai flights flying glass cracking")</f>
        <v>Shanghai flights flying glass cracking</v>
      </c>
      <c r="D936" s="4" t="s">
        <v>1442</v>
      </c>
      <c r="E936" s="4">
        <v>0.0</v>
      </c>
      <c r="F936" s="4">
        <v>35.0</v>
      </c>
      <c r="G936" s="4" t="s">
        <v>1443</v>
      </c>
    </row>
    <row r="937">
      <c r="A937" s="1">
        <v>935.0</v>
      </c>
      <c r="B937" s="4" t="s">
        <v>1397</v>
      </c>
      <c r="C937" s="5" t="str">
        <f>IFERROR(__xludf.DUMMYFUNCTION("GOOGLETRANSLATE(D:D,""auto"",""en"")"),"People's Daily commentary Forbidden City event")</f>
        <v>People's Daily commentary Forbidden City event</v>
      </c>
      <c r="D937" s="4" t="s">
        <v>1353</v>
      </c>
      <c r="E937" s="4">
        <v>0.0</v>
      </c>
      <c r="F937" s="4">
        <v>36.0</v>
      </c>
      <c r="G937" s="4" t="s">
        <v>1354</v>
      </c>
    </row>
    <row r="938">
      <c r="A938" s="1">
        <v>936.0</v>
      </c>
      <c r="B938" s="4" t="s">
        <v>1397</v>
      </c>
      <c r="C938" s="5" t="str">
        <f>IFERROR(__xludf.DUMMYFUNCTION("GOOGLETRANSLATE(D:D,""auto"",""en"")"),"5 suspect Wang Chuanjun love innuendo")</f>
        <v>5 suspect Wang Chuanjun love innuendo</v>
      </c>
      <c r="D938" s="4" t="s">
        <v>1359</v>
      </c>
      <c r="E938" s="4">
        <v>0.0</v>
      </c>
      <c r="F938" s="4">
        <v>37.0</v>
      </c>
      <c r="G938" s="4" t="s">
        <v>1360</v>
      </c>
    </row>
    <row r="939">
      <c r="A939" s="1">
        <v>937.0</v>
      </c>
      <c r="B939" s="4" t="s">
        <v>1397</v>
      </c>
      <c r="C939" s="5" t="str">
        <f>IFERROR(__xludf.DUMMYFUNCTION("GOOGLETRANSLATE(D:D,""auto"",""en"")"),"Jeanswest store closed down 1300")</f>
        <v>Jeanswest store closed down 1300</v>
      </c>
      <c r="D939" s="4" t="s">
        <v>1444</v>
      </c>
      <c r="E939" s="4">
        <v>0.0</v>
      </c>
      <c r="F939" s="4">
        <v>38.0</v>
      </c>
      <c r="G939" s="4" t="s">
        <v>1445</v>
      </c>
    </row>
    <row r="940">
      <c r="A940" s="1">
        <v>938.0</v>
      </c>
      <c r="B940" s="4" t="s">
        <v>1397</v>
      </c>
      <c r="C940" s="5" t="str">
        <f>IFERROR(__xludf.DUMMYFUNCTION("GOOGLETRANSLATE(D:D,""auto"",""en"")"),"Decrease the number of chinstrap penguins")</f>
        <v>Decrease the number of chinstrap penguins</v>
      </c>
      <c r="D940" s="4" t="s">
        <v>1446</v>
      </c>
      <c r="E940" s="4">
        <v>0.0</v>
      </c>
      <c r="F940" s="4">
        <v>39.0</v>
      </c>
      <c r="G940" s="4" t="s">
        <v>1447</v>
      </c>
    </row>
    <row r="941">
      <c r="A941" s="1">
        <v>939.0</v>
      </c>
      <c r="B941" s="4" t="s">
        <v>1397</v>
      </c>
      <c r="C941" s="5" t="str">
        <f>IFERROR(__xludf.DUMMYFUNCTION("GOOGLETRANSLATE(D:D,""auto"",""en"")"),"Xu Zheng Guo Jingfei Tucao")</f>
        <v>Xu Zheng Guo Jingfei Tucao</v>
      </c>
      <c r="D941" s="4" t="s">
        <v>1448</v>
      </c>
      <c r="E941" s="4">
        <v>0.0</v>
      </c>
      <c r="F941" s="4">
        <v>40.0</v>
      </c>
      <c r="G941" s="4" t="s">
        <v>1449</v>
      </c>
    </row>
    <row r="942">
      <c r="A942" s="1">
        <v>940.0</v>
      </c>
      <c r="B942" s="4" t="s">
        <v>1397</v>
      </c>
      <c r="C942" s="5" t="str">
        <f>IFERROR(__xludf.DUMMYFUNCTION("GOOGLETRANSLATE(D:D,""auto"",""en"")"),"Ximeng Yao Jie Ke apologize again")</f>
        <v>Ximeng Yao Jie Ke apologize again</v>
      </c>
      <c r="D942" s="4" t="s">
        <v>1355</v>
      </c>
      <c r="E942" s="4">
        <v>0.0</v>
      </c>
      <c r="F942" s="4">
        <v>41.0</v>
      </c>
      <c r="G942" s="4" t="s">
        <v>1356</v>
      </c>
    </row>
    <row r="943">
      <c r="A943" s="1">
        <v>941.0</v>
      </c>
      <c r="B943" s="4" t="s">
        <v>1397</v>
      </c>
      <c r="C943" s="5" t="str">
        <f>IFERROR(__xludf.DUMMYFUNCTION("GOOGLETRANSLATE(D:D,""auto"",""en"")"),"Beijing college entrance becomes 4 days")</f>
        <v>Beijing college entrance becomes 4 days</v>
      </c>
      <c r="D943" s="4" t="s">
        <v>1450</v>
      </c>
      <c r="E943" s="4">
        <v>0.0</v>
      </c>
      <c r="F943" s="4">
        <v>42.0</v>
      </c>
      <c r="G943" s="4" t="s">
        <v>1451</v>
      </c>
    </row>
    <row r="944">
      <c r="A944" s="1">
        <v>942.0</v>
      </c>
      <c r="B944" s="4" t="s">
        <v>1397</v>
      </c>
      <c r="C944" s="5" t="str">
        <f>IFERROR(__xludf.DUMMYFUNCTION("GOOGLETRANSLATE(D:D,""auto"",""en"")"),"Wuhan pneumonia five rumor")</f>
        <v>Wuhan pneumonia five rumor</v>
      </c>
      <c r="D944" s="4" t="s">
        <v>1375</v>
      </c>
      <c r="E944" s="4">
        <v>0.0</v>
      </c>
      <c r="F944" s="4">
        <v>43.0</v>
      </c>
      <c r="G944" s="4" t="s">
        <v>1376</v>
      </c>
    </row>
    <row r="945">
      <c r="A945" s="1">
        <v>943.0</v>
      </c>
      <c r="B945" s="4" t="s">
        <v>1397</v>
      </c>
      <c r="C945" s="5" t="str">
        <f>IFERROR(__xludf.DUMMYFUNCTION("GOOGLETRANSLATE(D:D,""auto"",""en"")"),"Li Yong daughter show his waist tattoo")</f>
        <v>Li Yong daughter show his waist tattoo</v>
      </c>
      <c r="D945" s="4" t="s">
        <v>1365</v>
      </c>
      <c r="E945" s="4">
        <v>0.0</v>
      </c>
      <c r="F945" s="4">
        <v>44.0</v>
      </c>
      <c r="G945" s="4" t="s">
        <v>1366</v>
      </c>
    </row>
    <row r="946">
      <c r="A946" s="1">
        <v>944.0</v>
      </c>
      <c r="B946" s="4" t="s">
        <v>1397</v>
      </c>
      <c r="C946" s="5" t="str">
        <f>IFERROR(__xludf.DUMMYFUNCTION("GOOGLETRANSLATE(D:D,""auto"",""en"")"),"Wahaha issued 600 million year-end awards")</f>
        <v>Wahaha issued 600 million year-end awards</v>
      </c>
      <c r="D946" s="4" t="s">
        <v>1377</v>
      </c>
      <c r="E946" s="4">
        <v>0.0</v>
      </c>
      <c r="F946" s="4">
        <v>45.0</v>
      </c>
      <c r="G946" s="4" t="s">
        <v>1378</v>
      </c>
    </row>
    <row r="947">
      <c r="A947" s="1">
        <v>945.0</v>
      </c>
      <c r="B947" s="4" t="s">
        <v>1397</v>
      </c>
      <c r="C947" s="5" t="str">
        <f>IFERROR(__xludf.DUMMYFUNCTION("GOOGLETRANSLATE(D:D,""auto"",""en"")"),"Jiashi County, Xinjiang earthquake")</f>
        <v>Jiashi County, Xinjiang earthquake</v>
      </c>
      <c r="D947" s="4" t="s">
        <v>1357</v>
      </c>
      <c r="E947" s="4">
        <v>0.0</v>
      </c>
      <c r="F947" s="4">
        <v>46.0</v>
      </c>
      <c r="G947" s="4" t="s">
        <v>1358</v>
      </c>
    </row>
    <row r="948">
      <c r="A948" s="1">
        <v>946.0</v>
      </c>
      <c r="B948" s="4" t="s">
        <v>1397</v>
      </c>
      <c r="C948" s="5" t="str">
        <f>IFERROR(__xludf.DUMMYFUNCTION("GOOGLETRANSLATE(D:D,""auto"",""en"")"),"Fans requirements Admiralty big league")</f>
        <v>Fans requirements Admiralty big league</v>
      </c>
      <c r="D948" s="4" t="s">
        <v>1452</v>
      </c>
      <c r="E948" s="4">
        <v>0.0</v>
      </c>
      <c r="F948" s="4">
        <v>47.0</v>
      </c>
      <c r="G948" s="4" t="s">
        <v>1453</v>
      </c>
    </row>
    <row r="949">
      <c r="A949" s="1">
        <v>947.0</v>
      </c>
      <c r="B949" s="4" t="s">
        <v>1397</v>
      </c>
      <c r="C949" s="5" t="str">
        <f>IFERROR(__xludf.DUMMYFUNCTION("GOOGLETRANSLATE(D:D,""auto"",""en"")"),"Wuhan passenger temperature detection")</f>
        <v>Wuhan passenger temperature detection</v>
      </c>
      <c r="D949" s="4" t="s">
        <v>1454</v>
      </c>
      <c r="E949" s="4">
        <v>0.0</v>
      </c>
      <c r="F949" s="4">
        <v>48.0</v>
      </c>
      <c r="G949" s="4" t="s">
        <v>1455</v>
      </c>
    </row>
    <row r="950">
      <c r="A950" s="1">
        <v>948.0</v>
      </c>
      <c r="B950" s="4" t="s">
        <v>1397</v>
      </c>
      <c r="C950" s="5" t="str">
        <f>IFERROR(__xludf.DUMMYFUNCTION("GOOGLETRANSLATE(D:D,""auto"",""en"")"),"Simon Yam exposure start exercising")</f>
        <v>Simon Yam exposure start exercising</v>
      </c>
      <c r="D950" s="4" t="s">
        <v>1456</v>
      </c>
      <c r="E950" s="4">
        <v>0.0</v>
      </c>
      <c r="F950" s="4">
        <v>49.0</v>
      </c>
      <c r="G950" s="4" t="s">
        <v>1457</v>
      </c>
    </row>
    <row r="951">
      <c r="A951" s="1">
        <v>949.0</v>
      </c>
      <c r="B951" s="4" t="s">
        <v>1397</v>
      </c>
      <c r="C951" s="5" t="str">
        <f>IFERROR(__xludf.DUMMYFUNCTION("GOOGLETRANSLATE(D:D,""auto"",""en"")"),"Relocatees active HIV")</f>
        <v>Relocatees active HIV</v>
      </c>
      <c r="D951" s="4" t="s">
        <v>1458</v>
      </c>
      <c r="E951" s="4">
        <v>0.0</v>
      </c>
      <c r="F951" s="4">
        <v>50.0</v>
      </c>
      <c r="G951" s="4" t="s">
        <v>1459</v>
      </c>
    </row>
    <row r="952">
      <c r="A952" s="1">
        <v>950.0</v>
      </c>
      <c r="B952" s="4" t="s">
        <v>1460</v>
      </c>
      <c r="C952" s="5" t="str">
        <f>IFERROR(__xludf.DUMMYFUNCTION("GOOGLETRANSLATE(D:D,""auto"",""en"")"),"Jiashi County earthquake")</f>
        <v>Jiashi County earthquake</v>
      </c>
      <c r="D952" s="4" t="s">
        <v>1424</v>
      </c>
      <c r="E952" s="4">
        <v>0.0</v>
      </c>
      <c r="F952" s="4">
        <v>1.0</v>
      </c>
      <c r="G952" s="4" t="s">
        <v>1425</v>
      </c>
    </row>
    <row r="953">
      <c r="A953" s="1">
        <v>951.0</v>
      </c>
      <c r="B953" s="4" t="s">
        <v>1460</v>
      </c>
      <c r="C953" s="5" t="str">
        <f>IFERROR(__xludf.DUMMYFUNCTION("GOOGLETRANSLATE(D:D,""auto"",""en"")"),"Big Chill")</f>
        <v>Big Chill</v>
      </c>
      <c r="D953" s="4" t="s">
        <v>1461</v>
      </c>
      <c r="E953" s="4">
        <v>0.0</v>
      </c>
      <c r="F953" s="4">
        <v>2.0</v>
      </c>
      <c r="G953" s="4" t="s">
        <v>1462</v>
      </c>
    </row>
    <row r="954">
      <c r="A954" s="1">
        <v>952.0</v>
      </c>
      <c r="B954" s="4" t="s">
        <v>1460</v>
      </c>
      <c r="C954" s="5" t="str">
        <f>IFERROR(__xludf.DUMMYFUNCTION("GOOGLETRANSLATE(D:D,""auto"",""en"")"),"New diagnosis of pneumonia in Guangdong")</f>
        <v>New diagnosis of pneumonia in Guangdong</v>
      </c>
      <c r="D954" s="4" t="s">
        <v>1463</v>
      </c>
      <c r="E954" s="4">
        <v>0.0</v>
      </c>
      <c r="F954" s="4">
        <v>3.0</v>
      </c>
      <c r="G954" s="4" t="s">
        <v>1464</v>
      </c>
    </row>
    <row r="955">
      <c r="A955" s="1">
        <v>953.0</v>
      </c>
      <c r="B955" s="4" t="s">
        <v>1460</v>
      </c>
      <c r="C955" s="5" t="str">
        <f>IFERROR(__xludf.DUMMYFUNCTION("GOOGLETRANSLATE(D:D,""auto"",""en"")"),"Wuhan new 136 cases of pneumonia")</f>
        <v>Wuhan new 136 cases of pneumonia</v>
      </c>
      <c r="D955" s="4" t="s">
        <v>1465</v>
      </c>
      <c r="E955" s="4">
        <v>0.0</v>
      </c>
      <c r="F955" s="4">
        <v>4.0</v>
      </c>
      <c r="G955" s="4" t="s">
        <v>1466</v>
      </c>
    </row>
    <row r="956">
      <c r="A956" s="1">
        <v>954.0</v>
      </c>
      <c r="B956" s="4" t="s">
        <v>1460</v>
      </c>
      <c r="C956" s="5" t="str">
        <f>IFERROR(__xludf.DUMMYFUNCTION("GOOGLETRANSLATE(D:D,""auto"",""en"")"),"Zhongxiang memorial service held")</f>
        <v>Zhongxiang memorial service held</v>
      </c>
      <c r="D956" s="4" t="s">
        <v>1467</v>
      </c>
      <c r="E956" s="4">
        <v>0.0</v>
      </c>
      <c r="F956" s="4">
        <v>5.0</v>
      </c>
      <c r="G956" s="4" t="s">
        <v>1468</v>
      </c>
    </row>
    <row r="957">
      <c r="A957" s="1">
        <v>955.0</v>
      </c>
      <c r="B957" s="4" t="s">
        <v>1460</v>
      </c>
      <c r="C957" s="5" t="str">
        <f>IFERROR(__xludf.DUMMYFUNCTION("GOOGLETRANSLATE(D:D,""auto"",""en"")"),"Beijing confirmed new cases of pneumonia")</f>
        <v>Beijing confirmed new cases of pneumonia</v>
      </c>
      <c r="D957" s="4" t="s">
        <v>1469</v>
      </c>
      <c r="E957" s="4">
        <v>0.0</v>
      </c>
      <c r="F957" s="4">
        <v>6.0</v>
      </c>
      <c r="G957" s="4" t="s">
        <v>1470</v>
      </c>
    </row>
    <row r="958">
      <c r="A958" s="1">
        <v>956.0</v>
      </c>
      <c r="B958" s="4" t="s">
        <v>1460</v>
      </c>
      <c r="C958" s="5" t="str">
        <f>IFERROR(__xludf.DUMMYFUNCTION("GOOGLETRANSLATE(D:D,""auto"",""en"")"),"Zhao Fang Fawen thanks mourners")</f>
        <v>Zhao Fang Fawen thanks mourners</v>
      </c>
      <c r="D958" s="4" t="s">
        <v>1471</v>
      </c>
      <c r="E958" s="4">
        <v>0.0</v>
      </c>
      <c r="F958" s="4">
        <v>7.0</v>
      </c>
      <c r="G958" s="4" t="s">
        <v>1472</v>
      </c>
    </row>
    <row r="959">
      <c r="A959" s="1">
        <v>957.0</v>
      </c>
      <c r="B959" s="4" t="s">
        <v>1460</v>
      </c>
      <c r="C959" s="5" t="str">
        <f>IFERROR(__xludf.DUMMYFUNCTION("GOOGLETRANSLATE(D:D,""auto"",""en"")"),"Ni Ping Zhao Zhongxiang tearful farewell")</f>
        <v>Ni Ping Zhao Zhongxiang tearful farewell</v>
      </c>
      <c r="D959" s="4" t="s">
        <v>1473</v>
      </c>
      <c r="E959" s="4">
        <v>0.0</v>
      </c>
      <c r="F959" s="4">
        <v>8.0</v>
      </c>
      <c r="G959" s="4" t="s">
        <v>1474</v>
      </c>
    </row>
    <row r="960">
      <c r="A960" s="1">
        <v>958.0</v>
      </c>
      <c r="B960" s="4" t="s">
        <v>1460</v>
      </c>
      <c r="C960" s="5" t="str">
        <f>IFERROR(__xludf.DUMMYFUNCTION("GOOGLETRANSLATE(D:D,""auto"",""en"")"),"Dong Hao farewell Zhongxiang")</f>
        <v>Dong Hao farewell Zhongxiang</v>
      </c>
      <c r="D960" s="4" t="s">
        <v>1475</v>
      </c>
      <c r="E960" s="4">
        <v>0.0</v>
      </c>
      <c r="F960" s="4">
        <v>9.0</v>
      </c>
      <c r="G960" s="4" t="s">
        <v>1476</v>
      </c>
    </row>
    <row r="961">
      <c r="A961" s="1">
        <v>959.0</v>
      </c>
      <c r="B961" s="4" t="s">
        <v>1460</v>
      </c>
      <c r="C961" s="5" t="str">
        <f>IFERROR(__xludf.DUMMYFUNCTION("GOOGLETRANSLATE(D:D,""auto"",""en"")"),"Hawaii burst shooting")</f>
        <v>Hawaii burst shooting</v>
      </c>
      <c r="D961" s="4" t="s">
        <v>1477</v>
      </c>
      <c r="E961" s="4">
        <v>0.0</v>
      </c>
      <c r="F961" s="4">
        <v>10.0</v>
      </c>
      <c r="G961" s="4" t="s">
        <v>1478</v>
      </c>
    </row>
    <row r="962">
      <c r="A962" s="1">
        <v>960.0</v>
      </c>
      <c r="B962" s="4" t="s">
        <v>1460</v>
      </c>
      <c r="C962" s="5" t="str">
        <f>IFERROR(__xludf.DUMMYFUNCTION("GOOGLETRANSLATE(D:D,""auto"",""en"")"),"CCTV Spring Festival Evening the host team")</f>
        <v>CCTV Spring Festival Evening the host team</v>
      </c>
      <c r="D962" s="4" t="s">
        <v>1479</v>
      </c>
      <c r="E962" s="4">
        <v>0.0</v>
      </c>
      <c r="F962" s="4">
        <v>11.0</v>
      </c>
      <c r="G962" s="4" t="s">
        <v>1480</v>
      </c>
    </row>
    <row r="963">
      <c r="A963" s="1">
        <v>961.0</v>
      </c>
      <c r="B963" s="4" t="s">
        <v>1460</v>
      </c>
      <c r="C963" s="5" t="str">
        <f>IFERROR(__xludf.DUMMYFUNCTION("GOOGLETRANSLATE(D:D,""auto"",""en"")"),"8 cases of pneumonia by Shenzhen New")</f>
        <v>8 cases of pneumonia by Shenzhen New</v>
      </c>
      <c r="D963" s="4" t="s">
        <v>1481</v>
      </c>
      <c r="E963" s="4">
        <v>0.0</v>
      </c>
      <c r="F963" s="4">
        <v>12.0</v>
      </c>
      <c r="G963" s="4" t="s">
        <v>1482</v>
      </c>
    </row>
    <row r="964">
      <c r="A964" s="1">
        <v>962.0</v>
      </c>
      <c r="B964" s="4" t="s">
        <v>1460</v>
      </c>
      <c r="C964" s="5" t="str">
        <f>IFERROR(__xludf.DUMMYFUNCTION("GOOGLETRANSLATE(D:D,""auto"",""en"")"),"Du Shaoping was executed")</f>
        <v>Du Shaoping was executed</v>
      </c>
      <c r="D964" s="4" t="s">
        <v>1483</v>
      </c>
      <c r="E964" s="4">
        <v>0.0</v>
      </c>
      <c r="F964" s="4">
        <v>13.0</v>
      </c>
      <c r="G964" s="4" t="s">
        <v>1484</v>
      </c>
    </row>
    <row r="965">
      <c r="A965" s="1">
        <v>963.0</v>
      </c>
      <c r="B965" s="4" t="s">
        <v>1460</v>
      </c>
      <c r="C965" s="5" t="str">
        <f>IFERROR(__xludf.DUMMYFUNCTION("GOOGLETRANSLATE(D:D,""auto"",""en"")"),"Ministry of Foreign Affairs to respond to the epidemic of pneumonia")</f>
        <v>Ministry of Foreign Affairs to respond to the epidemic of pneumonia</v>
      </c>
      <c r="D965" s="4" t="s">
        <v>1485</v>
      </c>
      <c r="E965" s="4">
        <v>0.0</v>
      </c>
      <c r="F965" s="4">
        <v>14.0</v>
      </c>
      <c r="G965" s="4" t="s">
        <v>1486</v>
      </c>
    </row>
    <row r="966">
      <c r="A966" s="1">
        <v>964.0</v>
      </c>
      <c r="B966" s="4" t="s">
        <v>1460</v>
      </c>
      <c r="C966" s="5" t="str">
        <f>IFERROR(__xludf.DUMMYFUNCTION("GOOGLETRANSLATE(D:D,""auto"",""en"")"),"One minute science coronavirus")</f>
        <v>One minute science coronavirus</v>
      </c>
      <c r="D966" s="4" t="s">
        <v>1487</v>
      </c>
      <c r="E966" s="4">
        <v>0.0</v>
      </c>
      <c r="F966" s="4">
        <v>15.0</v>
      </c>
      <c r="G966" s="4" t="s">
        <v>1488</v>
      </c>
    </row>
    <row r="967">
      <c r="A967" s="1">
        <v>965.0</v>
      </c>
      <c r="B967" s="4" t="s">
        <v>1460</v>
      </c>
      <c r="C967" s="5" t="str">
        <f>IFERROR(__xludf.DUMMYFUNCTION("GOOGLETRANSLATE(D:D,""auto"",""en"")"),"Niki announces pregnancy")</f>
        <v>Niki announces pregnancy</v>
      </c>
      <c r="D967" s="4" t="s">
        <v>1489</v>
      </c>
      <c r="E967" s="4">
        <v>0.0</v>
      </c>
      <c r="F967" s="4">
        <v>16.0</v>
      </c>
      <c r="G967" s="4" t="s">
        <v>1490</v>
      </c>
    </row>
    <row r="968">
      <c r="A968" s="1">
        <v>966.0</v>
      </c>
      <c r="B968" s="4" t="s">
        <v>1460</v>
      </c>
      <c r="C968" s="5" t="str">
        <f>IFERROR(__xludf.DUMMYFUNCTION("GOOGLETRANSLATE(D:D,""auto"",""en"")"),"Wu Yan spend money to deal with the situation")</f>
        <v>Wu Yan spend money to deal with the situation</v>
      </c>
      <c r="D968" s="4" t="s">
        <v>1491</v>
      </c>
      <c r="E968" s="4">
        <v>0.0</v>
      </c>
      <c r="F968" s="4">
        <v>17.0</v>
      </c>
      <c r="G968" s="4" t="s">
        <v>1492</v>
      </c>
    </row>
    <row r="969">
      <c r="A969" s="1">
        <v>967.0</v>
      </c>
      <c r="B969" s="4" t="s">
        <v>1460</v>
      </c>
      <c r="C969" s="5" t="str">
        <f>IFERROR(__xludf.DUMMYFUNCTION("GOOGLETRANSLATE(D:D,""auto"",""en"")"),"Sansei III pillow book given file")</f>
        <v>Sansei III pillow book given file</v>
      </c>
      <c r="D969" s="4" t="s">
        <v>1493</v>
      </c>
      <c r="E969" s="4">
        <v>0.0</v>
      </c>
      <c r="F969" s="4">
        <v>18.0</v>
      </c>
      <c r="G969" s="4" t="s">
        <v>1494</v>
      </c>
    </row>
    <row r="970">
      <c r="A970" s="1">
        <v>968.0</v>
      </c>
      <c r="B970" s="4" t="s">
        <v>1460</v>
      </c>
      <c r="C970" s="5" t="str">
        <f>IFERROR(__xludf.DUMMYFUNCTION("GOOGLETRANSLATE(D:D,""auto"",""en"")"),"Wuhan fever clinics list")</f>
        <v>Wuhan fever clinics list</v>
      </c>
      <c r="D970" s="4" t="s">
        <v>1495</v>
      </c>
      <c r="E970" s="4">
        <v>0.0</v>
      </c>
      <c r="F970" s="4">
        <v>19.0</v>
      </c>
      <c r="G970" s="4" t="s">
        <v>1496</v>
      </c>
    </row>
    <row r="971">
      <c r="A971" s="1">
        <v>969.0</v>
      </c>
      <c r="B971" s="4" t="s">
        <v>1460</v>
      </c>
      <c r="C971" s="5" t="str">
        <f>IFERROR(__xludf.DUMMYFUNCTION("GOOGLETRANSLATE(D:D,""auto"",""en"")"),"New confirmed 217 cases of pneumonia")</f>
        <v>New confirmed 217 cases of pneumonia</v>
      </c>
      <c r="D971" s="4" t="s">
        <v>1497</v>
      </c>
      <c r="E971" s="4">
        <v>0.0</v>
      </c>
      <c r="F971" s="4">
        <v>20.0</v>
      </c>
      <c r="G971" s="4" t="s">
        <v>1498</v>
      </c>
    </row>
    <row r="972">
      <c r="A972" s="1">
        <v>970.0</v>
      </c>
      <c r="B972" s="4" t="s">
        <v>1460</v>
      </c>
      <c r="C972" s="5" t="str">
        <f>IFERROR(__xludf.DUMMYFUNCTION("GOOGLETRANSLATE(D:D,""auto"",""en"")"),"Zhejiang now 5 cases of pneumonia")</f>
        <v>Zhejiang now 5 cases of pneumonia</v>
      </c>
      <c r="D972" s="4" t="s">
        <v>1499</v>
      </c>
      <c r="E972" s="4">
        <v>0.0</v>
      </c>
      <c r="F972" s="4">
        <v>21.0</v>
      </c>
      <c r="G972" s="4" t="s">
        <v>1500</v>
      </c>
    </row>
    <row r="973">
      <c r="A973" s="1">
        <v>971.0</v>
      </c>
      <c r="B973" s="4" t="s">
        <v>1460</v>
      </c>
      <c r="C973" s="5" t="str">
        <f>IFERROR(__xludf.DUMMYFUNCTION("GOOGLETRANSLATE(D:D,""auto"",""en"")"),"Ma Rong transition when the director")</f>
        <v>Ma Rong transition when the director</v>
      </c>
      <c r="D973" s="4" t="s">
        <v>1414</v>
      </c>
      <c r="E973" s="4">
        <v>0.0</v>
      </c>
      <c r="F973" s="4">
        <v>22.0</v>
      </c>
      <c r="G973" s="4" t="s">
        <v>1415</v>
      </c>
    </row>
    <row r="974">
      <c r="A974" s="1">
        <v>972.0</v>
      </c>
      <c r="B974" s="4" t="s">
        <v>1460</v>
      </c>
      <c r="C974" s="5" t="str">
        <f>IFERROR(__xludf.DUMMYFUNCTION("GOOGLETRANSLATE(D:D,""auto"",""en"")"),"Wei Guo Degang Birthday issued")</f>
        <v>Wei Guo Degang Birthday issued</v>
      </c>
      <c r="D974" s="4" t="s">
        <v>1432</v>
      </c>
      <c r="E974" s="4">
        <v>0.0</v>
      </c>
      <c r="F974" s="4">
        <v>23.0</v>
      </c>
      <c r="G974" s="4" t="s">
        <v>1433</v>
      </c>
    </row>
    <row r="975">
      <c r="A975" s="1">
        <v>973.0</v>
      </c>
      <c r="B975" s="4" t="s">
        <v>1460</v>
      </c>
      <c r="C975" s="5" t="str">
        <f>IFERROR(__xludf.DUMMYFUNCTION("GOOGLETRANSLATE(D:D,""auto"",""en"")"),"Department of health care-acquired pneumonia rumors")</f>
        <v>Department of health care-acquired pneumonia rumors</v>
      </c>
      <c r="D975" s="4" t="s">
        <v>1501</v>
      </c>
      <c r="E975" s="4">
        <v>0.0</v>
      </c>
      <c r="F975" s="4">
        <v>24.0</v>
      </c>
      <c r="G975" s="4" t="s">
        <v>1502</v>
      </c>
    </row>
    <row r="976">
      <c r="A976" s="1">
        <v>974.0</v>
      </c>
      <c r="B976" s="4" t="s">
        <v>1460</v>
      </c>
      <c r="C976" s="5" t="str">
        <f>IFERROR(__xludf.DUMMYFUNCTION("GOOGLETRANSLATE(D:D,""auto"",""en"")"),"A value of 400,000 tiles Palace")</f>
        <v>A value of 400,000 tiles Palace</v>
      </c>
      <c r="D976" s="4" t="s">
        <v>1418</v>
      </c>
      <c r="E976" s="4">
        <v>0.0</v>
      </c>
      <c r="F976" s="4">
        <v>25.0</v>
      </c>
      <c r="G976" s="4" t="s">
        <v>1419</v>
      </c>
    </row>
    <row r="977">
      <c r="A977" s="1">
        <v>975.0</v>
      </c>
      <c r="B977" s="4" t="s">
        <v>1460</v>
      </c>
      <c r="C977" s="5" t="str">
        <f>IFERROR(__xludf.DUMMYFUNCTION("GOOGLETRANSLATE(D:D,""auto"",""en"")"),"Our song titles released")</f>
        <v>Our song titles released</v>
      </c>
      <c r="D977" s="4" t="s">
        <v>1503</v>
      </c>
      <c r="E977" s="4">
        <v>0.0</v>
      </c>
      <c r="F977" s="4">
        <v>26.0</v>
      </c>
      <c r="G977" s="4" t="s">
        <v>1504</v>
      </c>
    </row>
    <row r="978">
      <c r="A978" s="1">
        <v>976.0</v>
      </c>
      <c r="B978" s="4" t="s">
        <v>1460</v>
      </c>
      <c r="C978" s="5" t="str">
        <f>IFERROR(__xludf.DUMMYFUNCTION("GOOGLETRANSLATE(D:D,""auto"",""en"")"),"Maotai publicity executives annual salary")</f>
        <v>Maotai publicity executives annual salary</v>
      </c>
      <c r="D978" s="4" t="s">
        <v>1505</v>
      </c>
      <c r="E978" s="4">
        <v>0.0</v>
      </c>
      <c r="F978" s="4">
        <v>27.0</v>
      </c>
      <c r="G978" s="4" t="s">
        <v>1506</v>
      </c>
    </row>
    <row r="979">
      <c r="A979" s="1">
        <v>977.0</v>
      </c>
      <c r="B979" s="4" t="s">
        <v>1460</v>
      </c>
      <c r="C979" s="5" t="str">
        <f>IFERROR(__xludf.DUMMYFUNCTION("GOOGLETRANSLATE(D:D,""auto"",""en"")"),"Spring Festival railway passenger 100 million break")</f>
        <v>Spring Festival railway passenger 100 million break</v>
      </c>
      <c r="D979" s="4" t="s">
        <v>1507</v>
      </c>
      <c r="E979" s="4">
        <v>0.0</v>
      </c>
      <c r="F979" s="4">
        <v>28.0</v>
      </c>
      <c r="G979" s="4" t="s">
        <v>1508</v>
      </c>
    </row>
    <row r="980">
      <c r="A980" s="1">
        <v>978.0</v>
      </c>
      <c r="B980" s="4" t="s">
        <v>1460</v>
      </c>
      <c r="C980" s="5" t="str">
        <f>IFERROR(__xludf.DUMMYFUNCTION("GOOGLETRANSLATE(D:D,""auto"",""en"")"),"Qi Dan Mianhua plums")</f>
        <v>Qi Dan Mianhua plums</v>
      </c>
      <c r="D980" s="4" t="s">
        <v>1509</v>
      </c>
      <c r="E980" s="4">
        <v>0.0</v>
      </c>
      <c r="F980" s="4">
        <v>29.0</v>
      </c>
      <c r="G980" s="4" t="s">
        <v>1510</v>
      </c>
    </row>
    <row r="981">
      <c r="A981" s="1">
        <v>979.0</v>
      </c>
      <c r="B981" s="4" t="s">
        <v>1460</v>
      </c>
      <c r="C981" s="5" t="str">
        <f>IFERROR(__xludf.DUMMYFUNCTION("GOOGLETRANSLATE(D:D,""auto"",""en"")"),"Shanghai flights flying glass cracking")</f>
        <v>Shanghai flights flying glass cracking</v>
      </c>
      <c r="D981" s="4" t="s">
        <v>1442</v>
      </c>
      <c r="E981" s="4">
        <v>0.0</v>
      </c>
      <c r="F981" s="4">
        <v>30.0</v>
      </c>
      <c r="G981" s="4" t="s">
        <v>1443</v>
      </c>
    </row>
    <row r="982">
      <c r="A982" s="1">
        <v>980.0</v>
      </c>
      <c r="B982" s="4" t="s">
        <v>1460</v>
      </c>
      <c r="C982" s="5" t="str">
        <f>IFERROR(__xludf.DUMMYFUNCTION("GOOGLETRANSLATE(D:D,""auto"",""en"")"),"South Korea now unexplained pneumonia")</f>
        <v>South Korea now unexplained pneumonia</v>
      </c>
      <c r="D982" s="4" t="s">
        <v>1511</v>
      </c>
      <c r="E982" s="4">
        <v>0.0</v>
      </c>
      <c r="F982" s="4">
        <v>31.0</v>
      </c>
      <c r="G982" s="4" t="s">
        <v>1512</v>
      </c>
    </row>
    <row r="983">
      <c r="A983" s="1">
        <v>981.0</v>
      </c>
      <c r="B983" s="4" t="s">
        <v>1460</v>
      </c>
      <c r="C983" s="5" t="str">
        <f>IFERROR(__xludf.DUMMYFUNCTION("GOOGLETRANSLATE(D:D,""auto"",""en"")"),"Kim Su Hyon love playing landing")</f>
        <v>Kim Su Hyon love playing landing</v>
      </c>
      <c r="D983" s="4" t="s">
        <v>1513</v>
      </c>
      <c r="E983" s="4">
        <v>0.0</v>
      </c>
      <c r="F983" s="4">
        <v>32.0</v>
      </c>
      <c r="G983" s="4" t="s">
        <v>1514</v>
      </c>
    </row>
    <row r="984">
      <c r="A984" s="1">
        <v>982.0</v>
      </c>
      <c r="B984" s="4" t="s">
        <v>1460</v>
      </c>
      <c r="C984" s="5" t="str">
        <f>IFERROR(__xludf.DUMMYFUNCTION("GOOGLETRANSLATE(D:D,""auto"",""en"")"),"ETC does not show the cost of the defendant")</f>
        <v>ETC does not show the cost of the defendant</v>
      </c>
      <c r="D984" s="4" t="s">
        <v>1515</v>
      </c>
      <c r="E984" s="4">
        <v>0.0</v>
      </c>
      <c r="F984" s="4">
        <v>33.0</v>
      </c>
      <c r="G984" s="4" t="s">
        <v>1516</v>
      </c>
    </row>
    <row r="985">
      <c r="A985" s="1">
        <v>983.0</v>
      </c>
      <c r="B985" s="4" t="s">
        <v>1460</v>
      </c>
      <c r="C985" s="5" t="str">
        <f>IFERROR(__xludf.DUMMYFUNCTION("GOOGLETRANSLATE(D:D,""auto"",""en"")"),"Musk fried rocket")</f>
        <v>Musk fried rocket</v>
      </c>
      <c r="D985" s="4" t="s">
        <v>1517</v>
      </c>
      <c r="E985" s="4">
        <v>0.0</v>
      </c>
      <c r="F985" s="4">
        <v>34.0</v>
      </c>
      <c r="G985" s="4" t="s">
        <v>1518</v>
      </c>
    </row>
    <row r="986">
      <c r="A986" s="1">
        <v>984.0</v>
      </c>
      <c r="B986" s="4" t="s">
        <v>1460</v>
      </c>
      <c r="C986" s="5" t="str">
        <f>IFERROR(__xludf.DUMMYFUNCTION("GOOGLETRANSLATE(D:D,""auto"",""en"")"),"Donkey-hide gelatin listed on the first loss")</f>
        <v>Donkey-hide gelatin listed on the first loss</v>
      </c>
      <c r="D986" s="4" t="s">
        <v>1519</v>
      </c>
      <c r="E986" s="4">
        <v>0.0</v>
      </c>
      <c r="F986" s="4">
        <v>35.0</v>
      </c>
      <c r="G986" s="4" t="s">
        <v>1520</v>
      </c>
    </row>
    <row r="987">
      <c r="A987" s="1">
        <v>985.0</v>
      </c>
      <c r="B987" s="4" t="s">
        <v>1460</v>
      </c>
      <c r="C987" s="5" t="str">
        <f>IFERROR(__xludf.DUMMYFUNCTION("GOOGLETRANSLATE(D:D,""auto"",""en"")"),"Shuozhou God first spring as beautiful as paradise")</f>
        <v>Shuozhou God first spring as beautiful as paradise</v>
      </c>
      <c r="D987" s="4" t="s">
        <v>1521</v>
      </c>
      <c r="E987" s="4">
        <v>0.0</v>
      </c>
      <c r="F987" s="4">
        <v>36.0</v>
      </c>
      <c r="G987" s="4" t="s">
        <v>1522</v>
      </c>
    </row>
    <row r="988">
      <c r="A988" s="1">
        <v>986.0</v>
      </c>
      <c r="B988" s="4" t="s">
        <v>1460</v>
      </c>
      <c r="C988" s="5" t="str">
        <f>IFERROR(__xludf.DUMMYFUNCTION("GOOGLETRANSLATE(D:D,""auto"",""en"")"),"Day prenatal director to join the Great Wall")</f>
        <v>Day prenatal director to join the Great Wall</v>
      </c>
      <c r="D988" s="4" t="s">
        <v>1523</v>
      </c>
      <c r="E988" s="4">
        <v>0.0</v>
      </c>
      <c r="F988" s="4">
        <v>37.0</v>
      </c>
      <c r="G988" s="4" t="s">
        <v>1524</v>
      </c>
    </row>
    <row r="989">
      <c r="A989" s="1">
        <v>987.0</v>
      </c>
      <c r="B989" s="4" t="s">
        <v>1460</v>
      </c>
      <c r="C989" s="5" t="str">
        <f>IFERROR(__xludf.DUMMYFUNCTION("GOOGLETRANSLATE(D:D,""auto"",""en"")"),"I had to drive into the Forbidden City's sound")</f>
        <v>I had to drive into the Forbidden City's sound</v>
      </c>
      <c r="D989" s="4" t="s">
        <v>1406</v>
      </c>
      <c r="E989" s="4">
        <v>0.0</v>
      </c>
      <c r="F989" s="4">
        <v>38.0</v>
      </c>
      <c r="G989" s="4" t="s">
        <v>1407</v>
      </c>
    </row>
    <row r="990">
      <c r="A990" s="1">
        <v>988.0</v>
      </c>
      <c r="B990" s="4" t="s">
        <v>1460</v>
      </c>
      <c r="C990" s="5" t="str">
        <f>IFERROR(__xludf.DUMMYFUNCTION("GOOGLETRANSLATE(D:D,""auto"",""en"")"),"Movie mention win")</f>
        <v>Movie mention win</v>
      </c>
      <c r="D990" s="4" t="s">
        <v>1525</v>
      </c>
      <c r="E990" s="4">
        <v>0.0</v>
      </c>
      <c r="F990" s="4">
        <v>39.0</v>
      </c>
      <c r="G990" s="4" t="s">
        <v>1526</v>
      </c>
    </row>
    <row r="991">
      <c r="A991" s="1">
        <v>989.0</v>
      </c>
      <c r="B991" s="4" t="s">
        <v>1460</v>
      </c>
      <c r="C991" s="5" t="str">
        <f>IFERROR(__xludf.DUMMYFUNCTION("GOOGLETRANSLATE(D:D,""auto"",""en"")"),"Granddaughter sale ancestral necklace")</f>
        <v>Granddaughter sale ancestral necklace</v>
      </c>
      <c r="D991" s="4" t="s">
        <v>1527</v>
      </c>
      <c r="E991" s="4">
        <v>0.0</v>
      </c>
      <c r="F991" s="4">
        <v>40.0</v>
      </c>
      <c r="G991" s="4" t="s">
        <v>1528</v>
      </c>
    </row>
    <row r="992">
      <c r="A992" s="1">
        <v>990.0</v>
      </c>
      <c r="B992" s="4" t="s">
        <v>1460</v>
      </c>
      <c r="C992" s="5" t="str">
        <f>IFERROR(__xludf.DUMMYFUNCTION("GOOGLETRANSLATE(D:D,""auto"",""en"")"),"Zhejiang suspect now five cases of pneumonia cases")</f>
        <v>Zhejiang suspect now five cases of pneumonia cases</v>
      </c>
      <c r="D992" s="4" t="s">
        <v>1529</v>
      </c>
      <c r="E992" s="4">
        <v>0.0</v>
      </c>
      <c r="F992" s="4">
        <v>41.0</v>
      </c>
      <c r="G992" s="4" t="s">
        <v>1530</v>
      </c>
    </row>
    <row r="993">
      <c r="A993" s="1">
        <v>991.0</v>
      </c>
      <c r="B993" s="4" t="s">
        <v>1460</v>
      </c>
      <c r="C993" s="5" t="str">
        <f>IFERROR(__xludf.DUMMYFUNCTION("GOOGLETRANSLATE(D:D,""auto"",""en"")"),"Wuhan new growth pneumonia 17 cases")</f>
        <v>Wuhan new growth pneumonia 17 cases</v>
      </c>
      <c r="D993" s="4" t="s">
        <v>1408</v>
      </c>
      <c r="E993" s="4">
        <v>0.0</v>
      </c>
      <c r="F993" s="4">
        <v>42.0</v>
      </c>
      <c r="G993" s="4" t="s">
        <v>1409</v>
      </c>
    </row>
    <row r="994">
      <c r="A994" s="1">
        <v>992.0</v>
      </c>
      <c r="B994" s="4" t="s">
        <v>1460</v>
      </c>
      <c r="C994" s="5" t="str">
        <f>IFERROR(__xludf.DUMMYFUNCTION("GOOGLETRANSLATE(D:D,""auto"",""en"")"),"Lawyers sue ETC company")</f>
        <v>Lawyers sue ETC company</v>
      </c>
      <c r="D994" s="4" t="s">
        <v>1531</v>
      </c>
      <c r="E994" s="4">
        <v>0.0</v>
      </c>
      <c r="F994" s="4">
        <v>43.0</v>
      </c>
      <c r="G994" s="4" t="s">
        <v>1532</v>
      </c>
    </row>
    <row r="995">
      <c r="A995" s="1">
        <v>993.0</v>
      </c>
      <c r="B995" s="4" t="s">
        <v>1460</v>
      </c>
      <c r="C995" s="5" t="str">
        <f>IFERROR(__xludf.DUMMYFUNCTION("GOOGLETRANSLATE(D:D,""auto"",""en"")"),"A cloud Ga singer singing Qiuniao")</f>
        <v>A cloud Ga singer singing Qiuniao</v>
      </c>
      <c r="D995" s="4" t="s">
        <v>1533</v>
      </c>
      <c r="E995" s="4">
        <v>0.0</v>
      </c>
      <c r="F995" s="4">
        <v>44.0</v>
      </c>
      <c r="G995" s="4" t="s">
        <v>1534</v>
      </c>
    </row>
    <row r="996">
      <c r="A996" s="1">
        <v>994.0</v>
      </c>
      <c r="B996" s="4" t="s">
        <v>1460</v>
      </c>
      <c r="C996" s="5" t="str">
        <f>IFERROR(__xludf.DUMMYFUNCTION("GOOGLETRANSLATE(D:D,""auto"",""en"")"),"For Liu Hao Ran dog attracts attention")</f>
        <v>For Liu Hao Ran dog attracts attention</v>
      </c>
      <c r="D996" s="4" t="s">
        <v>1535</v>
      </c>
      <c r="E996" s="4">
        <v>0.0</v>
      </c>
      <c r="F996" s="4">
        <v>45.0</v>
      </c>
      <c r="G996" s="4" t="s">
        <v>1536</v>
      </c>
    </row>
    <row r="997">
      <c r="A997" s="1">
        <v>995.0</v>
      </c>
      <c r="B997" s="4" t="s">
        <v>1460</v>
      </c>
      <c r="C997" s="5" t="str">
        <f>IFERROR(__xludf.DUMMYFUNCTION("GOOGLETRANSLATE(D:D,""auto"",""en"")"),"New 218 cases diagnosed pneumonia")</f>
        <v>New 218 cases diagnosed pneumonia</v>
      </c>
      <c r="D997" s="4" t="s">
        <v>1537</v>
      </c>
      <c r="E997" s="4">
        <v>0.0</v>
      </c>
      <c r="F997" s="4">
        <v>46.0</v>
      </c>
      <c r="G997" s="4" t="s">
        <v>1538</v>
      </c>
    </row>
    <row r="998">
      <c r="A998" s="1">
        <v>996.0</v>
      </c>
      <c r="B998" s="4" t="s">
        <v>1460</v>
      </c>
      <c r="C998" s="5" t="str">
        <f>IFERROR(__xludf.DUMMYFUNCTION("GOOGLETRANSLATE(D:D,""auto"",""en"")"),"Kuqa County of Xinjiang earthquake")</f>
        <v>Kuqa County of Xinjiang earthquake</v>
      </c>
      <c r="D998" s="4" t="s">
        <v>1420</v>
      </c>
      <c r="E998" s="4">
        <v>0.0</v>
      </c>
      <c r="F998" s="4">
        <v>47.0</v>
      </c>
      <c r="G998" s="4" t="s">
        <v>1421</v>
      </c>
    </row>
    <row r="999">
      <c r="A999" s="1">
        <v>997.0</v>
      </c>
      <c r="B999" s="4" t="s">
        <v>1460</v>
      </c>
      <c r="C999" s="5" t="str">
        <f>IFERROR(__xludf.DUMMYFUNCTION("GOOGLETRANSLATE(D:D,""auto"",""en"")"),"8-ball victory over the national football warm-up match")</f>
        <v>8-ball victory over the national football warm-up match</v>
      </c>
      <c r="D999" s="4" t="s">
        <v>1438</v>
      </c>
      <c r="E999" s="4">
        <v>0.0</v>
      </c>
      <c r="F999" s="4">
        <v>48.0</v>
      </c>
      <c r="G999" s="4" t="s">
        <v>1439</v>
      </c>
    </row>
    <row r="1000">
      <c r="A1000" s="1">
        <v>998.0</v>
      </c>
      <c r="B1000" s="4" t="s">
        <v>1460</v>
      </c>
      <c r="C1000" s="5" t="str">
        <f>IFERROR(__xludf.DUMMYFUNCTION("GOOGLETRANSLATE(D:D,""auto"",""en"")"),"Zhongxiang makeup picture before his death")</f>
        <v>Zhongxiang makeup picture before his death</v>
      </c>
      <c r="D1000" s="4" t="s">
        <v>1369</v>
      </c>
      <c r="E1000" s="4">
        <v>0.0</v>
      </c>
      <c r="F1000" s="4">
        <v>49.0</v>
      </c>
      <c r="G1000" s="4" t="s">
        <v>1370</v>
      </c>
    </row>
    <row r="1001">
      <c r="A1001" s="1">
        <v>999.0</v>
      </c>
      <c r="B1001" s="4" t="s">
        <v>1460</v>
      </c>
      <c r="C1001" s="5" t="str">
        <f>IFERROR(__xludf.DUMMYFUNCTION("GOOGLETRANSLATE(D:D,""auto"",""en"")"),"South Korea now Wuhan pneumonia cases")</f>
        <v>South Korea now Wuhan pneumonia cases</v>
      </c>
      <c r="D1001" s="4" t="s">
        <v>1539</v>
      </c>
      <c r="E1001" s="4">
        <v>0.0</v>
      </c>
      <c r="F1001" s="4">
        <v>50.0</v>
      </c>
      <c r="G1001" s="4" t="s">
        <v>1540</v>
      </c>
    </row>
    <row r="1002">
      <c r="A1002" s="1">
        <v>1000.0</v>
      </c>
      <c r="B1002" s="4" t="s">
        <v>1541</v>
      </c>
      <c r="C1002" s="5" t="str">
        <f>IFERROR(__xludf.DUMMYFUNCTION("GOOGLETRANSLATE(D:D,""auto"",""en"")"),"Miss Japan champion released")</f>
        <v>Miss Japan champion released</v>
      </c>
      <c r="D1002" s="4" t="s">
        <v>1542</v>
      </c>
      <c r="E1002" s="4">
        <v>0.0</v>
      </c>
      <c r="F1002" s="4">
        <v>1.0</v>
      </c>
      <c r="G1002" s="4" t="s">
        <v>1543</v>
      </c>
    </row>
    <row r="1003">
      <c r="A1003" s="1">
        <v>1001.0</v>
      </c>
      <c r="B1003" s="4" t="s">
        <v>1541</v>
      </c>
      <c r="C1003" s="5" t="str">
        <f>IFERROR(__xludf.DUMMYFUNCTION("GOOGLETRANSLATE(D:D,""auto"",""en"")"),"Niki announces pregnancy")</f>
        <v>Niki announces pregnancy</v>
      </c>
      <c r="D1003" s="4" t="s">
        <v>1489</v>
      </c>
      <c r="E1003" s="4">
        <v>0.0</v>
      </c>
      <c r="F1003" s="4">
        <v>2.0</v>
      </c>
      <c r="G1003" s="4" t="s">
        <v>1490</v>
      </c>
    </row>
    <row r="1004">
      <c r="A1004" s="1">
        <v>1002.0</v>
      </c>
      <c r="B1004" s="4" t="s">
        <v>1541</v>
      </c>
      <c r="C1004" s="5" t="str">
        <f>IFERROR(__xludf.DUMMYFUNCTION("GOOGLETRANSLATE(D:D,""auto"",""en"")"),"New 218 cases diagnosed pneumonia")</f>
        <v>New 218 cases diagnosed pneumonia</v>
      </c>
      <c r="D1004" s="4" t="s">
        <v>1537</v>
      </c>
      <c r="E1004" s="4">
        <v>0.0</v>
      </c>
      <c r="F1004" s="4">
        <v>3.0</v>
      </c>
      <c r="G1004" s="4" t="s">
        <v>1538</v>
      </c>
    </row>
    <row r="1005">
      <c r="A1005" s="1">
        <v>1003.0</v>
      </c>
      <c r="B1005" s="4" t="s">
        <v>1541</v>
      </c>
      <c r="C1005" s="5" t="str">
        <f>IFERROR(__xludf.DUMMYFUNCTION("GOOGLETRANSLATE(D:D,""auto"",""en"")"),"Wuhan fever clinics list")</f>
        <v>Wuhan fever clinics list</v>
      </c>
      <c r="D1005" s="4" t="s">
        <v>1495</v>
      </c>
      <c r="E1005" s="4">
        <v>0.0</v>
      </c>
      <c r="F1005" s="4">
        <v>4.0</v>
      </c>
      <c r="G1005" s="4" t="s">
        <v>1496</v>
      </c>
    </row>
    <row r="1006">
      <c r="A1006" s="1">
        <v>1004.0</v>
      </c>
      <c r="B1006" s="4" t="s">
        <v>1541</v>
      </c>
      <c r="C1006" s="5" t="str">
        <f>IFERROR(__xludf.DUMMYFUNCTION("GOOGLETRANSLATE(D:D,""auto"",""en"")"),"Palace Museum apology")</f>
        <v>Palace Museum apology</v>
      </c>
      <c r="D1006" s="4" t="s">
        <v>1544</v>
      </c>
      <c r="E1006" s="4">
        <v>0.0</v>
      </c>
      <c r="F1006" s="4">
        <v>5.0</v>
      </c>
      <c r="G1006" s="4" t="s">
        <v>1545</v>
      </c>
    </row>
    <row r="1007">
      <c r="A1007" s="1">
        <v>1005.0</v>
      </c>
      <c r="B1007" s="4" t="s">
        <v>1541</v>
      </c>
      <c r="C1007" s="5" t="str">
        <f>IFERROR(__xludf.DUMMYFUNCTION("GOOGLETRANSLATE(D:D,""auto"",""en"")"),"Wuhan among health care workers")</f>
        <v>Wuhan among health care workers</v>
      </c>
      <c r="D1007" s="4" t="s">
        <v>1546</v>
      </c>
      <c r="E1007" s="4">
        <v>0.0</v>
      </c>
      <c r="F1007" s="4">
        <v>6.0</v>
      </c>
      <c r="G1007" s="4" t="s">
        <v>1547</v>
      </c>
    </row>
    <row r="1008">
      <c r="A1008" s="1">
        <v>1006.0</v>
      </c>
      <c r="B1008" s="4" t="s">
        <v>1541</v>
      </c>
      <c r="C1008" s="5" t="str">
        <f>IFERROR(__xludf.DUMMYFUNCTION("GOOGLETRANSLATE(D:D,""auto"",""en"")"),"The new show symptoms of pneumonia")</f>
        <v>The new show symptoms of pneumonia</v>
      </c>
      <c r="D1008" s="4" t="s">
        <v>1548</v>
      </c>
      <c r="E1008" s="4">
        <v>0.0</v>
      </c>
      <c r="F1008" s="4">
        <v>7.0</v>
      </c>
      <c r="G1008" s="4" t="s">
        <v>1549</v>
      </c>
    </row>
    <row r="1009">
      <c r="A1009" s="1">
        <v>1007.0</v>
      </c>
      <c r="B1009" s="4" t="s">
        <v>1541</v>
      </c>
      <c r="C1009" s="5" t="str">
        <f>IFERROR(__xludf.DUMMYFUNCTION("GOOGLETRANSLATE(D:D,""auto"",""en"")"),"Zhu mourn Zhao Zhongxiang")</f>
        <v>Zhu mourn Zhao Zhongxiang</v>
      </c>
      <c r="D1009" s="4" t="s">
        <v>1550</v>
      </c>
      <c r="E1009" s="4">
        <v>0.0</v>
      </c>
      <c r="F1009" s="4">
        <v>8.0</v>
      </c>
      <c r="G1009" s="4" t="s">
        <v>1551</v>
      </c>
    </row>
    <row r="1010">
      <c r="A1010" s="1">
        <v>1008.0</v>
      </c>
      <c r="B1010" s="4" t="s">
        <v>1541</v>
      </c>
      <c r="C1010" s="5" t="str">
        <f>IFERROR(__xludf.DUMMYFUNCTION("GOOGLETRANSLATE(D:D,""auto"",""en"")"),"Wuhan Beijing in pneumonia")</f>
        <v>Wuhan Beijing in pneumonia</v>
      </c>
      <c r="D1010" s="4" t="s">
        <v>1552</v>
      </c>
      <c r="E1010" s="4">
        <v>0.0</v>
      </c>
      <c r="F1010" s="4">
        <v>9.0</v>
      </c>
      <c r="G1010" s="4" t="s">
        <v>1553</v>
      </c>
    </row>
    <row r="1011">
      <c r="A1011" s="1">
        <v>1009.0</v>
      </c>
      <c r="B1011" s="4" t="s">
        <v>1541</v>
      </c>
      <c r="C1011" s="5" t="str">
        <f>IFERROR(__xludf.DUMMYFUNCTION("GOOGLETRANSLATE(D:D,""auto"",""en"")"),"Pneumonia epidemic on the rise")</f>
        <v>Pneumonia epidemic on the rise</v>
      </c>
      <c r="D1011" s="4" t="s">
        <v>1554</v>
      </c>
      <c r="E1011" s="4">
        <v>0.0</v>
      </c>
      <c r="F1011" s="4">
        <v>10.0</v>
      </c>
      <c r="G1011" s="4" t="s">
        <v>1555</v>
      </c>
    </row>
    <row r="1012">
      <c r="A1012" s="1">
        <v>1010.0</v>
      </c>
      <c r="B1012" s="4" t="s">
        <v>1541</v>
      </c>
      <c r="C1012" s="5" t="str">
        <f>IFERROR(__xludf.DUMMYFUNCTION("GOOGLETRANSLATE(D:D,""auto"",""en"")"),"Wuhan extension of the Spring Festival activities")</f>
        <v>Wuhan extension of the Spring Festival activities</v>
      </c>
      <c r="D1012" s="4" t="s">
        <v>1556</v>
      </c>
      <c r="E1012" s="4">
        <v>0.0</v>
      </c>
      <c r="F1012" s="4">
        <v>11.0</v>
      </c>
      <c r="G1012" s="4" t="s">
        <v>1557</v>
      </c>
    </row>
    <row r="1013">
      <c r="A1013" s="1">
        <v>1011.0</v>
      </c>
      <c r="B1013" s="4" t="s">
        <v>1541</v>
      </c>
      <c r="C1013" s="5" t="str">
        <f>IFERROR(__xludf.DUMMYFUNCTION("GOOGLETRANSLATE(D:D,""auto"",""en"")"),"Omi informed Yao Shunxi event")</f>
        <v>Omi informed Yao Shunxi event</v>
      </c>
      <c r="D1013" s="4" t="s">
        <v>1558</v>
      </c>
      <c r="E1013" s="4">
        <v>0.0</v>
      </c>
      <c r="F1013" s="4">
        <v>12.0</v>
      </c>
      <c r="G1013" s="4" t="s">
        <v>1559</v>
      </c>
    </row>
    <row r="1014">
      <c r="A1014" s="1">
        <v>1012.0</v>
      </c>
      <c r="B1014" s="4" t="s">
        <v>1541</v>
      </c>
      <c r="C1014" s="5" t="str">
        <f>IFERROR(__xludf.DUMMYFUNCTION("GOOGLETRANSLATE(D:D,""auto"",""en"")"),"Pneumonia virus or from game")</f>
        <v>Pneumonia virus or from game</v>
      </c>
      <c r="D1014" s="4" t="s">
        <v>1560</v>
      </c>
      <c r="E1014" s="4">
        <v>0.0</v>
      </c>
      <c r="F1014" s="4">
        <v>13.0</v>
      </c>
      <c r="G1014" s="4" t="s">
        <v>1561</v>
      </c>
    </row>
    <row r="1015">
      <c r="A1015" s="1">
        <v>1013.0</v>
      </c>
      <c r="B1015" s="4" t="s">
        <v>1541</v>
      </c>
      <c r="C1015" s="5" t="str">
        <f>IFERROR(__xludf.DUMMYFUNCTION("GOOGLETRANSLATE(D:D,""auto"",""en"")"),"Zhongxiang funeral now groupies")</f>
        <v>Zhongxiang funeral now groupies</v>
      </c>
      <c r="D1015" s="4" t="s">
        <v>1562</v>
      </c>
      <c r="E1015" s="4">
        <v>0.0</v>
      </c>
      <c r="F1015" s="4">
        <v>14.0</v>
      </c>
      <c r="G1015" s="4" t="s">
        <v>1563</v>
      </c>
    </row>
    <row r="1016">
      <c r="A1016" s="1">
        <v>1014.0</v>
      </c>
      <c r="B1016" s="4" t="s">
        <v>1541</v>
      </c>
      <c r="C1016" s="5" t="str">
        <f>IFERROR(__xludf.DUMMYFUNCTION("GOOGLETRANSLATE(D:D,""auto"",""en"")"),"West was beaten in the street")</f>
        <v>West was beaten in the street</v>
      </c>
      <c r="D1016" s="4" t="s">
        <v>1564</v>
      </c>
      <c r="E1016" s="4">
        <v>0.0</v>
      </c>
      <c r="F1016" s="4">
        <v>15.0</v>
      </c>
      <c r="G1016" s="4" t="s">
        <v>1565</v>
      </c>
    </row>
    <row r="1017">
      <c r="A1017" s="1">
        <v>1015.0</v>
      </c>
      <c r="B1017" s="4" t="s">
        <v>1541</v>
      </c>
      <c r="C1017" s="5" t="str">
        <f>IFERROR(__xludf.DUMMYFUNCTION("GOOGLETRANSLATE(D:D,""auto"",""en"")"),"The new iPhone is thinner exposure")</f>
        <v>The new iPhone is thinner exposure</v>
      </c>
      <c r="D1017" s="4" t="s">
        <v>1566</v>
      </c>
      <c r="E1017" s="4">
        <v>0.0</v>
      </c>
      <c r="F1017" s="4">
        <v>16.0</v>
      </c>
      <c r="G1017" s="4" t="s">
        <v>1567</v>
      </c>
    </row>
    <row r="1018">
      <c r="A1018" s="1">
        <v>1016.0</v>
      </c>
      <c r="B1018" s="4" t="s">
        <v>1541</v>
      </c>
      <c r="C1018" s="5" t="str">
        <f>IFERROR(__xludf.DUMMYFUNCTION("GOOGLETRANSLATE(D:D,""auto"",""en"")"),"Out of control embodiment Wuhan")</f>
        <v>Out of control embodiment Wuhan</v>
      </c>
      <c r="D1018" s="4" t="s">
        <v>1568</v>
      </c>
      <c r="E1018" s="4">
        <v>0.0</v>
      </c>
      <c r="F1018" s="4">
        <v>17.0</v>
      </c>
      <c r="G1018" s="4" t="s">
        <v>1569</v>
      </c>
    </row>
    <row r="1019">
      <c r="A1019" s="1">
        <v>1017.0</v>
      </c>
      <c r="B1019" s="4" t="s">
        <v>1541</v>
      </c>
      <c r="C1019" s="5" t="str">
        <f>IFERROR(__xludf.DUMMYFUNCTION("GOOGLETRANSLATE(D:D,""auto"",""en"")"),"The new class B infectious pneumonia")</f>
        <v>The new class B infectious pneumonia</v>
      </c>
      <c r="D1019" s="4" t="s">
        <v>1570</v>
      </c>
      <c r="E1019" s="4">
        <v>0.0</v>
      </c>
      <c r="F1019" s="4">
        <v>18.0</v>
      </c>
      <c r="G1019" s="4" t="s">
        <v>1571</v>
      </c>
    </row>
    <row r="1020">
      <c r="A1020" s="1">
        <v>1018.0</v>
      </c>
      <c r="B1020" s="4" t="s">
        <v>1541</v>
      </c>
      <c r="C1020" s="5" t="str">
        <f>IFERROR(__xludf.DUMMYFUNCTION("GOOGLETRANSLATE(D:D,""auto"",""en"")"),"Wuhan set up epidemic prevention headquarters")</f>
        <v>Wuhan set up epidemic prevention headquarters</v>
      </c>
      <c r="D1020" s="4" t="s">
        <v>1572</v>
      </c>
      <c r="E1020" s="4">
        <v>0.0</v>
      </c>
      <c r="F1020" s="4">
        <v>19.0</v>
      </c>
      <c r="G1020" s="4" t="s">
        <v>1573</v>
      </c>
    </row>
    <row r="1021">
      <c r="A1021" s="1">
        <v>1019.0</v>
      </c>
      <c r="B1021" s="4" t="s">
        <v>1541</v>
      </c>
      <c r="C1021" s="5" t="str">
        <f>IFERROR(__xludf.DUMMYFUNCTION("GOOGLETRANSLATE(D:D,""auto"",""en"")"),"Wuhan treatment program announced")</f>
        <v>Wuhan treatment program announced</v>
      </c>
      <c r="D1021" s="4" t="s">
        <v>1574</v>
      </c>
      <c r="E1021" s="4">
        <v>0.0</v>
      </c>
      <c r="F1021" s="4">
        <v>20.0</v>
      </c>
      <c r="G1021" s="4" t="s">
        <v>1575</v>
      </c>
    </row>
    <row r="1022">
      <c r="A1022" s="1">
        <v>1020.0</v>
      </c>
      <c r="B1022" s="4" t="s">
        <v>1541</v>
      </c>
      <c r="C1022" s="5" t="str">
        <f>IFERROR(__xludf.DUMMYFUNCTION("GOOGLETRANSLATE(D:D,""auto"",""en"")"),"Coronavirus precautions")</f>
        <v>Coronavirus precautions</v>
      </c>
      <c r="D1022" s="4" t="s">
        <v>1576</v>
      </c>
      <c r="E1022" s="4">
        <v>0.0</v>
      </c>
      <c r="F1022" s="4">
        <v>21.0</v>
      </c>
      <c r="G1022" s="4" t="s">
        <v>1577</v>
      </c>
    </row>
    <row r="1023">
      <c r="A1023" s="1">
        <v>1021.0</v>
      </c>
      <c r="B1023" s="4" t="s">
        <v>1541</v>
      </c>
      <c r="C1023" s="5" t="str">
        <f>IFERROR(__xludf.DUMMYFUNCTION("GOOGLETRANSLATE(D:D,""auto"",""en"")"),"Wuhan pneumonia have been 6 deaths")</f>
        <v>Wuhan pneumonia have been 6 deaths</v>
      </c>
      <c r="D1023" s="4" t="s">
        <v>1578</v>
      </c>
      <c r="E1023" s="4">
        <v>0.0</v>
      </c>
      <c r="F1023" s="4">
        <v>22.0</v>
      </c>
      <c r="G1023" s="4" t="s">
        <v>1579</v>
      </c>
    </row>
    <row r="1024">
      <c r="A1024" s="1">
        <v>1022.0</v>
      </c>
      <c r="B1024" s="4" t="s">
        <v>1541</v>
      </c>
      <c r="C1024" s="5" t="str">
        <f>IFERROR(__xludf.DUMMYFUNCTION("GOOGLETRANSLATE(D:D,""auto"",""en"")"),"Henan ban live poultry")</f>
        <v>Henan ban live poultry</v>
      </c>
      <c r="D1024" s="4" t="s">
        <v>1580</v>
      </c>
      <c r="E1024" s="4">
        <v>0.0</v>
      </c>
      <c r="F1024" s="4">
        <v>23.0</v>
      </c>
      <c r="G1024" s="4" t="s">
        <v>1581</v>
      </c>
    </row>
    <row r="1025">
      <c r="A1025" s="1">
        <v>1023.0</v>
      </c>
      <c r="B1025" s="4" t="s">
        <v>1541</v>
      </c>
      <c r="C1025" s="5" t="str">
        <f>IFERROR(__xludf.DUMMYFUNCTION("GOOGLETRANSLATE(D:D,""auto"",""en"")"),"Tianjin New diagnosed with pneumonia")</f>
        <v>Tianjin New diagnosed with pneumonia</v>
      </c>
      <c r="D1025" s="4" t="s">
        <v>1582</v>
      </c>
      <c r="E1025" s="4">
        <v>0.0</v>
      </c>
      <c r="F1025" s="4">
        <v>24.0</v>
      </c>
      <c r="G1025" s="4" t="s">
        <v>1583</v>
      </c>
    </row>
    <row r="1026">
      <c r="A1026" s="1">
        <v>1024.0</v>
      </c>
      <c r="B1026" s="4" t="s">
        <v>1541</v>
      </c>
      <c r="C1026" s="5" t="str">
        <f>IFERROR(__xludf.DUMMYFUNCTION("GOOGLETRANSLATE(D:D,""auto"",""en"")"),"Shanghai New New 4 cases of pneumonia")</f>
        <v>Shanghai New New 4 cases of pneumonia</v>
      </c>
      <c r="D1026" s="4" t="s">
        <v>1584</v>
      </c>
      <c r="E1026" s="4">
        <v>0.0</v>
      </c>
      <c r="F1026" s="4">
        <v>25.0</v>
      </c>
      <c r="G1026" s="4" t="s">
        <v>1585</v>
      </c>
    </row>
    <row r="1027">
      <c r="A1027" s="1">
        <v>1025.0</v>
      </c>
      <c r="B1027" s="4" t="s">
        <v>1541</v>
      </c>
      <c r="C1027" s="5" t="str">
        <f>IFERROR(__xludf.DUMMYFUNCTION("GOOGLETRANSLATE(D:D,""auto"",""en"")"),"Henan new diagnosis of pneumonia")</f>
        <v>Henan new diagnosis of pneumonia</v>
      </c>
      <c r="D1027" s="4" t="s">
        <v>1586</v>
      </c>
      <c r="E1027" s="4">
        <v>0.0</v>
      </c>
      <c r="F1027" s="4">
        <v>26.0</v>
      </c>
      <c r="G1027" s="4" t="s">
        <v>1587</v>
      </c>
    </row>
    <row r="1028">
      <c r="A1028" s="1">
        <v>1026.0</v>
      </c>
      <c r="B1028" s="4" t="s">
        <v>1541</v>
      </c>
      <c r="C1028" s="5" t="str">
        <f>IFERROR(__xludf.DUMMYFUNCTION("GOOGLETRANSLATE(D:D,""auto"",""en"")"),"New Huanggang by 12 cases of pneumonia")</f>
        <v>New Huanggang by 12 cases of pneumonia</v>
      </c>
      <c r="D1028" s="4" t="s">
        <v>1588</v>
      </c>
      <c r="E1028" s="4">
        <v>0.0</v>
      </c>
      <c r="F1028" s="4">
        <v>27.0</v>
      </c>
      <c r="G1028" s="4" t="s">
        <v>1589</v>
      </c>
    </row>
    <row r="1029">
      <c r="A1029" s="1">
        <v>1027.0</v>
      </c>
      <c r="B1029" s="4" t="s">
        <v>1541</v>
      </c>
      <c r="C1029" s="5" t="str">
        <f>IFERROR(__xludf.DUMMYFUNCTION("GOOGLETRANSLATE(D:D,""auto"",""en"")"),"Du Shaoping was executed")</f>
        <v>Du Shaoping was executed</v>
      </c>
      <c r="D1029" s="4" t="s">
        <v>1483</v>
      </c>
      <c r="E1029" s="4">
        <v>0.0</v>
      </c>
      <c r="F1029" s="4">
        <v>28.0</v>
      </c>
      <c r="G1029" s="4" t="s">
        <v>1484</v>
      </c>
    </row>
    <row r="1030">
      <c r="A1030" s="1">
        <v>1028.0</v>
      </c>
      <c r="B1030" s="4" t="s">
        <v>1541</v>
      </c>
      <c r="C1030" s="5" t="str">
        <f>IFERROR(__xludf.DUMMYFUNCTION("GOOGLETRANSLATE(D:D,""auto"",""en"")"),"One minute science coronavirus")</f>
        <v>One minute science coronavirus</v>
      </c>
      <c r="D1030" s="4" t="s">
        <v>1487</v>
      </c>
      <c r="E1030" s="4">
        <v>0.0</v>
      </c>
      <c r="F1030" s="4">
        <v>29.0</v>
      </c>
      <c r="G1030" s="4" t="s">
        <v>1488</v>
      </c>
    </row>
    <row r="1031">
      <c r="A1031" s="1">
        <v>1029.0</v>
      </c>
      <c r="B1031" s="4" t="s">
        <v>1541</v>
      </c>
      <c r="C1031" s="5" t="str">
        <f>IFERROR(__xludf.DUMMYFUNCTION("GOOGLETRANSLATE(D:D,""auto"",""en"")"),"170 000 141 years to pay off want points")</f>
        <v>170 000 141 years to pay off want points</v>
      </c>
      <c r="D1031" s="4" t="s">
        <v>1590</v>
      </c>
      <c r="E1031" s="4">
        <v>0.0</v>
      </c>
      <c r="F1031" s="4">
        <v>30.0</v>
      </c>
      <c r="G1031" s="4" t="s">
        <v>1591</v>
      </c>
    </row>
    <row r="1032">
      <c r="A1032" s="1">
        <v>1030.0</v>
      </c>
      <c r="B1032" s="4" t="s">
        <v>1541</v>
      </c>
      <c r="C1032" s="5" t="str">
        <f>IFERROR(__xludf.DUMMYFUNCTION("GOOGLETRANSLATE(D:D,""auto"",""en"")"),"Department of health care-acquired pneumonia rumors")</f>
        <v>Department of health care-acquired pneumonia rumors</v>
      </c>
      <c r="D1032" s="4" t="s">
        <v>1501</v>
      </c>
      <c r="E1032" s="4">
        <v>0.0</v>
      </c>
      <c r="F1032" s="4">
        <v>31.0</v>
      </c>
      <c r="G1032" s="4" t="s">
        <v>1502</v>
      </c>
    </row>
    <row r="1033">
      <c r="A1033" s="1">
        <v>1031.0</v>
      </c>
      <c r="B1033" s="4" t="s">
        <v>1541</v>
      </c>
      <c r="C1033" s="5" t="str">
        <f>IFERROR(__xludf.DUMMYFUNCTION("GOOGLETRANSLATE(D:D,""auto"",""en"")"),"Now Shaanxi car train collision")</f>
        <v>Now Shaanxi car train collision</v>
      </c>
      <c r="D1033" s="4" t="s">
        <v>1592</v>
      </c>
      <c r="E1033" s="4">
        <v>0.0</v>
      </c>
      <c r="F1033" s="4">
        <v>32.0</v>
      </c>
      <c r="G1033" s="4" t="s">
        <v>1593</v>
      </c>
    </row>
    <row r="1034">
      <c r="A1034" s="1">
        <v>1032.0</v>
      </c>
      <c r="B1034" s="4" t="s">
        <v>1541</v>
      </c>
      <c r="C1034" s="5" t="str">
        <f>IFERROR(__xludf.DUMMYFUNCTION("GOOGLETRANSLATE(D:D,""auto"",""en"")"),"Exposure Seafood Market Game menu")</f>
        <v>Exposure Seafood Market Game menu</v>
      </c>
      <c r="D1034" s="4" t="s">
        <v>1594</v>
      </c>
      <c r="E1034" s="4">
        <v>0.0</v>
      </c>
      <c r="F1034" s="4">
        <v>33.0</v>
      </c>
      <c r="G1034" s="4" t="s">
        <v>1595</v>
      </c>
    </row>
    <row r="1035">
      <c r="A1035" s="1">
        <v>1033.0</v>
      </c>
      <c r="B1035" s="4" t="s">
        <v>1541</v>
      </c>
      <c r="C1035" s="5" t="str">
        <f>IFERROR(__xludf.DUMMYFUNCTION("GOOGLETRANSLATE(D:D,""auto"",""en"")"),"New Taiwan diagnosed with pneumonia")</f>
        <v>New Taiwan diagnosed with pneumonia</v>
      </c>
      <c r="D1035" s="4" t="s">
        <v>1596</v>
      </c>
      <c r="E1035" s="4">
        <v>0.0</v>
      </c>
      <c r="F1035" s="4">
        <v>34.0</v>
      </c>
      <c r="G1035" s="4" t="s">
        <v>1597</v>
      </c>
    </row>
    <row r="1036">
      <c r="A1036" s="1">
        <v>1034.0</v>
      </c>
      <c r="B1036" s="4" t="s">
        <v>1541</v>
      </c>
      <c r="C1036" s="5" t="str">
        <f>IFERROR(__xludf.DUMMYFUNCTION("GOOGLETRANSLATE(D:D,""auto"",""en"")"),"Yu confirmed five cases of new pneumonia")</f>
        <v>Yu confirmed five cases of new pneumonia</v>
      </c>
      <c r="D1036" s="4" t="s">
        <v>1598</v>
      </c>
      <c r="E1036" s="4">
        <v>0.0</v>
      </c>
      <c r="F1036" s="4">
        <v>35.0</v>
      </c>
      <c r="G1036" s="4" t="s">
        <v>1599</v>
      </c>
    </row>
    <row r="1037">
      <c r="A1037" s="1">
        <v>1035.0</v>
      </c>
      <c r="B1037" s="4" t="s">
        <v>1541</v>
      </c>
      <c r="C1037" s="5" t="str">
        <f>IFERROR(__xludf.DUMMYFUNCTION("GOOGLETRANSLATE(D:D,""auto"",""en"")"),"Ni Ping Zhao Zhongxiang tearful farewell")</f>
        <v>Ni Ping Zhao Zhongxiang tearful farewell</v>
      </c>
      <c r="D1037" s="4" t="s">
        <v>1473</v>
      </c>
      <c r="E1037" s="4">
        <v>0.0</v>
      </c>
      <c r="F1037" s="4">
        <v>36.0</v>
      </c>
      <c r="G1037" s="4" t="s">
        <v>1474</v>
      </c>
    </row>
    <row r="1038">
      <c r="A1038" s="1">
        <v>1036.0</v>
      </c>
      <c r="B1038" s="4" t="s">
        <v>1541</v>
      </c>
      <c r="C1038" s="5" t="str">
        <f>IFERROR(__xludf.DUMMYFUNCTION("GOOGLETRANSLATE(D:D,""auto"",""en"")"),"Zhongxiang memorial service held")</f>
        <v>Zhongxiang memorial service held</v>
      </c>
      <c r="D1038" s="4" t="s">
        <v>1467</v>
      </c>
      <c r="E1038" s="4">
        <v>0.0</v>
      </c>
      <c r="F1038" s="4">
        <v>37.0</v>
      </c>
      <c r="G1038" s="4" t="s">
        <v>1468</v>
      </c>
    </row>
    <row r="1039">
      <c r="A1039" s="1">
        <v>1037.0</v>
      </c>
      <c r="B1039" s="4" t="s">
        <v>1541</v>
      </c>
      <c r="C1039" s="5" t="str">
        <f>IFERROR(__xludf.DUMMYFUNCTION("GOOGLETRANSLATE(D:D,""auto"",""en"")"),"Beijing confirmed new cases of pneumonia")</f>
        <v>Beijing confirmed new cases of pneumonia</v>
      </c>
      <c r="D1039" s="4" t="s">
        <v>1469</v>
      </c>
      <c r="E1039" s="4">
        <v>0.0</v>
      </c>
      <c r="F1039" s="4">
        <v>38.0</v>
      </c>
      <c r="G1039" s="4" t="s">
        <v>1470</v>
      </c>
    </row>
    <row r="1040">
      <c r="A1040" s="1">
        <v>1038.0</v>
      </c>
      <c r="B1040" s="4" t="s">
        <v>1541</v>
      </c>
      <c r="C1040" s="5" t="str">
        <f>IFERROR(__xludf.DUMMYFUNCTION("GOOGLETRANSLATE(D:D,""auto"",""en"")"),"Lu Yi exposure fat")</f>
        <v>Lu Yi exposure fat</v>
      </c>
      <c r="D1040" s="4" t="s">
        <v>1600</v>
      </c>
      <c r="E1040" s="4">
        <v>0.0</v>
      </c>
      <c r="F1040" s="4">
        <v>39.0</v>
      </c>
      <c r="G1040" s="4" t="s">
        <v>1601</v>
      </c>
    </row>
    <row r="1041">
      <c r="A1041" s="1">
        <v>1039.0</v>
      </c>
      <c r="B1041" s="4" t="s">
        <v>1541</v>
      </c>
      <c r="C1041" s="5" t="str">
        <f>IFERROR(__xludf.DUMMYFUNCTION("GOOGLETRANSLATE(D:D,""auto"",""en"")"),"Henan Puyang hijacking case")</f>
        <v>Henan Puyang hijacking case</v>
      </c>
      <c r="D1041" s="4" t="s">
        <v>1602</v>
      </c>
      <c r="E1041" s="4">
        <v>0.0</v>
      </c>
      <c r="F1041" s="4">
        <v>40.0</v>
      </c>
      <c r="G1041" s="4" t="s">
        <v>1603</v>
      </c>
    </row>
    <row r="1042">
      <c r="A1042" s="1">
        <v>1040.0</v>
      </c>
      <c r="B1042" s="4" t="s">
        <v>1541</v>
      </c>
      <c r="C1042" s="5" t="str">
        <f>IFERROR(__xludf.DUMMYFUNCTION("GOOGLETRANSLATE(D:D,""auto"",""en"")"),"Maotai publicity executives annual salary")</f>
        <v>Maotai publicity executives annual salary</v>
      </c>
      <c r="D1042" s="4" t="s">
        <v>1505</v>
      </c>
      <c r="E1042" s="4">
        <v>0.0</v>
      </c>
      <c r="F1042" s="4">
        <v>41.0</v>
      </c>
      <c r="G1042" s="4" t="s">
        <v>1506</v>
      </c>
    </row>
    <row r="1043">
      <c r="A1043" s="1">
        <v>1041.0</v>
      </c>
      <c r="B1043" s="4" t="s">
        <v>1541</v>
      </c>
      <c r="C1043" s="5" t="str">
        <f>IFERROR(__xludf.DUMMYFUNCTION("GOOGLETRANSLATE(D:D,""auto"",""en"")"),"Granddaughter sale ancestral necklace")</f>
        <v>Granddaughter sale ancestral necklace</v>
      </c>
      <c r="D1043" s="4" t="s">
        <v>1527</v>
      </c>
      <c r="E1043" s="4">
        <v>0.0</v>
      </c>
      <c r="F1043" s="4">
        <v>42.0</v>
      </c>
      <c r="G1043" s="4" t="s">
        <v>1528</v>
      </c>
    </row>
    <row r="1044">
      <c r="A1044" s="1">
        <v>1042.0</v>
      </c>
      <c r="B1044" s="4" t="s">
        <v>1541</v>
      </c>
      <c r="C1044" s="5" t="str">
        <f>IFERROR(__xludf.DUMMYFUNCTION("GOOGLETRANSLATE(D:D,""auto"",""en"")"),"New diagnosis of pneumonia in Guangdong")</f>
        <v>New diagnosis of pneumonia in Guangdong</v>
      </c>
      <c r="D1044" s="4" t="s">
        <v>1463</v>
      </c>
      <c r="E1044" s="4">
        <v>0.0</v>
      </c>
      <c r="F1044" s="4">
        <v>43.0</v>
      </c>
      <c r="G1044" s="4" t="s">
        <v>1464</v>
      </c>
    </row>
    <row r="1045">
      <c r="A1045" s="1">
        <v>1043.0</v>
      </c>
      <c r="B1045" s="4" t="s">
        <v>1541</v>
      </c>
      <c r="C1045" s="5" t="str">
        <f>IFERROR(__xludf.DUMMYFUNCTION("GOOGLETRANSLATE(D:D,""auto"",""en"")"),"Ayumi Hamasaki was traced to the father son")</f>
        <v>Ayumi Hamasaki was traced to the father son</v>
      </c>
      <c r="D1045" s="4" t="s">
        <v>1604</v>
      </c>
      <c r="E1045" s="4">
        <v>0.0</v>
      </c>
      <c r="F1045" s="4">
        <v>44.0</v>
      </c>
      <c r="G1045" s="4" t="s">
        <v>1605</v>
      </c>
    </row>
    <row r="1046">
      <c r="A1046" s="1">
        <v>1044.0</v>
      </c>
      <c r="B1046" s="4" t="s">
        <v>1541</v>
      </c>
      <c r="C1046" s="5" t="str">
        <f>IFERROR(__xludf.DUMMYFUNCTION("GOOGLETRANSLATE(D:D,""auto"",""en"")"),"Zhao Fang Fawen thanks mourners")</f>
        <v>Zhao Fang Fawen thanks mourners</v>
      </c>
      <c r="D1046" s="4" t="s">
        <v>1471</v>
      </c>
      <c r="E1046" s="4">
        <v>0.0</v>
      </c>
      <c r="F1046" s="4">
        <v>45.0</v>
      </c>
      <c r="G1046" s="4" t="s">
        <v>1472</v>
      </c>
    </row>
    <row r="1047">
      <c r="A1047" s="1">
        <v>1045.0</v>
      </c>
      <c r="B1047" s="4" t="s">
        <v>1541</v>
      </c>
      <c r="C1047" s="5" t="str">
        <f>IFERROR(__xludf.DUMMYFUNCTION("GOOGLETRANSLATE(D:D,""auto"",""en"")"),"CCTV Spring Festival Evening Fourth row")</f>
        <v>CCTV Spring Festival Evening Fourth row</v>
      </c>
      <c r="D1047" s="4" t="s">
        <v>1606</v>
      </c>
      <c r="E1047" s="4">
        <v>0.0</v>
      </c>
      <c r="F1047" s="4">
        <v>46.0</v>
      </c>
      <c r="G1047" s="4" t="s">
        <v>1607</v>
      </c>
    </row>
    <row r="1048">
      <c r="A1048" s="1">
        <v>1046.0</v>
      </c>
      <c r="B1048" s="4" t="s">
        <v>1541</v>
      </c>
      <c r="C1048" s="5" t="str">
        <f>IFERROR(__xludf.DUMMYFUNCTION("GOOGLETRANSLATE(D:D,""auto"",""en"")"),"Three lines of defense to prevent pneumonia")</f>
        <v>Three lines of defense to prevent pneumonia</v>
      </c>
      <c r="D1048" s="4" t="s">
        <v>1608</v>
      </c>
      <c r="E1048" s="4">
        <v>0.0</v>
      </c>
      <c r="F1048" s="4">
        <v>47.0</v>
      </c>
      <c r="G1048" s="4" t="s">
        <v>1609</v>
      </c>
    </row>
    <row r="1049">
      <c r="A1049" s="1">
        <v>1047.0</v>
      </c>
      <c r="B1049" s="4" t="s">
        <v>1541</v>
      </c>
      <c r="C1049" s="5" t="str">
        <f>IFERROR(__xludf.DUMMYFUNCTION("GOOGLETRANSLATE(D:D,""auto"",""en"")"),"Wei Jian Commission interpretation of the new pneumonia")</f>
        <v>Wei Jian Commission interpretation of the new pneumonia</v>
      </c>
      <c r="D1049" s="4" t="s">
        <v>1610</v>
      </c>
      <c r="E1049" s="4">
        <v>0.0</v>
      </c>
      <c r="F1049" s="4">
        <v>48.0</v>
      </c>
      <c r="G1049" s="4" t="s">
        <v>1611</v>
      </c>
    </row>
    <row r="1050">
      <c r="A1050" s="1">
        <v>1048.0</v>
      </c>
      <c r="B1050" s="4" t="s">
        <v>1541</v>
      </c>
      <c r="C1050" s="5" t="str">
        <f>IFERROR(__xludf.DUMMYFUNCTION("GOOGLETRANSLATE(D:D,""auto"",""en"")"),"Zhejiang suspect now five cases of pneumonia cases")</f>
        <v>Zhejiang suspect now five cases of pneumonia cases</v>
      </c>
      <c r="D1050" s="4" t="s">
        <v>1529</v>
      </c>
      <c r="E1050" s="4">
        <v>0.0</v>
      </c>
      <c r="F1050" s="4">
        <v>49.0</v>
      </c>
      <c r="G1050" s="4" t="s">
        <v>1530</v>
      </c>
    </row>
    <row r="1051">
      <c r="A1051" s="1">
        <v>1049.0</v>
      </c>
      <c r="B1051" s="4" t="s">
        <v>1541</v>
      </c>
      <c r="C1051" s="5" t="str">
        <f>IFERROR(__xludf.DUMMYFUNCTION("GOOGLETRANSLATE(D:D,""auto"",""en"")"),"CCTV Spring Festival Evening the host team")</f>
        <v>CCTV Spring Festival Evening the host team</v>
      </c>
      <c r="D1051" s="4" t="s">
        <v>1479</v>
      </c>
      <c r="E1051" s="4">
        <v>0.0</v>
      </c>
      <c r="F1051" s="4">
        <v>50.0</v>
      </c>
      <c r="G1051" s="4" t="s">
        <v>1480</v>
      </c>
    </row>
    <row r="1052">
      <c r="A1052" s="1">
        <v>1050.0</v>
      </c>
      <c r="B1052" s="4" t="s">
        <v>1612</v>
      </c>
      <c r="C1052" s="5" t="str">
        <f>IFERROR(__xludf.DUMMYFUNCTION("GOOGLETRANSLATE(D:D,""auto"",""en"")"),"New Huanggang by 12 cases of pneumonia")</f>
        <v>New Huanggang by 12 cases of pneumonia</v>
      </c>
      <c r="D1052" s="4" t="s">
        <v>1588</v>
      </c>
      <c r="E1052" s="4">
        <v>0.0</v>
      </c>
      <c r="F1052" s="4">
        <v>1.0</v>
      </c>
      <c r="G1052" s="4" t="s">
        <v>1589</v>
      </c>
    </row>
    <row r="1053">
      <c r="A1053" s="1">
        <v>1051.0</v>
      </c>
      <c r="B1053" s="4" t="s">
        <v>1612</v>
      </c>
      <c r="C1053" s="5" t="str">
        <f>IFERROR(__xludf.DUMMYFUNCTION("GOOGLETRANSLATE(D:D,""auto"",""en"")"),"Zhou Qi Tseng Fan-day clash")</f>
        <v>Zhou Qi Tseng Fan-day clash</v>
      </c>
      <c r="D1053" s="4" t="s">
        <v>1613</v>
      </c>
      <c r="E1053" s="4">
        <v>0.0</v>
      </c>
      <c r="F1053" s="4">
        <v>2.0</v>
      </c>
      <c r="G1053" s="4" t="s">
        <v>1614</v>
      </c>
    </row>
    <row r="1054">
      <c r="A1054" s="1">
        <v>1052.0</v>
      </c>
      <c r="B1054" s="4" t="s">
        <v>1612</v>
      </c>
      <c r="C1054" s="5" t="str">
        <f>IFERROR(__xludf.DUMMYFUNCTION("GOOGLETRANSLATE(D:D,""auto"",""en"")"),"Prevent the emergence of super-spreaders")</f>
        <v>Prevent the emergence of super-spreaders</v>
      </c>
      <c r="D1054" s="4" t="s">
        <v>1615</v>
      </c>
      <c r="E1054" s="4">
        <v>0.0</v>
      </c>
      <c r="F1054" s="4">
        <v>3.0</v>
      </c>
      <c r="G1054" s="4" t="s">
        <v>1616</v>
      </c>
    </row>
    <row r="1055">
      <c r="A1055" s="1">
        <v>1053.0</v>
      </c>
      <c r="B1055" s="4" t="s">
        <v>1612</v>
      </c>
      <c r="C1055" s="5" t="str">
        <f>IFERROR(__xludf.DUMMYFUNCTION("GOOGLETRANSLATE(D:D,""auto"",""en"")"),"Zhong Nanshan talk about the new pneumonia")</f>
        <v>Zhong Nanshan talk about the new pneumonia</v>
      </c>
      <c r="D1055" s="4" t="s">
        <v>1617</v>
      </c>
      <c r="E1055" s="4">
        <v>0.0</v>
      </c>
      <c r="F1055" s="4">
        <v>4.0</v>
      </c>
      <c r="G1055" s="4" t="s">
        <v>1618</v>
      </c>
    </row>
    <row r="1056">
      <c r="A1056" s="1">
        <v>1054.0</v>
      </c>
      <c r="B1056" s="4" t="s">
        <v>1612</v>
      </c>
      <c r="C1056" s="5" t="str">
        <f>IFERROR(__xludf.DUMMYFUNCTION("GOOGLETRANSLATE(D:D,""auto"",""en"")"),"Three cases of pneumonia in Guangdong by the new")</f>
        <v>Three cases of pneumonia in Guangdong by the new</v>
      </c>
      <c r="D1056" s="4" t="s">
        <v>1619</v>
      </c>
      <c r="E1056" s="4">
        <v>0.0</v>
      </c>
      <c r="F1056" s="4">
        <v>5.0</v>
      </c>
      <c r="G1056" s="4" t="s">
        <v>1620</v>
      </c>
    </row>
    <row r="1057">
      <c r="A1057" s="1">
        <v>1055.0</v>
      </c>
      <c r="B1057" s="4" t="s">
        <v>1612</v>
      </c>
      <c r="C1057" s="5" t="str">
        <f>IFERROR(__xludf.DUMMYFUNCTION("GOOGLETRANSLATE(D:D,""auto"",""en"")"),"Masks will not allow prices")</f>
        <v>Masks will not allow prices</v>
      </c>
      <c r="D1057" s="4" t="s">
        <v>1621</v>
      </c>
      <c r="E1057" s="4">
        <v>0.0</v>
      </c>
      <c r="F1057" s="4">
        <v>6.0</v>
      </c>
      <c r="G1057" s="4" t="s">
        <v>1622</v>
      </c>
    </row>
    <row r="1058">
      <c r="A1058" s="1">
        <v>1056.0</v>
      </c>
      <c r="B1058" s="4" t="s">
        <v>1612</v>
      </c>
      <c r="C1058" s="5" t="str">
        <f>IFERROR(__xludf.DUMMYFUNCTION("GOOGLETRANSLATE(D:D,""auto"",""en"")"),"Epidemic prevention and control fully upgraded")</f>
        <v>Epidemic prevention and control fully upgraded</v>
      </c>
      <c r="D1058" s="4" t="s">
        <v>1623</v>
      </c>
      <c r="E1058" s="4">
        <v>0.0</v>
      </c>
      <c r="F1058" s="4">
        <v>7.0</v>
      </c>
      <c r="G1058" s="4" t="s">
        <v>1624</v>
      </c>
    </row>
    <row r="1059">
      <c r="A1059" s="1">
        <v>1057.0</v>
      </c>
      <c r="B1059" s="4" t="s">
        <v>1612</v>
      </c>
      <c r="C1059" s="5" t="str">
        <f>IFERROR(__xludf.DUMMYFUNCTION("GOOGLETRANSLATE(D:D,""auto"",""en"")"),"Renowned director Guan Hu suspect derailment")</f>
        <v>Renowned director Guan Hu suspect derailment</v>
      </c>
      <c r="D1059" s="4" t="s">
        <v>1625</v>
      </c>
      <c r="E1059" s="4">
        <v>0.0</v>
      </c>
      <c r="F1059" s="4">
        <v>8.0</v>
      </c>
      <c r="G1059" s="4" t="s">
        <v>1626</v>
      </c>
    </row>
    <row r="1060">
      <c r="A1060" s="1">
        <v>1058.0</v>
      </c>
      <c r="B1060" s="4" t="s">
        <v>1612</v>
      </c>
      <c r="C1060" s="5" t="str">
        <f>IFERROR(__xludf.DUMMYFUNCTION("GOOGLETRANSLATE(D:D,""auto"",""en"")"),"Kunming confirm new pneumonia")</f>
        <v>Kunming confirm new pneumonia</v>
      </c>
      <c r="D1060" s="4" t="s">
        <v>1627</v>
      </c>
      <c r="E1060" s="4">
        <v>0.0</v>
      </c>
      <c r="F1060" s="4">
        <v>9.0</v>
      </c>
      <c r="G1060" s="4" t="s">
        <v>1628</v>
      </c>
    </row>
    <row r="1061">
      <c r="A1061" s="1">
        <v>1059.0</v>
      </c>
      <c r="B1061" s="4" t="s">
        <v>1612</v>
      </c>
      <c r="C1061" s="5" t="str">
        <f>IFERROR(__xludf.DUMMYFUNCTION("GOOGLETRANSLATE(D:D,""auto"",""en"")"),"Chen Sicheng issued a document open tear Xu Zheng")</f>
        <v>Chen Sicheng issued a document open tear Xu Zheng</v>
      </c>
      <c r="D1061" s="4" t="s">
        <v>1629</v>
      </c>
      <c r="E1061" s="4">
        <v>0.0</v>
      </c>
      <c r="F1061" s="4">
        <v>10.0</v>
      </c>
      <c r="G1061" s="4" t="s">
        <v>1630</v>
      </c>
    </row>
    <row r="1062">
      <c r="A1062" s="1">
        <v>1060.0</v>
      </c>
      <c r="B1062" s="4" t="s">
        <v>1612</v>
      </c>
      <c r="C1062" s="5" t="str">
        <f>IFERROR(__xludf.DUMMYFUNCTION("GOOGLETRANSLATE(D:D,""auto"",""en"")"),"A group of experts who are isolated")</f>
        <v>A group of experts who are isolated</v>
      </c>
      <c r="D1062" s="4" t="s">
        <v>1631</v>
      </c>
      <c r="E1062" s="4">
        <v>0.0</v>
      </c>
      <c r="F1062" s="4">
        <v>11.0</v>
      </c>
      <c r="G1062" s="4" t="s">
        <v>1632</v>
      </c>
    </row>
    <row r="1063">
      <c r="A1063" s="1">
        <v>1061.0</v>
      </c>
      <c r="B1063" s="4" t="s">
        <v>1612</v>
      </c>
      <c r="C1063" s="5" t="str">
        <f>IFERROR(__xludf.DUMMYFUNCTION("GOOGLETRANSLATE(D:D,""auto"",""en"")"),"Sources confirm new virus")</f>
        <v>Sources confirm new virus</v>
      </c>
      <c r="D1063" s="4" t="s">
        <v>1633</v>
      </c>
      <c r="E1063" s="4">
        <v>0.0</v>
      </c>
      <c r="F1063" s="4">
        <v>12.0</v>
      </c>
      <c r="G1063" s="4" t="s">
        <v>1634</v>
      </c>
    </row>
    <row r="1064">
      <c r="A1064" s="1">
        <v>1062.0</v>
      </c>
      <c r="B1064" s="4" t="s">
        <v>1612</v>
      </c>
      <c r="C1064" s="5" t="str">
        <f>IFERROR(__xludf.DUMMYFUNCTION("GOOGLETRANSLATE(D:D,""auto"",""en"")"),"Wuhan letter to the public")</f>
        <v>Wuhan letter to the public</v>
      </c>
      <c r="D1064" s="4" t="s">
        <v>1635</v>
      </c>
      <c r="E1064" s="4">
        <v>0.0</v>
      </c>
      <c r="F1064" s="4">
        <v>13.0</v>
      </c>
      <c r="G1064" s="4" t="s">
        <v>1636</v>
      </c>
    </row>
    <row r="1065">
      <c r="A1065" s="1">
        <v>1063.0</v>
      </c>
      <c r="B1065" s="4" t="s">
        <v>1612</v>
      </c>
      <c r="C1065" s="5" t="str">
        <f>IFERROR(__xludf.DUMMYFUNCTION("GOOGLETRANSLATE(D:D,""auto"",""en"")"),"New confirmed 319 cases of pneumonia")</f>
        <v>New confirmed 319 cases of pneumonia</v>
      </c>
      <c r="D1065" s="4" t="s">
        <v>1637</v>
      </c>
      <c r="E1065" s="4">
        <v>0.0</v>
      </c>
      <c r="F1065" s="4">
        <v>14.0</v>
      </c>
      <c r="G1065" s="4" t="s">
        <v>1638</v>
      </c>
    </row>
    <row r="1066">
      <c r="A1066" s="1">
        <v>1064.0</v>
      </c>
      <c r="B1066" s="4" t="s">
        <v>1612</v>
      </c>
      <c r="C1066" s="5" t="str">
        <f>IFERROR(__xludf.DUMMYFUNCTION("GOOGLETRANSLATE(D:D,""auto"",""en"")"),"Vietnam announced 5G localization")</f>
        <v>Vietnam announced 5G localization</v>
      </c>
      <c r="D1066" s="4" t="s">
        <v>1639</v>
      </c>
      <c r="E1066" s="4">
        <v>0.0</v>
      </c>
      <c r="F1066" s="4">
        <v>15.0</v>
      </c>
      <c r="G1066" s="4" t="s">
        <v>1640</v>
      </c>
    </row>
    <row r="1067">
      <c r="A1067" s="1">
        <v>1065.0</v>
      </c>
      <c r="B1067" s="4" t="s">
        <v>1612</v>
      </c>
      <c r="C1067" s="5" t="str">
        <f>IFERROR(__xludf.DUMMYFUNCTION("GOOGLETRANSLATE(D:D,""auto"",""en"")"),"Gree employees sun year-end awards")</f>
        <v>Gree employees sun year-end awards</v>
      </c>
      <c r="D1067" s="4" t="s">
        <v>1641</v>
      </c>
      <c r="E1067" s="4">
        <v>0.0</v>
      </c>
      <c r="F1067" s="4">
        <v>16.0</v>
      </c>
      <c r="G1067" s="4" t="s">
        <v>1642</v>
      </c>
    </row>
    <row r="1068">
      <c r="A1068" s="1">
        <v>1066.0</v>
      </c>
      <c r="B1068" s="4" t="s">
        <v>1612</v>
      </c>
      <c r="C1068" s="5" t="str">
        <f>IFERROR(__xludf.DUMMYFUNCTION("GOOGLETRANSLATE(D:D,""auto"",""en"")"),"New 440 cases diagnosed pneumonia")</f>
        <v>New 440 cases diagnosed pneumonia</v>
      </c>
      <c r="D1068" s="4" t="s">
        <v>1643</v>
      </c>
      <c r="E1068" s="4">
        <v>0.0</v>
      </c>
      <c r="F1068" s="4">
        <v>17.0</v>
      </c>
      <c r="G1068" s="4" t="s">
        <v>1644</v>
      </c>
    </row>
    <row r="1069">
      <c r="A1069" s="1">
        <v>1067.0</v>
      </c>
      <c r="B1069" s="4" t="s">
        <v>1612</v>
      </c>
      <c r="C1069" s="5" t="str">
        <f>IFERROR(__xludf.DUMMYFUNCTION("GOOGLETRANSLATE(D:D,""auto"",""en"")"),"ECMO technology successfully rescued patients")</f>
        <v>ECMO technology successfully rescued patients</v>
      </c>
      <c r="D1069" s="4" t="s">
        <v>1645</v>
      </c>
      <c r="E1069" s="4">
        <v>0.0</v>
      </c>
      <c r="F1069" s="4">
        <v>18.0</v>
      </c>
      <c r="G1069" s="4" t="s">
        <v>1646</v>
      </c>
    </row>
    <row r="1070">
      <c r="A1070" s="1">
        <v>1068.0</v>
      </c>
      <c r="B1070" s="4" t="s">
        <v>1612</v>
      </c>
      <c r="C1070" s="5" t="str">
        <f>IFERROR(__xludf.DUMMYFUNCTION("GOOGLETRANSLATE(D:D,""auto"",""en"")"),"2 cases of pneumonia diagnosed Liaoning")</f>
        <v>2 cases of pneumonia diagnosed Liaoning</v>
      </c>
      <c r="D1070" s="4" t="s">
        <v>1647</v>
      </c>
      <c r="E1070" s="4">
        <v>0.0</v>
      </c>
      <c r="F1070" s="4">
        <v>19.0</v>
      </c>
      <c r="G1070" s="4" t="s">
        <v>1648</v>
      </c>
    </row>
    <row r="1071">
      <c r="A1071" s="1">
        <v>1069.0</v>
      </c>
      <c r="B1071" s="4" t="s">
        <v>1612</v>
      </c>
      <c r="C1071" s="5" t="str">
        <f>IFERROR(__xludf.DUMMYFUNCTION("GOOGLETRANSLATE(D:D,""auto"",""en"")"),"Hainan diagnosed four cases of pneumonia")</f>
        <v>Hainan diagnosed four cases of pneumonia</v>
      </c>
      <c r="D1071" s="4" t="s">
        <v>1649</v>
      </c>
      <c r="E1071" s="4">
        <v>0.0</v>
      </c>
      <c r="F1071" s="4">
        <v>20.0</v>
      </c>
      <c r="G1071" s="4" t="s">
        <v>1650</v>
      </c>
    </row>
    <row r="1072">
      <c r="A1072" s="1">
        <v>1070.0</v>
      </c>
      <c r="B1072" s="4" t="s">
        <v>1612</v>
      </c>
      <c r="C1072" s="5" t="str">
        <f>IFERROR(__xludf.DUMMYFUNCTION("GOOGLETRANSLATE(D:D,""auto"",""en"")"),"Anhui two cases of suspected cases")</f>
        <v>Anhui two cases of suspected cases</v>
      </c>
      <c r="D1072" s="4" t="s">
        <v>1651</v>
      </c>
      <c r="E1072" s="4">
        <v>0.0</v>
      </c>
      <c r="F1072" s="4">
        <v>21.0</v>
      </c>
      <c r="G1072" s="4" t="s">
        <v>1652</v>
      </c>
    </row>
    <row r="1073">
      <c r="A1073" s="1">
        <v>1071.0</v>
      </c>
      <c r="B1073" s="4" t="s">
        <v>1612</v>
      </c>
      <c r="C1073" s="5" t="str">
        <f>IFERROR(__xludf.DUMMYFUNCTION("GOOGLETRANSLATE(D:D,""auto"",""en"")"),"Anhui diagnosed the first case of pneumonia")</f>
        <v>Anhui diagnosed the first case of pneumonia</v>
      </c>
      <c r="D1073" s="4" t="s">
        <v>1653</v>
      </c>
      <c r="E1073" s="4">
        <v>0.0</v>
      </c>
      <c r="F1073" s="4">
        <v>22.0</v>
      </c>
      <c r="G1073" s="4" t="s">
        <v>1654</v>
      </c>
    </row>
    <row r="1074">
      <c r="A1074" s="1">
        <v>1072.0</v>
      </c>
      <c r="B1074" s="4" t="s">
        <v>1612</v>
      </c>
      <c r="C1074" s="5" t="str">
        <f>IFERROR(__xludf.DUMMYFUNCTION("GOOGLETRANSLATE(D:D,""auto"",""en"")"),"Hubei intends to request support supplies")</f>
        <v>Hubei intends to request support supplies</v>
      </c>
      <c r="D1074" s="4" t="s">
        <v>1655</v>
      </c>
      <c r="E1074" s="4">
        <v>0.0</v>
      </c>
      <c r="F1074" s="4">
        <v>23.0</v>
      </c>
      <c r="G1074" s="4" t="s">
        <v>1656</v>
      </c>
    </row>
    <row r="1075">
      <c r="A1075" s="1">
        <v>1073.0</v>
      </c>
      <c r="B1075" s="4" t="s">
        <v>1612</v>
      </c>
      <c r="C1075" s="5" t="str">
        <f>IFERROR(__xludf.DUMMYFUNCTION("GOOGLETRANSLATE(D:D,""auto"",""en"")"),"New confirmed 443 cases of pneumonia")</f>
        <v>New confirmed 443 cases of pneumonia</v>
      </c>
      <c r="D1075" s="4" t="s">
        <v>1657</v>
      </c>
      <c r="E1075" s="4">
        <v>0.0</v>
      </c>
      <c r="F1075" s="4">
        <v>24.0</v>
      </c>
      <c r="G1075" s="4" t="s">
        <v>1658</v>
      </c>
    </row>
    <row r="1076">
      <c r="A1076" s="1">
        <v>1074.0</v>
      </c>
      <c r="B1076" s="4" t="s">
        <v>1612</v>
      </c>
      <c r="C1076" s="5" t="str">
        <f>IFERROR(__xludf.DUMMYFUNCTION("GOOGLETRANSLATE(D:D,""auto"",""en"")"),"Novel coronavirus afraid of alcohol")</f>
        <v>Novel coronavirus afraid of alcohol</v>
      </c>
      <c r="D1076" s="4" t="s">
        <v>1659</v>
      </c>
      <c r="E1076" s="4">
        <v>0.0</v>
      </c>
      <c r="F1076" s="4">
        <v>25.0</v>
      </c>
      <c r="G1076" s="4" t="s">
        <v>1660</v>
      </c>
    </row>
    <row r="1077">
      <c r="A1077" s="1">
        <v>1075.0</v>
      </c>
      <c r="B1077" s="4" t="s">
        <v>1612</v>
      </c>
      <c r="C1077" s="5" t="str">
        <f>IFERROR(__xludf.DUMMYFUNCTION("GOOGLETRANSLATE(D:D,""auto"",""en"")"),"Hunan three cases of pneumonia diagnosed by")</f>
        <v>Hunan three cases of pneumonia diagnosed by</v>
      </c>
      <c r="D1077" s="4" t="s">
        <v>1661</v>
      </c>
      <c r="E1077" s="4">
        <v>0.0</v>
      </c>
      <c r="F1077" s="4">
        <v>26.0</v>
      </c>
      <c r="G1077" s="4" t="s">
        <v>1662</v>
      </c>
    </row>
    <row r="1078">
      <c r="A1078" s="1">
        <v>1076.0</v>
      </c>
      <c r="B1078" s="4" t="s">
        <v>1612</v>
      </c>
      <c r="C1078" s="5" t="str">
        <f>IFERROR(__xludf.DUMMYFUNCTION("GOOGLETRANSLATE(D:D,""auto"",""en"")"),"Shanxi's first new type of pneumonia")</f>
        <v>Shanxi's first new type of pneumonia</v>
      </c>
      <c r="D1078" s="4" t="s">
        <v>1663</v>
      </c>
      <c r="E1078" s="4">
        <v>0.0</v>
      </c>
      <c r="F1078" s="4">
        <v>27.0</v>
      </c>
      <c r="G1078" s="4" t="s">
        <v>1664</v>
      </c>
    </row>
    <row r="1079">
      <c r="A1079" s="1">
        <v>1077.0</v>
      </c>
      <c r="B1079" s="4" t="s">
        <v>1612</v>
      </c>
      <c r="C1079" s="5" t="str">
        <f>IFERROR(__xludf.DUMMYFUNCTION("GOOGLETRANSLATE(D:D,""auto"",""en"")"),"New River add three cases of pneumonia")</f>
        <v>New River add three cases of pneumonia</v>
      </c>
      <c r="D1079" s="4" t="s">
        <v>1665</v>
      </c>
      <c r="E1079" s="4">
        <v>0.0</v>
      </c>
      <c r="F1079" s="4">
        <v>28.0</v>
      </c>
      <c r="G1079" s="4" t="s">
        <v>1666</v>
      </c>
    </row>
    <row r="1080">
      <c r="A1080" s="1">
        <v>1078.0</v>
      </c>
      <c r="B1080" s="4" t="s">
        <v>1612</v>
      </c>
      <c r="C1080" s="5" t="str">
        <f>IFERROR(__xludf.DUMMYFUNCTION("GOOGLETRANSLATE(D:D,""auto"",""en"")"),"Trump talk about the new pneumonia")</f>
        <v>Trump talk about the new pneumonia</v>
      </c>
      <c r="D1080" s="4" t="s">
        <v>1667</v>
      </c>
      <c r="E1080" s="4">
        <v>0.0</v>
      </c>
      <c r="F1080" s="4">
        <v>29.0</v>
      </c>
      <c r="G1080" s="4" t="s">
        <v>1668</v>
      </c>
    </row>
    <row r="1081">
      <c r="A1081" s="1">
        <v>1079.0</v>
      </c>
      <c r="B1081" s="4" t="s">
        <v>1612</v>
      </c>
      <c r="C1081" s="5" t="str">
        <f>IFERROR(__xludf.DUMMYFUNCTION("GOOGLETRANSLATE(D:D,""auto"",""en"")"),"Henan new diagnosis of pneumonia")</f>
        <v>Henan new diagnosis of pneumonia</v>
      </c>
      <c r="D1081" s="4" t="s">
        <v>1586</v>
      </c>
      <c r="E1081" s="4">
        <v>0.0</v>
      </c>
      <c r="F1081" s="4">
        <v>30.0</v>
      </c>
      <c r="G1081" s="4" t="s">
        <v>1587</v>
      </c>
    </row>
    <row r="1082">
      <c r="A1082" s="1">
        <v>1080.0</v>
      </c>
      <c r="B1082" s="4" t="s">
        <v>1612</v>
      </c>
      <c r="C1082" s="5" t="str">
        <f>IFERROR(__xludf.DUMMYFUNCTION("GOOGLETRANSLATE(D:D,""auto"",""en"")"),"Tianjin New diagnosed with pneumonia")</f>
        <v>Tianjin New diagnosed with pneumonia</v>
      </c>
      <c r="D1082" s="4" t="s">
        <v>1582</v>
      </c>
      <c r="E1082" s="4">
        <v>0.0</v>
      </c>
      <c r="F1082" s="4">
        <v>31.0</v>
      </c>
      <c r="G1082" s="4" t="s">
        <v>1583</v>
      </c>
    </row>
    <row r="1083">
      <c r="A1083" s="1">
        <v>1081.0</v>
      </c>
      <c r="B1083" s="4" t="s">
        <v>1612</v>
      </c>
      <c r="C1083" s="5" t="str">
        <f>IFERROR(__xludf.DUMMYFUNCTION("GOOGLETRANSLATE(D:D,""auto"",""en"")"),"Yu confirmed five cases of new pneumonia")</f>
        <v>Yu confirmed five cases of new pneumonia</v>
      </c>
      <c r="D1083" s="4" t="s">
        <v>1598</v>
      </c>
      <c r="E1083" s="4">
        <v>0.0</v>
      </c>
      <c r="F1083" s="4">
        <v>32.0</v>
      </c>
      <c r="G1083" s="4" t="s">
        <v>1599</v>
      </c>
    </row>
    <row r="1084">
      <c r="A1084" s="1">
        <v>1082.0</v>
      </c>
      <c r="B1084" s="4" t="s">
        <v>1612</v>
      </c>
      <c r="C1084" s="5" t="str">
        <f>IFERROR(__xludf.DUMMYFUNCTION("GOOGLETRANSLATE(D:D,""auto"",""en"")"),"Shanghai New New 4 cases of pneumonia")</f>
        <v>Shanghai New New 4 cases of pneumonia</v>
      </c>
      <c r="D1084" s="4" t="s">
        <v>1584</v>
      </c>
      <c r="E1084" s="4">
        <v>0.0</v>
      </c>
      <c r="F1084" s="4">
        <v>33.0</v>
      </c>
      <c r="G1084" s="4" t="s">
        <v>1585</v>
      </c>
    </row>
    <row r="1085">
      <c r="A1085" s="1">
        <v>1083.0</v>
      </c>
      <c r="B1085" s="4" t="s">
        <v>1612</v>
      </c>
      <c r="C1085" s="5" t="str">
        <f>IFERROR(__xludf.DUMMYFUNCTION("GOOGLETRANSLATE(D:D,""auto"",""en"")"),"Wuhan pneumonia have been 6 deaths")</f>
        <v>Wuhan pneumonia have been 6 deaths</v>
      </c>
      <c r="D1085" s="4" t="s">
        <v>1578</v>
      </c>
      <c r="E1085" s="4">
        <v>0.0</v>
      </c>
      <c r="F1085" s="4">
        <v>34.0</v>
      </c>
      <c r="G1085" s="4" t="s">
        <v>1579</v>
      </c>
    </row>
    <row r="1086">
      <c r="A1086" s="1">
        <v>1084.0</v>
      </c>
      <c r="B1086" s="4" t="s">
        <v>1612</v>
      </c>
      <c r="C1086" s="5" t="str">
        <f>IFERROR(__xludf.DUMMYFUNCTION("GOOGLETRANSLATE(D:D,""auto"",""en"")"),"The new virus variants may exist")</f>
        <v>The new virus variants may exist</v>
      </c>
      <c r="D1086" s="4" t="s">
        <v>1669</v>
      </c>
      <c r="E1086" s="4">
        <v>0.0</v>
      </c>
      <c r="F1086" s="4">
        <v>35.0</v>
      </c>
      <c r="G1086" s="4" t="s">
        <v>1670</v>
      </c>
    </row>
    <row r="1087">
      <c r="A1087" s="1">
        <v>1085.0</v>
      </c>
      <c r="B1087" s="4" t="s">
        <v>1612</v>
      </c>
      <c r="C1087" s="5" t="str">
        <f>IFERROR(__xludf.DUMMYFUNCTION("GOOGLETRANSLATE(D:D,""auto"",""en"")"),"Aba Prefecture in Sichuan earthquake")</f>
        <v>Aba Prefecture in Sichuan earthquake</v>
      </c>
      <c r="D1087" s="4" t="s">
        <v>1671</v>
      </c>
      <c r="E1087" s="4">
        <v>0.0</v>
      </c>
      <c r="F1087" s="4">
        <v>36.0</v>
      </c>
      <c r="G1087" s="4" t="s">
        <v>1672</v>
      </c>
    </row>
    <row r="1088">
      <c r="A1088" s="1">
        <v>1086.0</v>
      </c>
      <c r="B1088" s="4" t="s">
        <v>1612</v>
      </c>
      <c r="C1088" s="5" t="str">
        <f>IFERROR(__xludf.DUMMYFUNCTION("GOOGLETRANSLATE(D:D,""auto"",""en"")"),"Fujian confirmed the first case of pneumonia")</f>
        <v>Fujian confirmed the first case of pneumonia</v>
      </c>
      <c r="D1088" s="4" t="s">
        <v>1673</v>
      </c>
      <c r="E1088" s="4">
        <v>0.0</v>
      </c>
      <c r="F1088" s="4">
        <v>37.0</v>
      </c>
      <c r="G1088" s="4" t="s">
        <v>1674</v>
      </c>
    </row>
    <row r="1089">
      <c r="A1089" s="1">
        <v>1087.0</v>
      </c>
      <c r="B1089" s="4" t="s">
        <v>1612</v>
      </c>
      <c r="C1089" s="5" t="str">
        <f>IFERROR(__xludf.DUMMYFUNCTION("GOOGLETRANSLATE(D:D,""auto"",""en"")"),"US outbreak of influenza B")</f>
        <v>US outbreak of influenza B</v>
      </c>
      <c r="D1089" s="4" t="s">
        <v>1675</v>
      </c>
      <c r="E1089" s="4">
        <v>0.0</v>
      </c>
      <c r="F1089" s="4">
        <v>38.0</v>
      </c>
      <c r="G1089" s="4" t="s">
        <v>1676</v>
      </c>
    </row>
    <row r="1090">
      <c r="A1090" s="1">
        <v>1088.0</v>
      </c>
      <c r="B1090" s="4" t="s">
        <v>1612</v>
      </c>
      <c r="C1090" s="5" t="str">
        <f>IFERROR(__xludf.DUMMYFUNCTION("GOOGLETRANSLATE(D:D,""auto"",""en"")"),"Coronavirus precautions")</f>
        <v>Coronavirus precautions</v>
      </c>
      <c r="D1090" s="4" t="s">
        <v>1576</v>
      </c>
      <c r="E1090" s="4">
        <v>0.0</v>
      </c>
      <c r="F1090" s="4">
        <v>39.0</v>
      </c>
      <c r="G1090" s="4" t="s">
        <v>1577</v>
      </c>
    </row>
    <row r="1091">
      <c r="A1091" s="1">
        <v>1089.0</v>
      </c>
      <c r="B1091" s="4" t="s">
        <v>1612</v>
      </c>
      <c r="C1091" s="5" t="str">
        <f>IFERROR(__xludf.DUMMYFUNCTION("GOOGLETRANSLATE(D:D,""auto"",""en"")"),"Wuhan treatment program announced")</f>
        <v>Wuhan treatment program announced</v>
      </c>
      <c r="D1091" s="4" t="s">
        <v>1574</v>
      </c>
      <c r="E1091" s="4">
        <v>0.0</v>
      </c>
      <c r="F1091" s="4">
        <v>40.0</v>
      </c>
      <c r="G1091" s="4" t="s">
        <v>1575</v>
      </c>
    </row>
    <row r="1092">
      <c r="A1092" s="1">
        <v>1090.0</v>
      </c>
      <c r="B1092" s="4" t="s">
        <v>1612</v>
      </c>
      <c r="C1092" s="5" t="str">
        <f>IFERROR(__xludf.DUMMYFUNCTION("GOOGLETRANSLATE(D:D,""auto"",""en"")"),"Zhejiang New pneumonia diagnosis")</f>
        <v>Zhejiang New pneumonia diagnosis</v>
      </c>
      <c r="D1092" s="4" t="s">
        <v>1677</v>
      </c>
      <c r="E1092" s="4">
        <v>0.0</v>
      </c>
      <c r="F1092" s="4">
        <v>41.0</v>
      </c>
      <c r="G1092" s="4" t="s">
        <v>1678</v>
      </c>
    </row>
    <row r="1093">
      <c r="A1093" s="1">
        <v>1091.0</v>
      </c>
      <c r="B1093" s="4" t="s">
        <v>1612</v>
      </c>
      <c r="C1093" s="5" t="str">
        <f>IFERROR(__xludf.DUMMYFUNCTION("GOOGLETRANSLATE(D:D,""auto"",""en"")"),"The new official to talk about the cost of pneumonia")</f>
        <v>The new official to talk about the cost of pneumonia</v>
      </c>
      <c r="D1093" s="4" t="s">
        <v>1679</v>
      </c>
      <c r="E1093" s="4">
        <v>0.0</v>
      </c>
      <c r="F1093" s="4">
        <v>42.0</v>
      </c>
      <c r="G1093" s="4" t="s">
        <v>1680</v>
      </c>
    </row>
    <row r="1094">
      <c r="A1094" s="1">
        <v>1092.0</v>
      </c>
      <c r="B1094" s="4" t="s">
        <v>1612</v>
      </c>
      <c r="C1094" s="5" t="str">
        <f>IFERROR(__xludf.DUMMYFUNCTION("GOOGLETRANSLATE(D:D,""auto"",""en"")"),"Jiangxi new diagnosis of pneumonia")</f>
        <v>Jiangxi new diagnosis of pneumonia</v>
      </c>
      <c r="D1094" s="4" t="s">
        <v>1681</v>
      </c>
      <c r="E1094" s="4">
        <v>0.0</v>
      </c>
      <c r="F1094" s="4">
        <v>43.0</v>
      </c>
      <c r="G1094" s="4" t="s">
        <v>1682</v>
      </c>
    </row>
    <row r="1095">
      <c r="A1095" s="1">
        <v>1093.0</v>
      </c>
      <c r="B1095" s="4" t="s">
        <v>1612</v>
      </c>
      <c r="C1095" s="5" t="str">
        <f>IFERROR(__xludf.DUMMYFUNCTION("GOOGLETRANSLATE(D:D,""auto"",""en"")"),"Wuhan female nurses users moved")</f>
        <v>Wuhan female nurses users moved</v>
      </c>
      <c r="D1095" s="4" t="s">
        <v>1683</v>
      </c>
      <c r="E1095" s="4">
        <v>0.0</v>
      </c>
      <c r="F1095" s="4">
        <v>44.0</v>
      </c>
      <c r="G1095" s="4" t="s">
        <v>1684</v>
      </c>
    </row>
    <row r="1096">
      <c r="A1096" s="1">
        <v>1094.0</v>
      </c>
      <c r="B1096" s="4" t="s">
        <v>1612</v>
      </c>
      <c r="C1096" s="5" t="str">
        <f>IFERROR(__xludf.DUMMYFUNCTION("GOOGLETRANSLATE(D:D,""auto"",""en"")"),"Children do not easily stained virus")</f>
        <v>Children do not easily stained virus</v>
      </c>
      <c r="D1096" s="4" t="s">
        <v>1685</v>
      </c>
      <c r="E1096" s="4">
        <v>0.0</v>
      </c>
      <c r="F1096" s="4">
        <v>45.0</v>
      </c>
      <c r="G1096" s="4" t="s">
        <v>1686</v>
      </c>
    </row>
    <row r="1097">
      <c r="A1097" s="1">
        <v>1095.0</v>
      </c>
      <c r="B1097" s="4" t="s">
        <v>1612</v>
      </c>
      <c r="C1097" s="5" t="str">
        <f>IFERROR(__xludf.DUMMYFUNCTION("GOOGLETRANSLATE(D:D,""auto"",""en"")"),"New confirmed 324 cases of pneumonia")</f>
        <v>New confirmed 324 cases of pneumonia</v>
      </c>
      <c r="D1097" s="4" t="s">
        <v>1687</v>
      </c>
      <c r="E1097" s="4">
        <v>0.0</v>
      </c>
      <c r="F1097" s="4">
        <v>46.0</v>
      </c>
      <c r="G1097" s="4" t="s">
        <v>1688</v>
      </c>
    </row>
    <row r="1098">
      <c r="A1098" s="1">
        <v>1096.0</v>
      </c>
      <c r="B1098" s="4" t="s">
        <v>1612</v>
      </c>
      <c r="C1098" s="5" t="str">
        <f>IFERROR(__xludf.DUMMYFUNCTION("GOOGLETRANSLATE(D:D,""auto"",""en"")"),"Exposure Seafood Market Game menu")</f>
        <v>Exposure Seafood Market Game menu</v>
      </c>
      <c r="D1098" s="4" t="s">
        <v>1594</v>
      </c>
      <c r="E1098" s="4">
        <v>0.0</v>
      </c>
      <c r="F1098" s="4">
        <v>47.0</v>
      </c>
      <c r="G1098" s="4" t="s">
        <v>1595</v>
      </c>
    </row>
    <row r="1099">
      <c r="A1099" s="1">
        <v>1097.0</v>
      </c>
      <c r="B1099" s="4" t="s">
        <v>1612</v>
      </c>
      <c r="C1099" s="5" t="str">
        <f>IFERROR(__xludf.DUMMYFUNCTION("GOOGLETRANSLATE(D:D,""auto"",""en"")"),"Wei Chiu birth")</f>
        <v>Wei Chiu birth</v>
      </c>
      <c r="D1099" s="4" t="s">
        <v>1689</v>
      </c>
      <c r="E1099" s="4">
        <v>0.0</v>
      </c>
      <c r="F1099" s="4">
        <v>48.0</v>
      </c>
      <c r="G1099" s="4" t="s">
        <v>1690</v>
      </c>
    </row>
    <row r="1100">
      <c r="A1100" s="1">
        <v>1098.0</v>
      </c>
      <c r="B1100" s="4" t="s">
        <v>1612</v>
      </c>
      <c r="C1100" s="5" t="str">
        <f>IFERROR(__xludf.DUMMYFUNCTION("GOOGLETRANSLATE(D:D,""auto"",""en"")"),"The official response to Deputy Director of isolation")</f>
        <v>The official response to Deputy Director of isolation</v>
      </c>
      <c r="D1100" s="4" t="s">
        <v>1691</v>
      </c>
      <c r="E1100" s="4">
        <v>0.0</v>
      </c>
      <c r="F1100" s="4">
        <v>49.0</v>
      </c>
      <c r="G1100" s="4" t="s">
        <v>1692</v>
      </c>
    </row>
    <row r="1101">
      <c r="A1101" s="1">
        <v>1099.0</v>
      </c>
      <c r="B1101" s="4" t="s">
        <v>1612</v>
      </c>
      <c r="C1101" s="5" t="str">
        <f>IFERROR(__xludf.DUMMYFUNCTION("GOOGLETRANSLATE(D:D,""auto"",""en"")"),"The new pneumonia treatment guidelines")</f>
        <v>The new pneumonia treatment guidelines</v>
      </c>
      <c r="D1101" s="4" t="s">
        <v>1693</v>
      </c>
      <c r="E1101" s="4">
        <v>0.0</v>
      </c>
      <c r="F1101" s="4">
        <v>50.0</v>
      </c>
      <c r="G1101" s="4" t="s">
        <v>1694</v>
      </c>
    </row>
    <row r="1102">
      <c r="A1102" s="1">
        <v>1100.0</v>
      </c>
      <c r="B1102" s="4" t="s">
        <v>1695</v>
      </c>
      <c r="C1102" s="5" t="str">
        <f>IFERROR(__xludf.DUMMYFUNCTION("GOOGLETRANSLATE(D:D,""auto"",""en"")"),"Trump talk about the new pneumonia")</f>
        <v>Trump talk about the new pneumonia</v>
      </c>
      <c r="D1102" s="4" t="s">
        <v>1667</v>
      </c>
      <c r="E1102" s="4">
        <v>0.0</v>
      </c>
      <c r="F1102" s="4">
        <v>1.0</v>
      </c>
      <c r="G1102" s="4" t="s">
        <v>1668</v>
      </c>
    </row>
    <row r="1103">
      <c r="A1103" s="1">
        <v>1101.0</v>
      </c>
      <c r="B1103" s="4" t="s">
        <v>1695</v>
      </c>
      <c r="C1103" s="5" t="str">
        <f>IFERROR(__xludf.DUMMYFUNCTION("GOOGLETRANSLATE(D:D,""auto"",""en"")"),"US outbreak of influenza B")</f>
        <v>US outbreak of influenza B</v>
      </c>
      <c r="D1103" s="4" t="s">
        <v>1675</v>
      </c>
      <c r="E1103" s="4">
        <v>0.0</v>
      </c>
      <c r="F1103" s="4">
        <v>2.0</v>
      </c>
      <c r="G1103" s="4" t="s">
        <v>1676</v>
      </c>
    </row>
    <row r="1104">
      <c r="A1104" s="1">
        <v>1102.0</v>
      </c>
      <c r="B1104" s="4" t="s">
        <v>1695</v>
      </c>
      <c r="C1104" s="5" t="str">
        <f>IFERROR(__xludf.DUMMYFUNCTION("GOOGLETRANSLATE(D:D,""auto"",""en"")"),"Rhizomys farmers respond")</f>
        <v>Rhizomys farmers respond</v>
      </c>
      <c r="D1104" s="4" t="s">
        <v>1696</v>
      </c>
      <c r="E1104" s="4">
        <v>0.0</v>
      </c>
      <c r="F1104" s="4">
        <v>3.0</v>
      </c>
      <c r="G1104" s="4" t="s">
        <v>1697</v>
      </c>
    </row>
    <row r="1105">
      <c r="A1105" s="1">
        <v>1103.0</v>
      </c>
      <c r="B1105" s="4" t="s">
        <v>1695</v>
      </c>
      <c r="C1105" s="5" t="str">
        <f>IFERROR(__xludf.DUMMYFUNCTION("GOOGLETRANSLATE(D:D,""auto"",""en"")"),"Hebei new diagnosis of pneumonia")</f>
        <v>Hebei new diagnosis of pneumonia</v>
      </c>
      <c r="D1105" s="4" t="s">
        <v>1698</v>
      </c>
      <c r="E1105" s="4">
        <v>0.0</v>
      </c>
      <c r="F1105" s="4">
        <v>4.0</v>
      </c>
      <c r="G1105" s="4" t="s">
        <v>1699</v>
      </c>
    </row>
    <row r="1106">
      <c r="A1106" s="1">
        <v>1104.0</v>
      </c>
      <c r="B1106" s="4" t="s">
        <v>1695</v>
      </c>
      <c r="C1106" s="5" t="str">
        <f>IFERROR(__xludf.DUMMYFUNCTION("GOOGLETRANSLATE(D:D,""auto"",""en"")"),"Hubei informed of new pneumonia")</f>
        <v>Hubei informed of new pneumonia</v>
      </c>
      <c r="D1106" s="4" t="s">
        <v>1700</v>
      </c>
      <c r="E1106" s="4">
        <v>0.0</v>
      </c>
      <c r="F1106" s="4">
        <v>5.0</v>
      </c>
      <c r="G1106" s="4" t="s">
        <v>1701</v>
      </c>
    </row>
    <row r="1107">
      <c r="A1107" s="1">
        <v>1105.0</v>
      </c>
      <c r="B1107" s="4" t="s">
        <v>1695</v>
      </c>
      <c r="C1107" s="5" t="str">
        <f>IFERROR(__xludf.DUMMYFUNCTION("GOOGLETRANSLATE(D:D,""auto"",""en"")"),"Taiyuan crew are not allowed to wear masks")</f>
        <v>Taiyuan crew are not allowed to wear masks</v>
      </c>
      <c r="D1107" s="4" t="s">
        <v>1702</v>
      </c>
      <c r="E1107" s="4">
        <v>0.0</v>
      </c>
      <c r="F1107" s="4">
        <v>6.0</v>
      </c>
      <c r="G1107" s="4" t="s">
        <v>1703</v>
      </c>
    </row>
    <row r="1108">
      <c r="A1108" s="1">
        <v>1106.0</v>
      </c>
      <c r="B1108" s="4" t="s">
        <v>1695</v>
      </c>
      <c r="C1108" s="5" t="str">
        <f>IFERROR(__xludf.DUMMYFUNCTION("GOOGLETRANSLATE(D:D,""auto"",""en"")"),"The new map pneumonia epidemic")</f>
        <v>The new map pneumonia epidemic</v>
      </c>
      <c r="D1108" s="4" t="s">
        <v>1704</v>
      </c>
      <c r="E1108" s="4">
        <v>0.0</v>
      </c>
      <c r="F1108" s="4">
        <v>7.0</v>
      </c>
      <c r="G1108" s="4" t="s">
        <v>1705</v>
      </c>
    </row>
    <row r="1109">
      <c r="A1109" s="1">
        <v>1107.0</v>
      </c>
      <c r="B1109" s="4" t="s">
        <v>1695</v>
      </c>
      <c r="C1109" s="5" t="str">
        <f>IFERROR(__xludf.DUMMYFUNCTION("GOOGLETRANSLATE(D:D,""auto"",""en"")"),"Wuhan Public Transport outage")</f>
        <v>Wuhan Public Transport outage</v>
      </c>
      <c r="D1109" s="4" t="s">
        <v>1706</v>
      </c>
      <c r="E1109" s="4">
        <v>0.0</v>
      </c>
      <c r="F1109" s="4">
        <v>8.0</v>
      </c>
      <c r="G1109" s="4" t="s">
        <v>1707</v>
      </c>
    </row>
    <row r="1110">
      <c r="A1110" s="1">
        <v>1108.0</v>
      </c>
      <c r="B1110" s="4" t="s">
        <v>1695</v>
      </c>
      <c r="C1110" s="5" t="str">
        <f>IFERROR(__xludf.DUMMYFUNCTION("GOOGLETRANSLATE(D:D,""auto"",""en"")"),"Two sisters diagnosed with pneumonia in Guangdong")</f>
        <v>Two sisters diagnosed with pneumonia in Guangdong</v>
      </c>
      <c r="D1110" s="4" t="s">
        <v>1708</v>
      </c>
      <c r="E1110" s="4">
        <v>0.0</v>
      </c>
      <c r="F1110" s="4">
        <v>9.0</v>
      </c>
      <c r="G1110" s="4" t="s">
        <v>1709</v>
      </c>
    </row>
    <row r="1111">
      <c r="A1111" s="1">
        <v>1109.0</v>
      </c>
      <c r="B1111" s="4" t="s">
        <v>1695</v>
      </c>
      <c r="C1111" s="5" t="str">
        <f>IFERROR(__xludf.DUMMYFUNCTION("GOOGLETRANSLATE(D:D,""auto"",""en"")"),"Not wearing goggles or infection")</f>
        <v>Not wearing goggles or infection</v>
      </c>
      <c r="D1111" s="4" t="s">
        <v>1710</v>
      </c>
      <c r="E1111" s="4">
        <v>0.0</v>
      </c>
      <c r="F1111" s="4">
        <v>10.0</v>
      </c>
      <c r="G1111" s="4" t="s">
        <v>1711</v>
      </c>
    </row>
    <row r="1112">
      <c r="A1112" s="1">
        <v>1110.0</v>
      </c>
      <c r="B1112" s="4" t="s">
        <v>1695</v>
      </c>
      <c r="C1112" s="5" t="str">
        <f>IFERROR(__xludf.DUMMYFUNCTION("GOOGLETRANSLATE(D:D,""auto"",""en"")"),"Hainan diagnosed four cases of pneumonia")</f>
        <v>Hainan diagnosed four cases of pneumonia</v>
      </c>
      <c r="D1112" s="4" t="s">
        <v>1649</v>
      </c>
      <c r="E1112" s="4">
        <v>0.0</v>
      </c>
      <c r="F1112" s="4">
        <v>11.0</v>
      </c>
      <c r="G1112" s="4" t="s">
        <v>1650</v>
      </c>
    </row>
    <row r="1113">
      <c r="A1113" s="1">
        <v>1111.0</v>
      </c>
      <c r="B1113" s="4" t="s">
        <v>1695</v>
      </c>
      <c r="C1113" s="5" t="str">
        <f>IFERROR(__xludf.DUMMYFUNCTION("GOOGLETRANSLATE(D:D,""auto"",""en"")"),"Spring Festival at the venue was changed to recording and broadcasting")</f>
        <v>Spring Festival at the venue was changed to recording and broadcasting</v>
      </c>
      <c r="D1113" s="4" t="s">
        <v>1712</v>
      </c>
      <c r="E1113" s="4">
        <v>0.0</v>
      </c>
      <c r="F1113" s="4">
        <v>12.0</v>
      </c>
      <c r="G1113" s="4" t="s">
        <v>1713</v>
      </c>
    </row>
    <row r="1114">
      <c r="A1114" s="1">
        <v>1112.0</v>
      </c>
      <c r="B1114" s="4" t="s">
        <v>1695</v>
      </c>
      <c r="C1114" s="5" t="str">
        <f>IFERROR(__xludf.DUMMYFUNCTION("GOOGLETRANSLATE(D:D,""auto"",""en"")"),"New viruses or derived from snake")</f>
        <v>New viruses or derived from snake</v>
      </c>
      <c r="D1114" s="4" t="s">
        <v>1714</v>
      </c>
      <c r="E1114" s="4">
        <v>0.0</v>
      </c>
      <c r="F1114" s="4">
        <v>13.0</v>
      </c>
      <c r="G1114" s="4" t="s">
        <v>1715</v>
      </c>
    </row>
    <row r="1115">
      <c r="A1115" s="1">
        <v>1113.0</v>
      </c>
      <c r="B1115" s="4" t="s">
        <v>1695</v>
      </c>
      <c r="C1115" s="5" t="str">
        <f>IFERROR(__xludf.DUMMYFUNCTION("GOOGLETRANSLATE(D:D,""auto"",""en"")"),"Wuhan wearing masks measures Notice")</f>
        <v>Wuhan wearing masks measures Notice</v>
      </c>
      <c r="D1115" s="4" t="s">
        <v>1716</v>
      </c>
      <c r="E1115" s="4">
        <v>0.0</v>
      </c>
      <c r="F1115" s="4">
        <v>14.0</v>
      </c>
      <c r="G1115" s="4" t="s">
        <v>1717</v>
      </c>
    </row>
    <row r="1116">
      <c r="A1116" s="1">
        <v>1114.0</v>
      </c>
      <c r="B1116" s="4" t="s">
        <v>1695</v>
      </c>
      <c r="C1116" s="5" t="str">
        <f>IFERROR(__xludf.DUMMYFUNCTION("GOOGLETRANSLATE(D:D,""auto"",""en"")"),"Bat soup publisher apology")</f>
        <v>Bat soup publisher apology</v>
      </c>
      <c r="D1116" s="4" t="s">
        <v>1718</v>
      </c>
      <c r="E1116" s="4">
        <v>0.0</v>
      </c>
      <c r="F1116" s="4">
        <v>15.0</v>
      </c>
      <c r="G1116" s="4" t="s">
        <v>1719</v>
      </c>
    </row>
    <row r="1117">
      <c r="A1117" s="1">
        <v>1115.0</v>
      </c>
      <c r="B1117" s="4" t="s">
        <v>1695</v>
      </c>
      <c r="C1117" s="5" t="str">
        <f>IFERROR(__xludf.DUMMYFUNCTION("GOOGLETRANSLATE(D:D,""auto"",""en"")"),"Foshan market is still civet cats for sale")</f>
        <v>Foshan market is still civet cats for sale</v>
      </c>
      <c r="D1117" s="4" t="s">
        <v>1720</v>
      </c>
      <c r="E1117" s="4">
        <v>0.0</v>
      </c>
      <c r="F1117" s="4">
        <v>16.0</v>
      </c>
      <c r="G1117" s="4" t="s">
        <v>1721</v>
      </c>
    </row>
    <row r="1118">
      <c r="A1118" s="1">
        <v>1116.0</v>
      </c>
      <c r="B1118" s="4" t="s">
        <v>1695</v>
      </c>
      <c r="C1118" s="5" t="str">
        <f>IFERROR(__xludf.DUMMYFUNCTION("GOOGLETRANSLATE(D:D,""auto"",""en"")"),"Now Gansu suspected cases of pneumonia")</f>
        <v>Now Gansu suspected cases of pneumonia</v>
      </c>
      <c r="D1118" s="4" t="s">
        <v>1722</v>
      </c>
      <c r="E1118" s="4">
        <v>0.0</v>
      </c>
      <c r="F1118" s="4">
        <v>17.0</v>
      </c>
      <c r="G1118" s="4" t="s">
        <v>1723</v>
      </c>
    </row>
    <row r="1119">
      <c r="A1119" s="1">
        <v>1117.0</v>
      </c>
      <c r="B1119" s="4" t="s">
        <v>1695</v>
      </c>
      <c r="C1119" s="5" t="str">
        <f>IFERROR(__xludf.DUMMYFUNCTION("GOOGLETRANSLATE(D:D,""auto"",""en"")"),"Taobao comprehensive ban game")</f>
        <v>Taobao comprehensive ban game</v>
      </c>
      <c r="D1119" s="4" t="s">
        <v>1724</v>
      </c>
      <c r="E1119" s="4">
        <v>0.0</v>
      </c>
      <c r="F1119" s="4">
        <v>18.0</v>
      </c>
      <c r="G1119" s="4" t="s">
        <v>1725</v>
      </c>
    </row>
    <row r="1120">
      <c r="A1120" s="1">
        <v>1118.0</v>
      </c>
      <c r="B1120" s="4" t="s">
        <v>1695</v>
      </c>
      <c r="C1120" s="5" t="str">
        <f>IFERROR(__xludf.DUMMYFUNCTION("GOOGLETRANSLATE(D:D,""auto"",""en"")"),"Wuhan mall empty")</f>
        <v>Wuhan mall empty</v>
      </c>
      <c r="D1120" s="4" t="s">
        <v>1726</v>
      </c>
      <c r="E1120" s="4">
        <v>0.0</v>
      </c>
      <c r="F1120" s="4">
        <v>19.0</v>
      </c>
      <c r="G1120" s="4" t="s">
        <v>1727</v>
      </c>
    </row>
    <row r="1121">
      <c r="A1121" s="1">
        <v>1119.0</v>
      </c>
      <c r="B1121" s="4" t="s">
        <v>1695</v>
      </c>
      <c r="C1121" s="5" t="str">
        <f>IFERROR(__xludf.DUMMYFUNCTION("GOOGLETRANSLATE(D:D,""auto"",""en"")"),"Wuhan opened 24-hour donation")</f>
        <v>Wuhan opened 24-hour donation</v>
      </c>
      <c r="D1121" s="4" t="s">
        <v>1728</v>
      </c>
      <c r="E1121" s="4">
        <v>0.0</v>
      </c>
      <c r="F1121" s="4">
        <v>20.0</v>
      </c>
      <c r="G1121" s="4" t="s">
        <v>1729</v>
      </c>
    </row>
    <row r="1122">
      <c r="A1122" s="1">
        <v>1120.0</v>
      </c>
      <c r="B1122" s="4" t="s">
        <v>1695</v>
      </c>
      <c r="C1122" s="5" t="str">
        <f>IFERROR(__xludf.DUMMYFUNCTION("GOOGLETRANSLATE(D:D,""auto"",""en"")"),"New confirmed 571 cases of pneumonia")</f>
        <v>New confirmed 571 cases of pneumonia</v>
      </c>
      <c r="D1122" s="4" t="s">
        <v>1730</v>
      </c>
      <c r="E1122" s="4">
        <v>0.0</v>
      </c>
      <c r="F1122" s="4">
        <v>21.0</v>
      </c>
      <c r="G1122" s="4" t="s">
        <v>1731</v>
      </c>
    </row>
    <row r="1123">
      <c r="A1123" s="1">
        <v>1121.0</v>
      </c>
      <c r="B1123" s="4" t="s">
        <v>1695</v>
      </c>
      <c r="C1123" s="5" t="str">
        <f>IFERROR(__xludf.DUMMYFUNCTION("GOOGLETRANSLATE(D:D,""auto"",""en"")"),"Wuhan closed city 10 hours ago")</f>
        <v>Wuhan closed city 10 hours ago</v>
      </c>
      <c r="D1123" s="4" t="s">
        <v>1732</v>
      </c>
      <c r="E1123" s="4">
        <v>0.0</v>
      </c>
      <c r="F1123" s="4">
        <v>22.0</v>
      </c>
      <c r="G1123" s="4" t="s">
        <v>1733</v>
      </c>
    </row>
    <row r="1124">
      <c r="A1124" s="1">
        <v>1122.0</v>
      </c>
      <c r="B1124" s="4" t="s">
        <v>1695</v>
      </c>
      <c r="C1124" s="5" t="str">
        <f>IFERROR(__xludf.DUMMYFUNCTION("GOOGLETRANSLATE(D:D,""auto"",""en"")"),"CCTV Spring Festival Evening program list released")</f>
        <v>CCTV Spring Festival Evening program list released</v>
      </c>
      <c r="D1124" s="4" t="s">
        <v>1734</v>
      </c>
      <c r="E1124" s="4">
        <v>0.0</v>
      </c>
      <c r="F1124" s="4">
        <v>23.0</v>
      </c>
      <c r="G1124" s="4" t="s">
        <v>1735</v>
      </c>
    </row>
    <row r="1125">
      <c r="A1125" s="1">
        <v>1123.0</v>
      </c>
      <c r="B1125" s="4" t="s">
        <v>1695</v>
      </c>
      <c r="C1125" s="5" t="str">
        <f>IFERROR(__xludf.DUMMYFUNCTION("GOOGLETRANSLATE(D:D,""auto"",""en"")"),"Wuhan vegetable prices")</f>
        <v>Wuhan vegetable prices</v>
      </c>
      <c r="D1125" s="4" t="s">
        <v>1736</v>
      </c>
      <c r="E1125" s="4">
        <v>0.0</v>
      </c>
      <c r="F1125" s="4">
        <v>24.0</v>
      </c>
      <c r="G1125" s="4" t="s">
        <v>1737</v>
      </c>
    </row>
    <row r="1126">
      <c r="A1126" s="1">
        <v>1124.0</v>
      </c>
      <c r="B1126" s="4" t="s">
        <v>1695</v>
      </c>
      <c r="C1126" s="5" t="str">
        <f>IFERROR(__xludf.DUMMYFUNCTION("GOOGLETRANSLATE(D:D,""auto"",""en"")"),"No cases appear Wuhan travel")</f>
        <v>No cases appear Wuhan travel</v>
      </c>
      <c r="D1126" s="4" t="s">
        <v>1738</v>
      </c>
      <c r="E1126" s="4">
        <v>0.0</v>
      </c>
      <c r="F1126" s="4">
        <v>25.0</v>
      </c>
      <c r="G1126" s="4" t="s">
        <v>1739</v>
      </c>
    </row>
    <row r="1127">
      <c r="A1127" s="1">
        <v>1125.0</v>
      </c>
      <c r="B1127" s="4" t="s">
        <v>1695</v>
      </c>
      <c r="C1127" s="5" t="str">
        <f>IFERROR(__xludf.DUMMYFUNCTION("GOOGLETRANSLATE(D:D,""auto"",""en"")"),"Shanxi's first new type of pneumonia")</f>
        <v>Shanxi's first new type of pneumonia</v>
      </c>
      <c r="D1127" s="4" t="s">
        <v>1663</v>
      </c>
      <c r="E1127" s="4">
        <v>0.0</v>
      </c>
      <c r="F1127" s="4">
        <v>26.0</v>
      </c>
      <c r="G1127" s="4" t="s">
        <v>1664</v>
      </c>
    </row>
    <row r="1128">
      <c r="A1128" s="1">
        <v>1126.0</v>
      </c>
      <c r="B1128" s="4" t="s">
        <v>1695</v>
      </c>
      <c r="C1128" s="5" t="str">
        <f>IFERROR(__xludf.DUMMYFUNCTION("GOOGLETRANSLATE(D:D,""auto"",""en"")"),"Smoking can not fight off the virus")</f>
        <v>Smoking can not fight off the virus</v>
      </c>
      <c r="D1128" s="4" t="s">
        <v>1740</v>
      </c>
      <c r="E1128" s="4">
        <v>0.0</v>
      </c>
      <c r="F1128" s="4">
        <v>27.0</v>
      </c>
      <c r="G1128" s="4" t="s">
        <v>1741</v>
      </c>
    </row>
    <row r="1129">
      <c r="A1129" s="1">
        <v>1127.0</v>
      </c>
      <c r="B1129" s="4" t="s">
        <v>1695</v>
      </c>
      <c r="C1129" s="5" t="str">
        <f>IFERROR(__xludf.DUMMYFUNCTION("GOOGLETRANSLATE(D:D,""auto"",""en"")"),"Hubei high-speed start closed")</f>
        <v>Hubei high-speed start closed</v>
      </c>
      <c r="D1129" s="4" t="s">
        <v>1742</v>
      </c>
      <c r="E1129" s="4">
        <v>0.0</v>
      </c>
      <c r="F1129" s="4">
        <v>28.0</v>
      </c>
      <c r="G1129" s="4" t="s">
        <v>1743</v>
      </c>
    </row>
    <row r="1130">
      <c r="A1130" s="1">
        <v>1128.0</v>
      </c>
      <c r="B1130" s="4" t="s">
        <v>1695</v>
      </c>
      <c r="C1130" s="5" t="str">
        <f>IFERROR(__xludf.DUMMYFUNCTION("GOOGLETRANSLATE(D:D,""auto"",""en"")"),"Calvin married Joanne Tseng")</f>
        <v>Calvin married Joanne Tseng</v>
      </c>
      <c r="D1130" s="4" t="s">
        <v>1744</v>
      </c>
      <c r="E1130" s="4">
        <v>0.0</v>
      </c>
      <c r="F1130" s="4">
        <v>29.0</v>
      </c>
      <c r="G1130" s="4" t="s">
        <v>1745</v>
      </c>
    </row>
    <row r="1131">
      <c r="A1131" s="1">
        <v>1129.0</v>
      </c>
      <c r="B1131" s="4" t="s">
        <v>1695</v>
      </c>
      <c r="C1131" s="5" t="str">
        <f>IFERROR(__xludf.DUMMYFUNCTION("GOOGLETRANSLATE(D:D,""auto"",""en"")"),"94 people after the Wuhan study tour return")</f>
        <v>94 people after the Wuhan study tour return</v>
      </c>
      <c r="D1131" s="4" t="s">
        <v>1746</v>
      </c>
      <c r="E1131" s="4">
        <v>0.0</v>
      </c>
      <c r="F1131" s="4">
        <v>30.0</v>
      </c>
      <c r="G1131" s="4" t="s">
        <v>1747</v>
      </c>
    </row>
    <row r="1132">
      <c r="A1132" s="1">
        <v>1130.0</v>
      </c>
      <c r="B1132" s="4" t="s">
        <v>1695</v>
      </c>
      <c r="C1132" s="5" t="str">
        <f>IFERROR(__xludf.DUMMYFUNCTION("GOOGLETRANSLATE(D:D,""auto"",""en"")"),"There are still people back to Wuhan New Year")</f>
        <v>There are still people back to Wuhan New Year</v>
      </c>
      <c r="D1132" s="4" t="s">
        <v>1748</v>
      </c>
      <c r="E1132" s="4">
        <v>0.0</v>
      </c>
      <c r="F1132" s="4">
        <v>31.0</v>
      </c>
      <c r="G1132" s="4" t="s">
        <v>1749</v>
      </c>
    </row>
    <row r="1133">
      <c r="A1133" s="1">
        <v>1131.0</v>
      </c>
      <c r="B1133" s="4" t="s">
        <v>1695</v>
      </c>
      <c r="C1133" s="5" t="str">
        <f>IFERROR(__xludf.DUMMYFUNCTION("GOOGLETRANSLATE(D:D,""auto"",""en"")"),"New pneumonia prevention and control of the new program")</f>
        <v>New pneumonia prevention and control of the new program</v>
      </c>
      <c r="D1133" s="4" t="s">
        <v>1750</v>
      </c>
      <c r="E1133" s="4">
        <v>0.0</v>
      </c>
      <c r="F1133" s="4">
        <v>32.0</v>
      </c>
      <c r="G1133" s="4" t="s">
        <v>1751</v>
      </c>
    </row>
    <row r="1134">
      <c r="A1134" s="1">
        <v>1132.0</v>
      </c>
      <c r="B1134" s="4" t="s">
        <v>1695</v>
      </c>
      <c r="C1134" s="5" t="str">
        <f>IFERROR(__xludf.DUMMYFUNCTION("GOOGLETRANSLATE(D:D,""auto"",""en"")"),"Chinese New Year movie file was Refund")</f>
        <v>Chinese New Year movie file was Refund</v>
      </c>
      <c r="D1134" s="4" t="s">
        <v>1752</v>
      </c>
      <c r="E1134" s="4">
        <v>0.0</v>
      </c>
      <c r="F1134" s="4">
        <v>33.0</v>
      </c>
      <c r="G1134" s="4" t="s">
        <v>1753</v>
      </c>
    </row>
    <row r="1135">
      <c r="A1135" s="1">
        <v>1133.0</v>
      </c>
      <c r="B1135" s="4" t="s">
        <v>1695</v>
      </c>
      <c r="C1135" s="5" t="str">
        <f>IFERROR(__xludf.DUMMYFUNCTION("GOOGLETRANSLATE(D:D,""auto"",""en"")"),"New River add three cases of pneumonia")</f>
        <v>New River add three cases of pneumonia</v>
      </c>
      <c r="D1135" s="4" t="s">
        <v>1665</v>
      </c>
      <c r="E1135" s="4">
        <v>0.0</v>
      </c>
      <c r="F1135" s="4">
        <v>34.0</v>
      </c>
      <c r="G1135" s="4" t="s">
        <v>1666</v>
      </c>
    </row>
    <row r="1136">
      <c r="A1136" s="1">
        <v>1134.0</v>
      </c>
      <c r="B1136" s="4" t="s">
        <v>1695</v>
      </c>
      <c r="C1136" s="5" t="str">
        <f>IFERROR(__xludf.DUMMYFUNCTION("GOOGLETRANSLATE(D:D,""auto"",""en"")"),"Chongqing confirmed six cases of pneumonia")</f>
        <v>Chongqing confirmed six cases of pneumonia</v>
      </c>
      <c r="D1136" s="4" t="s">
        <v>1754</v>
      </c>
      <c r="E1136" s="4">
        <v>0.0</v>
      </c>
      <c r="F1136" s="4">
        <v>35.0</v>
      </c>
      <c r="G1136" s="4" t="s">
        <v>1755</v>
      </c>
    </row>
    <row r="1137">
      <c r="A1137" s="1">
        <v>1135.0</v>
      </c>
      <c r="B1137" s="4" t="s">
        <v>1695</v>
      </c>
      <c r="C1137" s="5" t="str">
        <f>IFERROR(__xludf.DUMMYFUNCTION("GOOGLETRANSLATE(D:D,""auto"",""en"")"),"Moderator wearing masks broadcast")</f>
        <v>Moderator wearing masks broadcast</v>
      </c>
      <c r="D1137" s="4" t="s">
        <v>1756</v>
      </c>
      <c r="E1137" s="4">
        <v>0.0</v>
      </c>
      <c r="F1137" s="4">
        <v>36.0</v>
      </c>
      <c r="G1137" s="4" t="s">
        <v>1757</v>
      </c>
    </row>
    <row r="1138">
      <c r="A1138" s="1">
        <v>1136.0</v>
      </c>
      <c r="B1138" s="4" t="s">
        <v>1695</v>
      </c>
      <c r="C1138" s="5" t="str">
        <f>IFERROR(__xludf.DUMMYFUNCTION("GOOGLETRANSLATE(D:D,""auto"",""en"")"),"Li Lanjuan new doubts pneumonia")</f>
        <v>Li Lanjuan new doubts pneumonia</v>
      </c>
      <c r="D1138" s="4" t="s">
        <v>1758</v>
      </c>
      <c r="E1138" s="4">
        <v>0.0</v>
      </c>
      <c r="F1138" s="4">
        <v>37.0</v>
      </c>
      <c r="G1138" s="4" t="s">
        <v>1759</v>
      </c>
    </row>
    <row r="1139">
      <c r="A1139" s="1">
        <v>1137.0</v>
      </c>
      <c r="B1139" s="4" t="s">
        <v>1695</v>
      </c>
      <c r="C1139" s="5" t="str">
        <f>IFERROR(__xludf.DUMMYFUNCTION("GOOGLETRANSLATE(D:D,""auto"",""en"")"),"Wuhan pneumonia doctors dictation")</f>
        <v>Wuhan pneumonia doctors dictation</v>
      </c>
      <c r="D1139" s="4" t="s">
        <v>1760</v>
      </c>
      <c r="E1139" s="4">
        <v>0.0</v>
      </c>
      <c r="F1139" s="4">
        <v>38.0</v>
      </c>
      <c r="G1139" s="4" t="s">
        <v>1761</v>
      </c>
    </row>
    <row r="1140">
      <c r="A1140" s="1">
        <v>1138.0</v>
      </c>
      <c r="B1140" s="4" t="s">
        <v>1695</v>
      </c>
      <c r="C1140" s="5" t="str">
        <f>IFERROR(__xludf.DUMMYFUNCTION("GOOGLETRANSLATE(D:D,""auto"",""en"")"),"The dead are mostly elderly pneumonia")</f>
        <v>The dead are mostly elderly pneumonia</v>
      </c>
      <c r="D1140" s="4" t="s">
        <v>1762</v>
      </c>
      <c r="E1140" s="4">
        <v>0.0</v>
      </c>
      <c r="F1140" s="4">
        <v>39.0</v>
      </c>
      <c r="G1140" s="4" t="s">
        <v>1763</v>
      </c>
    </row>
    <row r="1141">
      <c r="A1141" s="1">
        <v>1139.0</v>
      </c>
      <c r="B1141" s="4" t="s">
        <v>1695</v>
      </c>
      <c r="C1141" s="5" t="str">
        <f>IFERROR(__xludf.DUMMYFUNCTION("GOOGLETRANSLATE(D:D,""auto"",""en"")"),"2020 Shandong Spring Festival Gala live")</f>
        <v>2020 Shandong Spring Festival Gala live</v>
      </c>
      <c r="D1141" s="4" t="s">
        <v>1764</v>
      </c>
      <c r="E1141" s="4">
        <v>0.0</v>
      </c>
      <c r="F1141" s="4">
        <v>40.0</v>
      </c>
      <c r="G1141" s="4" t="s">
        <v>1765</v>
      </c>
    </row>
    <row r="1142">
      <c r="A1142" s="1">
        <v>1140.0</v>
      </c>
      <c r="B1142" s="4" t="s">
        <v>1695</v>
      </c>
      <c r="C1142" s="5" t="str">
        <f>IFERROR(__xludf.DUMMYFUNCTION("GOOGLETRANSLATE(D:D,""auto"",""en"")"),"2020 Spring Festival Gala live Jiangxi")</f>
        <v>2020 Spring Festival Gala live Jiangxi</v>
      </c>
      <c r="D1142" s="4" t="s">
        <v>1766</v>
      </c>
      <c r="E1142" s="4">
        <v>0.0</v>
      </c>
      <c r="F1142" s="4">
        <v>41.0</v>
      </c>
      <c r="G1142" s="4" t="s">
        <v>1767</v>
      </c>
    </row>
    <row r="1143">
      <c r="A1143" s="1">
        <v>1141.0</v>
      </c>
      <c r="B1143" s="4" t="s">
        <v>1695</v>
      </c>
      <c r="C1143" s="5" t="str">
        <f>IFERROR(__xludf.DUMMYFUNCTION("GOOGLETRANSLATE(D:D,""auto"",""en"")"),"Children do not easily stained virus")</f>
        <v>Children do not easily stained virus</v>
      </c>
      <c r="D1143" s="4" t="s">
        <v>1685</v>
      </c>
      <c r="E1143" s="4">
        <v>0.0</v>
      </c>
      <c r="F1143" s="4">
        <v>42.0</v>
      </c>
      <c r="G1143" s="4" t="s">
        <v>1686</v>
      </c>
    </row>
    <row r="1144">
      <c r="A1144" s="1">
        <v>1142.0</v>
      </c>
      <c r="B1144" s="4" t="s">
        <v>1695</v>
      </c>
      <c r="C1144" s="5" t="str">
        <f>IFERROR(__xludf.DUMMYFUNCTION("GOOGLETRANSLATE(D:D,""auto"",""en"")"),"Novel coronavirus afraid of alcohol")</f>
        <v>Novel coronavirus afraid of alcohol</v>
      </c>
      <c r="D1144" s="4" t="s">
        <v>1659</v>
      </c>
      <c r="E1144" s="4">
        <v>0.0</v>
      </c>
      <c r="F1144" s="4">
        <v>43.0</v>
      </c>
      <c r="G1144" s="4" t="s">
        <v>1660</v>
      </c>
    </row>
    <row r="1145">
      <c r="A1145" s="1">
        <v>1143.0</v>
      </c>
      <c r="B1145" s="4" t="s">
        <v>1695</v>
      </c>
      <c r="C1145" s="5" t="str">
        <f>IFERROR(__xludf.DUMMYFUNCTION("GOOGLETRANSLATE(D:D,""auto"",""en"")"),"Jiangsu emergence of new pneumonia")</f>
        <v>Jiangsu emergence of new pneumonia</v>
      </c>
      <c r="D1145" s="4" t="s">
        <v>1768</v>
      </c>
      <c r="E1145" s="4">
        <v>0.0</v>
      </c>
      <c r="F1145" s="4">
        <v>44.0</v>
      </c>
      <c r="G1145" s="4" t="s">
        <v>1769</v>
      </c>
    </row>
    <row r="1146">
      <c r="A1146" s="1">
        <v>1144.0</v>
      </c>
      <c r="B1146" s="4" t="s">
        <v>1695</v>
      </c>
      <c r="C1146" s="5" t="str">
        <f>IFERROR(__xludf.DUMMYFUNCTION("GOOGLETRANSLATE(D:D,""auto"",""en"")"),"Anhui diagnosed the first case of pneumonia")</f>
        <v>Anhui diagnosed the first case of pneumonia</v>
      </c>
      <c r="D1146" s="4" t="s">
        <v>1653</v>
      </c>
      <c r="E1146" s="4">
        <v>0.0</v>
      </c>
      <c r="F1146" s="4">
        <v>45.0</v>
      </c>
      <c r="G1146" s="4" t="s">
        <v>1654</v>
      </c>
    </row>
    <row r="1147">
      <c r="A1147" s="1">
        <v>1145.0</v>
      </c>
      <c r="B1147" s="4" t="s">
        <v>1695</v>
      </c>
      <c r="C1147" s="5" t="str">
        <f>IFERROR(__xludf.DUMMYFUNCTION("GOOGLETRANSLATE(D:D,""auto"",""en"")"),"Hunan three cases of pneumonia diagnosed by")</f>
        <v>Hunan three cases of pneumonia diagnosed by</v>
      </c>
      <c r="D1147" s="4" t="s">
        <v>1661</v>
      </c>
      <c r="E1147" s="4">
        <v>0.0</v>
      </c>
      <c r="F1147" s="4">
        <v>46.0</v>
      </c>
      <c r="G1147" s="4" t="s">
        <v>1662</v>
      </c>
    </row>
    <row r="1148">
      <c r="A1148" s="1">
        <v>1146.0</v>
      </c>
      <c r="B1148" s="4" t="s">
        <v>1695</v>
      </c>
      <c r="C1148" s="5" t="str">
        <f>IFERROR(__xludf.DUMMYFUNCTION("GOOGLETRANSLATE(D:D,""auto"",""en"")"),"Jiujiang Yangtze River Bridge blockade")</f>
        <v>Jiujiang Yangtze River Bridge blockade</v>
      </c>
      <c r="D1148" s="4" t="s">
        <v>1770</v>
      </c>
      <c r="E1148" s="4">
        <v>0.0</v>
      </c>
      <c r="F1148" s="4">
        <v>47.0</v>
      </c>
      <c r="G1148" s="4" t="s">
        <v>1771</v>
      </c>
    </row>
    <row r="1149">
      <c r="A1149" s="1">
        <v>1147.0</v>
      </c>
      <c r="B1149" s="4" t="s">
        <v>1695</v>
      </c>
      <c r="C1149" s="5" t="str">
        <f>IFERROR(__xludf.DUMMYFUNCTION("GOOGLETRANSLATE(D:D,""auto"",""en"")"),"Wuhan carpool group prices 10 times")</f>
        <v>Wuhan carpool group prices 10 times</v>
      </c>
      <c r="D1149" s="4" t="s">
        <v>1772</v>
      </c>
      <c r="E1149" s="4">
        <v>0.0</v>
      </c>
      <c r="F1149" s="4">
        <v>48.0</v>
      </c>
      <c r="G1149" s="4" t="s">
        <v>1773</v>
      </c>
    </row>
    <row r="1150">
      <c r="A1150" s="1">
        <v>1148.0</v>
      </c>
      <c r="B1150" s="4" t="s">
        <v>1695</v>
      </c>
      <c r="C1150" s="5" t="str">
        <f>IFERROR(__xludf.DUMMYFUNCTION("GOOGLETRANSLATE(D:D,""auto"",""en"")"),"Wuhan 4 upgrade epidemic prevention focus")</f>
        <v>Wuhan 4 upgrade epidemic prevention focus</v>
      </c>
      <c r="D1150" s="4" t="s">
        <v>1774</v>
      </c>
      <c r="E1150" s="4">
        <v>0.0</v>
      </c>
      <c r="F1150" s="4">
        <v>49.0</v>
      </c>
      <c r="G1150" s="4" t="s">
        <v>1775</v>
      </c>
    </row>
    <row r="1151">
      <c r="A1151" s="1">
        <v>1149.0</v>
      </c>
      <c r="B1151" s="4" t="s">
        <v>1695</v>
      </c>
      <c r="C1151" s="5" t="str">
        <f>IFERROR(__xludf.DUMMYFUNCTION("GOOGLETRANSLATE(D:D,""auto"",""en"")"),"Fujian confirmed the first case of pneumonia")</f>
        <v>Fujian confirmed the first case of pneumonia</v>
      </c>
      <c r="D1151" s="4" t="s">
        <v>1673</v>
      </c>
      <c r="E1151" s="4">
        <v>0.0</v>
      </c>
      <c r="F1151" s="4">
        <v>50.0</v>
      </c>
      <c r="G1151" s="4" t="s">
        <v>1674</v>
      </c>
    </row>
    <row r="1152">
      <c r="A1152" s="1">
        <v>1150.0</v>
      </c>
      <c r="B1152" s="4" t="s">
        <v>1776</v>
      </c>
      <c r="C1152" s="5" t="str">
        <f>IFERROR(__xludf.DUMMYFUNCTION("GOOGLETRANSLATE(D:D,""auto"",""en"")"),"Wuhan opened 24-hour donation")</f>
        <v>Wuhan opened 24-hour donation</v>
      </c>
      <c r="D1152" s="4" t="s">
        <v>1728</v>
      </c>
      <c r="E1152" s="4">
        <v>0.0</v>
      </c>
      <c r="F1152" s="4">
        <v>1.0</v>
      </c>
      <c r="G1152" s="4" t="s">
        <v>1729</v>
      </c>
    </row>
    <row r="1153">
      <c r="A1153" s="1">
        <v>1151.0</v>
      </c>
      <c r="B1153" s="4" t="s">
        <v>1776</v>
      </c>
      <c r="C1153" s="5" t="str">
        <f>IFERROR(__xludf.DUMMYFUNCTION("GOOGLETRANSLATE(D:D,""auto"",""en"")"),"CCTV Spring Festival Evening program list released")</f>
        <v>CCTV Spring Festival Evening program list released</v>
      </c>
      <c r="D1153" s="4" t="s">
        <v>1734</v>
      </c>
      <c r="E1153" s="4">
        <v>0.0</v>
      </c>
      <c r="F1153" s="4">
        <v>2.0</v>
      </c>
      <c r="G1153" s="4" t="s">
        <v>1735</v>
      </c>
    </row>
    <row r="1154">
      <c r="A1154" s="1">
        <v>1152.0</v>
      </c>
      <c r="B1154" s="4" t="s">
        <v>1776</v>
      </c>
      <c r="C1154" s="5" t="str">
        <f>IFERROR(__xludf.DUMMYFUNCTION("GOOGLETRANSLATE(D:D,""auto"",""en"")"),"Mom will be broadcast free movie embarrassing")</f>
        <v>Mom will be broadcast free movie embarrassing</v>
      </c>
      <c r="D1154" s="4" t="s">
        <v>1777</v>
      </c>
      <c r="E1154" s="4">
        <v>0.0</v>
      </c>
      <c r="F1154" s="4">
        <v>3.0</v>
      </c>
      <c r="G1154" s="4" t="s">
        <v>1778</v>
      </c>
    </row>
    <row r="1155">
      <c r="A1155" s="1">
        <v>1153.0</v>
      </c>
      <c r="B1155" s="4" t="s">
        <v>1776</v>
      </c>
      <c r="C1155" s="5" t="str">
        <f>IFERROR(__xludf.DUMMYFUNCTION("GOOGLETRANSLATE(D:D,""auto"",""en"")"),"Indian nurses infected with virus")</f>
        <v>Indian nurses infected with virus</v>
      </c>
      <c r="D1155" s="4" t="s">
        <v>1779</v>
      </c>
      <c r="E1155" s="4">
        <v>0.0</v>
      </c>
      <c r="F1155" s="4">
        <v>4.0</v>
      </c>
      <c r="G1155" s="4" t="s">
        <v>1780</v>
      </c>
    </row>
    <row r="1156">
      <c r="A1156" s="1">
        <v>1154.0</v>
      </c>
      <c r="B1156" s="4" t="s">
        <v>1776</v>
      </c>
      <c r="C1156" s="5" t="str">
        <f>IFERROR(__xludf.DUMMYFUNCTION("GOOGLETRANSLATE(D:D,""auto"",""en"")"),"Wuhan female health care cut hair")</f>
        <v>Wuhan female health care cut hair</v>
      </c>
      <c r="D1156" s="4" t="s">
        <v>1781</v>
      </c>
      <c r="E1156" s="4">
        <v>0.0</v>
      </c>
      <c r="F1156" s="4">
        <v>5.0</v>
      </c>
      <c r="G1156" s="4" t="s">
        <v>1782</v>
      </c>
    </row>
    <row r="1157">
      <c r="A1157" s="1">
        <v>1155.0</v>
      </c>
      <c r="B1157" s="4" t="s">
        <v>1776</v>
      </c>
      <c r="C1157" s="5" t="str">
        <f>IFERROR(__xludf.DUMMYFUNCTION("GOOGLETRANSLATE(D:D,""auto"",""en"")"),"The new crown diagnosed 830 cases of pneumonia")</f>
        <v>The new crown diagnosed 830 cases of pneumonia</v>
      </c>
      <c r="D1157" s="4" t="s">
        <v>1783</v>
      </c>
      <c r="E1157" s="4">
        <v>0.0</v>
      </c>
      <c r="F1157" s="4">
        <v>6.0</v>
      </c>
      <c r="G1157" s="4" t="s">
        <v>1784</v>
      </c>
    </row>
    <row r="1158">
      <c r="A1158" s="1">
        <v>1156.0</v>
      </c>
      <c r="B1158" s="4" t="s">
        <v>1776</v>
      </c>
      <c r="C1158" s="5" t="str">
        <f>IFERROR(__xludf.DUMMYFUNCTION("GOOGLETRANSLATE(D:D,""auto"",""en"")"),"Hubei seven declared closed city")</f>
        <v>Hubei seven declared closed city</v>
      </c>
      <c r="D1158" s="4" t="s">
        <v>1785</v>
      </c>
      <c r="E1158" s="4">
        <v>0.0</v>
      </c>
      <c r="F1158" s="4">
        <v>7.0</v>
      </c>
      <c r="G1158" s="4" t="s">
        <v>1786</v>
      </c>
    </row>
    <row r="1159">
      <c r="A1159" s="1">
        <v>1157.0</v>
      </c>
      <c r="B1159" s="4" t="s">
        <v>1776</v>
      </c>
      <c r="C1159" s="5" t="str">
        <f>IFERROR(__xludf.DUMMYFUNCTION("GOOGLETRANSLATE(D:D,""auto"",""en"")"),"Wang Zhong Nanshan GF evaluation")</f>
        <v>Wang Zhong Nanshan GF evaluation</v>
      </c>
      <c r="D1159" s="4" t="s">
        <v>1787</v>
      </c>
      <c r="E1159" s="4">
        <v>0.0</v>
      </c>
      <c r="F1159" s="4">
        <v>8.0</v>
      </c>
      <c r="G1159" s="4" t="s">
        <v>1788</v>
      </c>
    </row>
    <row r="1160">
      <c r="A1160" s="1">
        <v>1158.0</v>
      </c>
      <c r="B1160" s="4" t="s">
        <v>1776</v>
      </c>
      <c r="C1160" s="5" t="str">
        <f>IFERROR(__xludf.DUMMYFUNCTION("GOOGLETRANSLATE(D:D,""auto"",""en"")"),"Wuhan 4 upgrade epidemic prevention focus")</f>
        <v>Wuhan 4 upgrade epidemic prevention focus</v>
      </c>
      <c r="D1160" s="4" t="s">
        <v>1774</v>
      </c>
      <c r="E1160" s="4">
        <v>0.0</v>
      </c>
      <c r="F1160" s="4">
        <v>9.0</v>
      </c>
      <c r="G1160" s="4" t="s">
        <v>1775</v>
      </c>
    </row>
    <row r="1161">
      <c r="A1161" s="1">
        <v>1159.0</v>
      </c>
      <c r="B1161" s="4" t="s">
        <v>1776</v>
      </c>
      <c r="C1161" s="5" t="str">
        <f>IFERROR(__xludf.DUMMYFUNCTION("GOOGLETRANSLATE(D:D,""auto"",""en"")"),"New Year's Eve")</f>
        <v>New Year's Eve</v>
      </c>
      <c r="D1161" s="4" t="s">
        <v>1789</v>
      </c>
      <c r="E1161" s="4">
        <v>0.0</v>
      </c>
      <c r="F1161" s="4">
        <v>10.0</v>
      </c>
      <c r="G1161" s="4" t="s">
        <v>1790</v>
      </c>
    </row>
    <row r="1162">
      <c r="A1162" s="1">
        <v>1160.0</v>
      </c>
      <c r="B1162" s="4" t="s">
        <v>1776</v>
      </c>
      <c r="C1162" s="5" t="str">
        <f>IFERROR(__xludf.DUMMYFUNCTION("GOOGLETRANSLATE(D:D,""auto"",""en"")"),"Wuhan nurse circle of friends")</f>
        <v>Wuhan nurse circle of friends</v>
      </c>
      <c r="D1162" s="4" t="s">
        <v>1791</v>
      </c>
      <c r="E1162" s="4">
        <v>0.0</v>
      </c>
      <c r="F1162" s="4">
        <v>11.0</v>
      </c>
      <c r="G1162" s="4" t="s">
        <v>1792</v>
      </c>
    </row>
    <row r="1163">
      <c r="A1163" s="1">
        <v>1161.0</v>
      </c>
      <c r="B1163" s="4" t="s">
        <v>1776</v>
      </c>
      <c r="C1163" s="5" t="str">
        <f>IFERROR(__xludf.DUMMYFUNCTION("GOOGLETRANSLATE(D:D,""auto"",""en"")"),"Emergency allocated 1 billion Hubei")</f>
        <v>Emergency allocated 1 billion Hubei</v>
      </c>
      <c r="D1163" s="4" t="s">
        <v>1793</v>
      </c>
      <c r="E1163" s="4">
        <v>0.0</v>
      </c>
      <c r="F1163" s="4">
        <v>12.0</v>
      </c>
      <c r="G1163" s="4" t="s">
        <v>1794</v>
      </c>
    </row>
    <row r="1164">
      <c r="A1164" s="1">
        <v>1162.0</v>
      </c>
      <c r="B1164" s="4" t="s">
        <v>1776</v>
      </c>
      <c r="C1164" s="5" t="str">
        <f>IFERROR(__xludf.DUMMYFUNCTION("GOOGLETRANSLATE(D:D,""auto"",""en"")"),"Song Zhongji traced new romance")</f>
        <v>Song Zhongji traced new romance</v>
      </c>
      <c r="D1164" s="4" t="s">
        <v>1795</v>
      </c>
      <c r="E1164" s="4">
        <v>0.0</v>
      </c>
      <c r="F1164" s="4">
        <v>13.0</v>
      </c>
      <c r="G1164" s="4" t="s">
        <v>1796</v>
      </c>
    </row>
    <row r="1165">
      <c r="A1165" s="1">
        <v>1163.0</v>
      </c>
      <c r="B1165" s="4" t="s">
        <v>1776</v>
      </c>
      <c r="C1165" s="5" t="str">
        <f>IFERROR(__xludf.DUMMYFUNCTION("GOOGLETRANSLATE(D:D,""auto"",""en"")"),"Tu Lei, a family of three with fever")</f>
        <v>Tu Lei, a family of three with fever</v>
      </c>
      <c r="D1165" s="4" t="s">
        <v>1797</v>
      </c>
      <c r="E1165" s="4">
        <v>0.0</v>
      </c>
      <c r="F1165" s="4">
        <v>14.0</v>
      </c>
      <c r="G1165" s="4" t="s">
        <v>1798</v>
      </c>
    </row>
    <row r="1166">
      <c r="A1166" s="1">
        <v>1164.0</v>
      </c>
      <c r="B1166" s="4" t="s">
        <v>1776</v>
      </c>
      <c r="C1166" s="5" t="str">
        <f>IFERROR(__xludf.DUMMYFUNCTION("GOOGLETRANSLATE(D:D,""auto"",""en"")"),"Malicious be sentenced to flee Wuhan")</f>
        <v>Malicious be sentenced to flee Wuhan</v>
      </c>
      <c r="D1166" s="4" t="s">
        <v>1799</v>
      </c>
      <c r="E1166" s="4">
        <v>0.0</v>
      </c>
      <c r="F1166" s="4">
        <v>15.0</v>
      </c>
      <c r="G1166" s="4" t="s">
        <v>1800</v>
      </c>
    </row>
    <row r="1167">
      <c r="A1167" s="1">
        <v>1165.0</v>
      </c>
      <c r="B1167" s="4" t="s">
        <v>1776</v>
      </c>
      <c r="C1167" s="5" t="str">
        <f>IFERROR(__xludf.DUMMYFUNCTION("GOOGLETRANSLATE(D:D,""auto"",""en"")"),"State Department call for concealed clues")</f>
        <v>State Department call for concealed clues</v>
      </c>
      <c r="D1167" s="4" t="s">
        <v>1801</v>
      </c>
      <c r="E1167" s="4">
        <v>0.0</v>
      </c>
      <c r="F1167" s="4">
        <v>16.0</v>
      </c>
      <c r="G1167" s="4" t="s">
        <v>1802</v>
      </c>
    </row>
    <row r="1168">
      <c r="A1168" s="1">
        <v>1166.0</v>
      </c>
      <c r="B1168" s="4" t="s">
        <v>1776</v>
      </c>
      <c r="C1168" s="5" t="str">
        <f>IFERROR(__xludf.DUMMYFUNCTION("GOOGLETRANSLATE(D:D,""auto"",""en"")"),"Mom embarrassing security at the end termination of the Agreement")</f>
        <v>Mom embarrassing security at the end termination of the Agreement</v>
      </c>
      <c r="D1168" s="4" t="s">
        <v>1803</v>
      </c>
      <c r="E1168" s="4">
        <v>0.0</v>
      </c>
      <c r="F1168" s="4">
        <v>17.0</v>
      </c>
      <c r="G1168" s="4" t="s">
        <v>1804</v>
      </c>
    </row>
    <row r="1169">
      <c r="A1169" s="1">
        <v>1167.0</v>
      </c>
      <c r="B1169" s="4" t="s">
        <v>1776</v>
      </c>
      <c r="C1169" s="5" t="str">
        <f>IFERROR(__xludf.DUMMYFUNCTION("GOOGLETRANSLATE(D:D,""auto"",""en"")"),"Prevention of pneumonia prescription issued")</f>
        <v>Prevention of pneumonia prescription issued</v>
      </c>
      <c r="D1169" s="4" t="s">
        <v>1805</v>
      </c>
      <c r="E1169" s="4">
        <v>0.0</v>
      </c>
      <c r="F1169" s="4">
        <v>18.0</v>
      </c>
      <c r="G1169" s="4" t="s">
        <v>1806</v>
      </c>
    </row>
    <row r="1170">
      <c r="A1170" s="1">
        <v>1168.0</v>
      </c>
      <c r="B1170" s="4" t="s">
        <v>1776</v>
      </c>
      <c r="C1170" s="5" t="str">
        <f>IFERROR(__xludf.DUMMYFUNCTION("GOOGLETRANSLATE(D:D,""auto"",""en"")"),"The police response was to return home to report")</f>
        <v>The police response was to return home to report</v>
      </c>
      <c r="D1170" s="4" t="s">
        <v>1807</v>
      </c>
      <c r="E1170" s="4">
        <v>0.0</v>
      </c>
      <c r="F1170" s="4">
        <v>19.0</v>
      </c>
      <c r="G1170" s="4" t="s">
        <v>1808</v>
      </c>
    </row>
    <row r="1171">
      <c r="A1171" s="1">
        <v>1169.0</v>
      </c>
      <c r="B1171" s="4" t="s">
        <v>1776</v>
      </c>
      <c r="C1171" s="5" t="str">
        <f>IFERROR(__xludf.DUMMYFUNCTION("GOOGLETRANSLATE(D:D,""auto"",""en"")"),"The second pneumonia epidemic on the rise")</f>
        <v>The second pneumonia epidemic on the rise</v>
      </c>
      <c r="D1171" s="4" t="s">
        <v>1809</v>
      </c>
      <c r="E1171" s="4">
        <v>0.0</v>
      </c>
      <c r="F1171" s="4">
        <v>20.0</v>
      </c>
      <c r="G1171" s="4" t="s">
        <v>1810</v>
      </c>
    </row>
    <row r="1172">
      <c r="A1172" s="1">
        <v>1170.0</v>
      </c>
      <c r="B1172" s="4" t="s">
        <v>1776</v>
      </c>
      <c r="C1172" s="5" t="str">
        <f>IFERROR(__xludf.DUMMYFUNCTION("GOOGLETRANSLATE(D:D,""auto"",""en"")"),"2020 CCTV Spring Festival Evening Year of the Rat")</f>
        <v>2020 CCTV Spring Festival Evening Year of the Rat</v>
      </c>
      <c r="D1172" s="4" t="s">
        <v>1811</v>
      </c>
      <c r="E1172" s="4">
        <v>0.0</v>
      </c>
      <c r="F1172" s="4">
        <v>21.0</v>
      </c>
      <c r="G1172" s="4" t="s">
        <v>1812</v>
      </c>
    </row>
    <row r="1173">
      <c r="A1173" s="1">
        <v>1171.0</v>
      </c>
      <c r="B1173" s="4" t="s">
        <v>1776</v>
      </c>
      <c r="C1173" s="5" t="str">
        <f>IFERROR(__xludf.DUMMYFUNCTION("GOOGLETRANSLATE(D:D,""auto"",""en"")"),"70000 masks free delivery")</f>
        <v>70000 masks free delivery</v>
      </c>
      <c r="D1173" s="4" t="s">
        <v>1813</v>
      </c>
      <c r="E1173" s="4">
        <v>0.0</v>
      </c>
      <c r="F1173" s="4">
        <v>22.0</v>
      </c>
      <c r="G1173" s="4" t="s">
        <v>1814</v>
      </c>
    </row>
    <row r="1174">
      <c r="A1174" s="1">
        <v>1172.0</v>
      </c>
      <c r="B1174" s="4" t="s">
        <v>1776</v>
      </c>
      <c r="C1174" s="5" t="str">
        <f>IFERROR(__xludf.DUMMYFUNCTION("GOOGLETRANSLATE(D:D,""auto"",""en"")"),"Secret South China Seafood boss")</f>
        <v>Secret South China Seafood boss</v>
      </c>
      <c r="D1174" s="4" t="s">
        <v>1815</v>
      </c>
      <c r="E1174" s="4">
        <v>0.0</v>
      </c>
      <c r="F1174" s="4">
        <v>23.0</v>
      </c>
      <c r="G1174" s="4" t="s">
        <v>1816</v>
      </c>
    </row>
    <row r="1175">
      <c r="A1175" s="1">
        <v>1173.0</v>
      </c>
      <c r="B1175" s="4" t="s">
        <v>1776</v>
      </c>
      <c r="C1175" s="5" t="str">
        <f>IFERROR(__xludf.DUMMYFUNCTION("GOOGLETRANSLATE(D:D,""auto"",""en"")"),"2020 Shandong Spring Festival Gala live")</f>
        <v>2020 Shandong Spring Festival Gala live</v>
      </c>
      <c r="D1175" s="4" t="s">
        <v>1764</v>
      </c>
      <c r="E1175" s="4">
        <v>0.0</v>
      </c>
      <c r="F1175" s="4">
        <v>24.0</v>
      </c>
      <c r="G1175" s="4" t="s">
        <v>1765</v>
      </c>
    </row>
    <row r="1176">
      <c r="A1176" s="1">
        <v>1174.0</v>
      </c>
      <c r="B1176" s="4" t="s">
        <v>1776</v>
      </c>
      <c r="C1176" s="5" t="str">
        <f>IFERROR(__xludf.DUMMYFUNCTION("GOOGLETRANSLATE(D:D,""auto"",""en"")"),"Smoking and drinking epidemic prevention department rumors")</f>
        <v>Smoking and drinking epidemic prevention department rumors</v>
      </c>
      <c r="D1176" s="4" t="s">
        <v>1817</v>
      </c>
      <c r="E1176" s="4">
        <v>0.0</v>
      </c>
      <c r="F1176" s="4">
        <v>25.0</v>
      </c>
      <c r="G1176" s="4" t="s">
        <v>1818</v>
      </c>
    </row>
    <row r="1177">
      <c r="A1177" s="1">
        <v>1175.0</v>
      </c>
      <c r="B1177" s="4" t="s">
        <v>1776</v>
      </c>
      <c r="C1177" s="5" t="str">
        <f>IFERROR(__xludf.DUMMYFUNCTION("GOOGLETRANSLATE(D:D,""auto"",""en"")"),"Henan release prevention messages")</f>
        <v>Henan release prevention messages</v>
      </c>
      <c r="D1177" s="4" t="s">
        <v>1819</v>
      </c>
      <c r="E1177" s="4">
        <v>0.0</v>
      </c>
      <c r="F1177" s="4">
        <v>26.0</v>
      </c>
      <c r="G1177" s="4" t="s">
        <v>1820</v>
      </c>
    </row>
    <row r="1178">
      <c r="A1178" s="1">
        <v>1176.0</v>
      </c>
      <c r="B1178" s="4" t="s">
        <v>1776</v>
      </c>
      <c r="C1178" s="5" t="str">
        <f>IFERROR(__xludf.DUMMYFUNCTION("GOOGLETRANSLATE(D:D,""auto"",""en"")"),"After the closed city of Wuhan aerial")</f>
        <v>After the closed city of Wuhan aerial</v>
      </c>
      <c r="D1178" s="4" t="s">
        <v>1821</v>
      </c>
      <c r="E1178" s="4">
        <v>0.0</v>
      </c>
      <c r="F1178" s="4">
        <v>27.0</v>
      </c>
      <c r="G1178" s="4" t="s">
        <v>1822</v>
      </c>
    </row>
    <row r="1179">
      <c r="A1179" s="1">
        <v>1177.0</v>
      </c>
      <c r="B1179" s="4" t="s">
        <v>1776</v>
      </c>
      <c r="C1179" s="5" t="str">
        <f>IFERROR(__xludf.DUMMYFUNCTION("GOOGLETRANSLATE(D:D,""auto"",""en"")"),"Personnel are required to register to return to Beijing")</f>
        <v>Personnel are required to register to return to Beijing</v>
      </c>
      <c r="D1179" s="4" t="s">
        <v>1823</v>
      </c>
      <c r="E1179" s="4">
        <v>0.0</v>
      </c>
      <c r="F1179" s="4">
        <v>28.0</v>
      </c>
      <c r="G1179" s="4" t="s">
        <v>1824</v>
      </c>
    </row>
    <row r="1180">
      <c r="A1180" s="1">
        <v>1178.0</v>
      </c>
      <c r="B1180" s="4" t="s">
        <v>1776</v>
      </c>
      <c r="C1180" s="5" t="str">
        <f>IFERROR(__xludf.DUMMYFUNCTION("GOOGLETRANSLATE(D:D,""auto"",""en"")"),"Henan pneumonia patients have fever")</f>
        <v>Henan pneumonia patients have fever</v>
      </c>
      <c r="D1180" s="4" t="s">
        <v>1825</v>
      </c>
      <c r="E1180" s="4">
        <v>0.0</v>
      </c>
      <c r="F1180" s="4">
        <v>29.0</v>
      </c>
      <c r="G1180" s="4" t="s">
        <v>1826</v>
      </c>
    </row>
    <row r="1181">
      <c r="A1181" s="1">
        <v>1179.0</v>
      </c>
      <c r="B1181" s="4" t="s">
        <v>1776</v>
      </c>
      <c r="C1181" s="5" t="str">
        <f>IFERROR(__xludf.DUMMYFUNCTION("GOOGLETRANSLATE(D:D,""auto"",""en"")"),"Hubei will find out the city the way down")</f>
        <v>Hubei will find out the city the way down</v>
      </c>
      <c r="D1181" s="4" t="s">
        <v>1827</v>
      </c>
      <c r="E1181" s="4">
        <v>0.0</v>
      </c>
      <c r="F1181" s="4">
        <v>30.0</v>
      </c>
      <c r="G1181" s="4" t="s">
        <v>1828</v>
      </c>
    </row>
    <row r="1182">
      <c r="A1182" s="1">
        <v>1180.0</v>
      </c>
      <c r="B1182" s="4" t="s">
        <v>1776</v>
      </c>
      <c r="C1182" s="5" t="str">
        <f>IFERROR(__xludf.DUMMYFUNCTION("GOOGLETRANSLATE(D:D,""auto"",""en"")"),"Jiujiang Yangtze River Bridge blockade")</f>
        <v>Jiujiang Yangtze River Bridge blockade</v>
      </c>
      <c r="D1182" s="4" t="s">
        <v>1770</v>
      </c>
      <c r="E1182" s="4">
        <v>0.0</v>
      </c>
      <c r="F1182" s="4">
        <v>31.0</v>
      </c>
      <c r="G1182" s="4" t="s">
        <v>1771</v>
      </c>
    </row>
    <row r="1183">
      <c r="A1183" s="1">
        <v>1181.0</v>
      </c>
      <c r="B1183" s="4" t="s">
        <v>1776</v>
      </c>
      <c r="C1183" s="5" t="str">
        <f>IFERROR(__xludf.DUMMYFUNCTION("GOOGLETRANSLATE(D:D,""auto"",""en"")"),"After the closed city of Wuhan citizens")</f>
        <v>After the closed city of Wuhan citizens</v>
      </c>
      <c r="D1183" s="4" t="s">
        <v>1829</v>
      </c>
      <c r="E1183" s="4">
        <v>0.0</v>
      </c>
      <c r="F1183" s="4">
        <v>32.0</v>
      </c>
      <c r="G1183" s="4" t="s">
        <v>1830</v>
      </c>
    </row>
    <row r="1184">
      <c r="A1184" s="1">
        <v>1182.0</v>
      </c>
      <c r="B1184" s="4" t="s">
        <v>1776</v>
      </c>
      <c r="C1184" s="5" t="str">
        <f>IFERROR(__xludf.DUMMYFUNCTION("GOOGLETRANSLATE(D:D,""auto"",""en"")"),"Hubei primary and secondary school extension")</f>
        <v>Hubei primary and secondary school extension</v>
      </c>
      <c r="D1184" s="4" t="s">
        <v>1831</v>
      </c>
      <c r="E1184" s="4">
        <v>0.0</v>
      </c>
      <c r="F1184" s="4">
        <v>33.0</v>
      </c>
      <c r="G1184" s="4" t="s">
        <v>1832</v>
      </c>
    </row>
    <row r="1185">
      <c r="A1185" s="1">
        <v>1183.0</v>
      </c>
      <c r="B1185" s="4" t="s">
        <v>1776</v>
      </c>
      <c r="C1185" s="5" t="str">
        <f>IFERROR(__xludf.DUMMYFUNCTION("GOOGLETRANSLATE(D:D,""auto"",""en"")"),"Many provinces started a response")</f>
        <v>Many provinces started a response</v>
      </c>
      <c r="D1185" s="4" t="s">
        <v>1833</v>
      </c>
      <c r="E1185" s="4">
        <v>0.0</v>
      </c>
      <c r="F1185" s="4">
        <v>34.0</v>
      </c>
      <c r="G1185" s="4" t="s">
        <v>1834</v>
      </c>
    </row>
    <row r="1186">
      <c r="A1186" s="1">
        <v>1184.0</v>
      </c>
      <c r="B1186" s="4" t="s">
        <v>1776</v>
      </c>
      <c r="C1186" s="5" t="str">
        <f>IFERROR(__xludf.DUMMYFUNCTION("GOOGLETRANSLATE(D:D,""auto"",""en"")"),"Wuhan full investigation fever")</f>
        <v>Wuhan full investigation fever</v>
      </c>
      <c r="D1186" s="4" t="s">
        <v>1835</v>
      </c>
      <c r="E1186" s="4">
        <v>0.0</v>
      </c>
      <c r="F1186" s="4">
        <v>35.0</v>
      </c>
      <c r="G1186" s="4" t="s">
        <v>1836</v>
      </c>
    </row>
    <row r="1187">
      <c r="A1187" s="1">
        <v>1185.0</v>
      </c>
      <c r="B1187" s="4" t="s">
        <v>1776</v>
      </c>
      <c r="C1187" s="5" t="str">
        <f>IFERROR(__xludf.DUMMYFUNCTION("GOOGLETRANSLATE(D:D,""auto"",""en"")"),"After the first hour closed city of Wuhan")</f>
        <v>After the first hour closed city of Wuhan</v>
      </c>
      <c r="D1187" s="4" t="s">
        <v>1837</v>
      </c>
      <c r="E1187" s="4">
        <v>0.0</v>
      </c>
      <c r="F1187" s="4">
        <v>36.0</v>
      </c>
      <c r="G1187" s="4" t="s">
        <v>1838</v>
      </c>
    </row>
    <row r="1188">
      <c r="A1188" s="1">
        <v>1186.0</v>
      </c>
      <c r="B1188" s="4" t="s">
        <v>1776</v>
      </c>
      <c r="C1188" s="5" t="str">
        <f>IFERROR(__xludf.DUMMYFUNCTION("GOOGLETRANSLATE(D:D,""auto"",""en"")"),"Nine new rumor pneumonia")</f>
        <v>Nine new rumor pneumonia</v>
      </c>
      <c r="D1188" s="4" t="s">
        <v>1839</v>
      </c>
      <c r="E1188" s="4">
        <v>0.0</v>
      </c>
      <c r="F1188" s="4">
        <v>37.0</v>
      </c>
      <c r="G1188" s="4" t="s">
        <v>1840</v>
      </c>
    </row>
    <row r="1189">
      <c r="A1189" s="1">
        <v>1187.0</v>
      </c>
      <c r="B1189" s="4" t="s">
        <v>1776</v>
      </c>
      <c r="C1189" s="5" t="str">
        <f>IFERROR(__xludf.DUMMYFUNCTION("GOOGLETRANSLATE(D:D,""auto"",""en"")"),"Zhong Nanshan, head of research of any")</f>
        <v>Zhong Nanshan, head of research of any</v>
      </c>
      <c r="D1189" s="4" t="s">
        <v>1841</v>
      </c>
      <c r="E1189" s="4">
        <v>0.0</v>
      </c>
      <c r="F1189" s="4">
        <v>38.0</v>
      </c>
      <c r="G1189" s="4" t="s">
        <v>1842</v>
      </c>
    </row>
    <row r="1190">
      <c r="A1190" s="1">
        <v>1188.0</v>
      </c>
      <c r="B1190" s="4" t="s">
        <v>1776</v>
      </c>
      <c r="C1190" s="5" t="str">
        <f>IFERROR(__xludf.DUMMYFUNCTION("GOOGLETRANSLATE(D:D,""auto"",""en"")"),"Mask makers canceled vacations")</f>
        <v>Mask makers canceled vacations</v>
      </c>
      <c r="D1190" s="4" t="s">
        <v>1843</v>
      </c>
      <c r="E1190" s="4">
        <v>0.0</v>
      </c>
      <c r="F1190" s="4">
        <v>39.0</v>
      </c>
      <c r="G1190" s="4" t="s">
        <v>1844</v>
      </c>
    </row>
    <row r="1191">
      <c r="A1191" s="1">
        <v>1189.0</v>
      </c>
      <c r="B1191" s="4" t="s">
        <v>1776</v>
      </c>
      <c r="C1191" s="5" t="str">
        <f>IFERROR(__xludf.DUMMYFUNCTION("GOOGLETRANSLATE(D:D,""auto"",""en"")"),"New viruses or derived from snake")</f>
        <v>New viruses or derived from snake</v>
      </c>
      <c r="D1191" s="4" t="s">
        <v>1714</v>
      </c>
      <c r="E1191" s="4">
        <v>0.0</v>
      </c>
      <c r="F1191" s="4">
        <v>40.0</v>
      </c>
      <c r="G1191" s="4" t="s">
        <v>1715</v>
      </c>
    </row>
    <row r="1192">
      <c r="A1192" s="1">
        <v>1190.0</v>
      </c>
      <c r="B1192" s="4" t="s">
        <v>1776</v>
      </c>
      <c r="C1192" s="5" t="str">
        <f>IFERROR(__xludf.DUMMYFUNCTION("GOOGLETRANSLATE(D:D,""auto"",""en"")"),"94 people after the Wuhan study tour return")</f>
        <v>94 people after the Wuhan study tour return</v>
      </c>
      <c r="D1192" s="4" t="s">
        <v>1746</v>
      </c>
      <c r="E1192" s="4">
        <v>0.0</v>
      </c>
      <c r="F1192" s="4">
        <v>41.0</v>
      </c>
      <c r="G1192" s="4" t="s">
        <v>1747</v>
      </c>
    </row>
    <row r="1193">
      <c r="A1193" s="1">
        <v>1191.0</v>
      </c>
      <c r="B1193" s="4" t="s">
        <v>1776</v>
      </c>
      <c r="C1193" s="5" t="str">
        <f>IFERROR(__xludf.DUMMYFUNCTION("GOOGLETRANSLATE(D:D,""auto"",""en"")"),"Doctors all over the rush to the rescue Hubei")</f>
        <v>Doctors all over the rush to the rescue Hubei</v>
      </c>
      <c r="D1193" s="4" t="s">
        <v>1845</v>
      </c>
      <c r="E1193" s="4">
        <v>0.0</v>
      </c>
      <c r="F1193" s="4">
        <v>42.0</v>
      </c>
      <c r="G1193" s="4" t="s">
        <v>1846</v>
      </c>
    </row>
    <row r="1194">
      <c r="A1194" s="1">
        <v>1192.0</v>
      </c>
      <c r="B1194" s="4" t="s">
        <v>1776</v>
      </c>
      <c r="C1194" s="5" t="str">
        <f>IFERROR(__xludf.DUMMYFUNCTION("GOOGLETRANSLATE(D:D,""auto"",""en"")"),"Wuhan carpool group prices 10 times")</f>
        <v>Wuhan carpool group prices 10 times</v>
      </c>
      <c r="D1194" s="4" t="s">
        <v>1772</v>
      </c>
      <c r="E1194" s="4">
        <v>0.0</v>
      </c>
      <c r="F1194" s="4">
        <v>43.0</v>
      </c>
      <c r="G1194" s="4" t="s">
        <v>1773</v>
      </c>
    </row>
    <row r="1195">
      <c r="A1195" s="1">
        <v>1193.0</v>
      </c>
      <c r="B1195" s="4" t="s">
        <v>1776</v>
      </c>
      <c r="C1195" s="5" t="str">
        <f>IFERROR(__xludf.DUMMYFUNCTION("GOOGLETRANSLATE(D:D,""auto"",""en"")"),"Wuhan levy 6,000 taxi")</f>
        <v>Wuhan levy 6,000 taxi</v>
      </c>
      <c r="D1195" s="4" t="s">
        <v>1847</v>
      </c>
      <c r="E1195" s="4">
        <v>0.0</v>
      </c>
      <c r="F1195" s="4">
        <v>44.0</v>
      </c>
      <c r="G1195" s="4" t="s">
        <v>1848</v>
      </c>
    </row>
    <row r="1196">
      <c r="A1196" s="1">
        <v>1194.0</v>
      </c>
      <c r="B1196" s="4" t="s">
        <v>1776</v>
      </c>
      <c r="C1196" s="5" t="str">
        <f>IFERROR(__xludf.DUMMYFUNCTION("GOOGLETRANSLATE(D:D,""auto"",""en"")"),"Two sisters diagnosed with pneumonia in Guangdong")</f>
        <v>Two sisters diagnosed with pneumonia in Guangdong</v>
      </c>
      <c r="D1196" s="4" t="s">
        <v>1708</v>
      </c>
      <c r="E1196" s="4">
        <v>0.0</v>
      </c>
      <c r="F1196" s="4">
        <v>45.0</v>
      </c>
      <c r="G1196" s="4" t="s">
        <v>1709</v>
      </c>
    </row>
    <row r="1197">
      <c r="A1197" s="1">
        <v>1195.0</v>
      </c>
      <c r="B1197" s="4" t="s">
        <v>1776</v>
      </c>
      <c r="C1197" s="5" t="str">
        <f>IFERROR(__xludf.DUMMYFUNCTION("GOOGLETRANSLATE(D:D,""auto"",""en"")"),"Hebei new diagnosis of pneumonia")</f>
        <v>Hebei new diagnosis of pneumonia</v>
      </c>
      <c r="D1197" s="4" t="s">
        <v>1698</v>
      </c>
      <c r="E1197" s="4">
        <v>0.0</v>
      </c>
      <c r="F1197" s="4">
        <v>46.0</v>
      </c>
      <c r="G1197" s="4" t="s">
        <v>1699</v>
      </c>
    </row>
    <row r="1198">
      <c r="A1198" s="1">
        <v>1196.0</v>
      </c>
      <c r="B1198" s="4" t="s">
        <v>1776</v>
      </c>
      <c r="C1198" s="5" t="str">
        <f>IFERROR(__xludf.DUMMYFUNCTION("GOOGLETRANSLATE(D:D,""auto"",""en"")"),"National Museum of the Spring Festival closed")</f>
        <v>National Museum of the Spring Festival closed</v>
      </c>
      <c r="D1198" s="4" t="s">
        <v>1849</v>
      </c>
      <c r="E1198" s="4">
        <v>0.0</v>
      </c>
      <c r="F1198" s="4">
        <v>47.0</v>
      </c>
      <c r="G1198" s="4" t="s">
        <v>1850</v>
      </c>
    </row>
    <row r="1199">
      <c r="A1199" s="1">
        <v>1197.0</v>
      </c>
      <c r="B1199" s="4" t="s">
        <v>1776</v>
      </c>
      <c r="C1199" s="5" t="str">
        <f>IFERROR(__xludf.DUMMYFUNCTION("GOOGLETRANSLATE(D:D,""auto"",""en"")"),"Shanghai restart mode Xiaotangshan")</f>
        <v>Shanghai restart mode Xiaotangshan</v>
      </c>
      <c r="D1199" s="4" t="s">
        <v>1851</v>
      </c>
      <c r="E1199" s="4">
        <v>0.0</v>
      </c>
      <c r="F1199" s="4">
        <v>48.0</v>
      </c>
      <c r="G1199" s="4" t="s">
        <v>1852</v>
      </c>
    </row>
    <row r="1200">
      <c r="A1200" s="1">
        <v>1198.0</v>
      </c>
      <c r="B1200" s="4" t="s">
        <v>1776</v>
      </c>
      <c r="C1200" s="5" t="str">
        <f>IFERROR(__xludf.DUMMYFUNCTION("GOOGLETRANSLATE(D:D,""auto"",""en"")"),"Jiangsu emergence of new pneumonia")</f>
        <v>Jiangsu emergence of new pneumonia</v>
      </c>
      <c r="D1200" s="4" t="s">
        <v>1768</v>
      </c>
      <c r="E1200" s="4">
        <v>0.0</v>
      </c>
      <c r="F1200" s="4">
        <v>49.0</v>
      </c>
      <c r="G1200" s="4" t="s">
        <v>1769</v>
      </c>
    </row>
    <row r="1201">
      <c r="A1201" s="1">
        <v>1199.0</v>
      </c>
      <c r="B1201" s="4" t="s">
        <v>1776</v>
      </c>
      <c r="C1201" s="5" t="str">
        <f>IFERROR(__xludf.DUMMYFUNCTION("GOOGLETRANSLATE(D:D,""auto"",""en"")"),"Wuhan places of entertainment closed down")</f>
        <v>Wuhan places of entertainment closed down</v>
      </c>
      <c r="D1201" s="4" t="s">
        <v>1853</v>
      </c>
      <c r="E1201" s="4">
        <v>0.0</v>
      </c>
      <c r="F1201" s="4">
        <v>50.0</v>
      </c>
      <c r="G1201" s="4" t="s">
        <v>1854</v>
      </c>
    </row>
    <row r="1202">
      <c r="A1202" s="1">
        <v>1200.0</v>
      </c>
      <c r="B1202" s="4" t="s">
        <v>1855</v>
      </c>
      <c r="C1202" s="5" t="str">
        <f>IFERROR(__xludf.DUMMYFUNCTION("GOOGLETRANSLATE(D:D,""auto"",""en"")"),"2020 CCTV Spring Festival Evening Year of the Rat")</f>
        <v>2020 CCTV Spring Festival Evening Year of the Rat</v>
      </c>
      <c r="D1202" s="4" t="s">
        <v>1811</v>
      </c>
      <c r="E1202" s="4">
        <v>0.0</v>
      </c>
      <c r="F1202" s="4">
        <v>1.0</v>
      </c>
      <c r="G1202" s="4" t="s">
        <v>1812</v>
      </c>
    </row>
    <row r="1203">
      <c r="A1203" s="1">
        <v>1201.0</v>
      </c>
      <c r="B1203" s="4" t="s">
        <v>1855</v>
      </c>
      <c r="C1203" s="5" t="str">
        <f>IFERROR(__xludf.DUMMYFUNCTION("GOOGLETRANSLATE(D:D,""auto"",""en"")"),"Free headlines exclusive look embarrassing mom")</f>
        <v>Free headlines exclusive look embarrassing mom</v>
      </c>
      <c r="D1203" s="4" t="s">
        <v>1856</v>
      </c>
      <c r="E1203" s="4">
        <v>0.0</v>
      </c>
      <c r="F1203" s="4">
        <v>2.0</v>
      </c>
      <c r="G1203" s="4" t="s">
        <v>1857</v>
      </c>
    </row>
    <row r="1204">
      <c r="A1204" s="1">
        <v>1202.0</v>
      </c>
      <c r="B1204" s="4" t="s">
        <v>1855</v>
      </c>
      <c r="C1204" s="5" t="str">
        <f>IFERROR(__xludf.DUMMYFUNCTION("GOOGLETRANSLATE(D:D,""auto"",""en"")"),"Qamdo 5.1 earthquake")</f>
        <v>Qamdo 5.1 earthquake</v>
      </c>
      <c r="D1204" s="4" t="s">
        <v>1858</v>
      </c>
      <c r="E1204" s="4">
        <v>0.0</v>
      </c>
      <c r="F1204" s="4">
        <v>3.0</v>
      </c>
      <c r="G1204" s="4" t="s">
        <v>1859</v>
      </c>
    </row>
    <row r="1205">
      <c r="A1205" s="1">
        <v>1203.0</v>
      </c>
      <c r="B1205" s="4" t="s">
        <v>1855</v>
      </c>
      <c r="C1205" s="5" t="str">
        <f>IFERROR(__xludf.DUMMYFUNCTION("GOOGLETRANSLATE(D:D,""auto"",""en"")"),"Byte beating donated 200 million")</f>
        <v>Byte beating donated 200 million</v>
      </c>
      <c r="D1205" s="4" t="s">
        <v>1860</v>
      </c>
      <c r="E1205" s="4">
        <v>0.0</v>
      </c>
      <c r="F1205" s="4">
        <v>4.0</v>
      </c>
      <c r="G1205" s="4" t="s">
        <v>1861</v>
      </c>
    </row>
    <row r="1206">
      <c r="A1206" s="1">
        <v>1204.0</v>
      </c>
      <c r="B1206" s="4" t="s">
        <v>1855</v>
      </c>
      <c r="C1206" s="5" t="str">
        <f>IFERROR(__xludf.DUMMYFUNCTION("GOOGLETRANSLATE(D:D,""auto"",""en"")"),"Xiao Zhan Xie Na hug")</f>
        <v>Xiao Zhan Xie Na hug</v>
      </c>
      <c r="D1206" s="4" t="s">
        <v>1862</v>
      </c>
      <c r="E1206" s="4">
        <v>0.0</v>
      </c>
      <c r="F1206" s="4">
        <v>5.0</v>
      </c>
      <c r="G1206" s="4" t="s">
        <v>1863</v>
      </c>
    </row>
    <row r="1207">
      <c r="A1207" s="1">
        <v>1205.0</v>
      </c>
      <c r="B1207" s="4" t="s">
        <v>1855</v>
      </c>
      <c r="C1207" s="5" t="str">
        <f>IFERROR(__xludf.DUMMYFUNCTION("GOOGLETRANSLATE(D:D,""auto"",""en"")"),"Shaanxi is now 9-year-old case")</f>
        <v>Shaanxi is now 9-year-old case</v>
      </c>
      <c r="D1207" s="4" t="s">
        <v>1864</v>
      </c>
      <c r="E1207" s="4">
        <v>0.0</v>
      </c>
      <c r="F1207" s="4">
        <v>6.0</v>
      </c>
      <c r="G1207" s="4" t="s">
        <v>1865</v>
      </c>
    </row>
    <row r="1208">
      <c r="A1208" s="1">
        <v>1206.0</v>
      </c>
      <c r="B1208" s="4" t="s">
        <v>1855</v>
      </c>
      <c r="C1208" s="5" t="str">
        <f>IFERROR(__xludf.DUMMYFUNCTION("GOOGLETRANSLATE(D:D,""auto"",""en"")"),"2020 Spring Festival Evening Dragon TV")</f>
        <v>2020 Spring Festival Evening Dragon TV</v>
      </c>
      <c r="D1208" s="4" t="s">
        <v>1866</v>
      </c>
      <c r="E1208" s="4">
        <v>0.0</v>
      </c>
      <c r="F1208" s="4">
        <v>7.0</v>
      </c>
      <c r="G1208" s="4" t="s">
        <v>1867</v>
      </c>
    </row>
    <row r="1209">
      <c r="A1209" s="1">
        <v>1207.0</v>
      </c>
      <c r="B1209" s="4" t="s">
        <v>1855</v>
      </c>
      <c r="C1209" s="5" t="str">
        <f>IFERROR(__xludf.DUMMYFUNCTION("GOOGLETRANSLATE(D:D,""auto"",""en"")"),"Beijing inter-provincial passenger outage")</f>
        <v>Beijing inter-provincial passenger outage</v>
      </c>
      <c r="D1209" s="4" t="s">
        <v>1868</v>
      </c>
      <c r="E1209" s="4">
        <v>0.0</v>
      </c>
      <c r="F1209" s="4">
        <v>8.0</v>
      </c>
      <c r="G1209" s="4" t="s">
        <v>1869</v>
      </c>
    </row>
    <row r="1210">
      <c r="A1210" s="1">
        <v>1208.0</v>
      </c>
      <c r="B1210" s="4" t="s">
        <v>1855</v>
      </c>
      <c r="C1210" s="5" t="str">
        <f>IFERROR(__xludf.DUMMYFUNCTION("GOOGLETRANSLATE(D:D,""auto"",""en"")"),"Hubei will find out the city the way down")</f>
        <v>Hubei will find out the city the way down</v>
      </c>
      <c r="D1210" s="4" t="s">
        <v>1827</v>
      </c>
      <c r="E1210" s="4">
        <v>0.0</v>
      </c>
      <c r="F1210" s="4">
        <v>9.0</v>
      </c>
      <c r="G1210" s="4" t="s">
        <v>1828</v>
      </c>
    </row>
    <row r="1211">
      <c r="A1211" s="1">
        <v>1209.0</v>
      </c>
      <c r="B1211" s="4" t="s">
        <v>1855</v>
      </c>
      <c r="C1211" s="5" t="str">
        <f>IFERROR(__xludf.DUMMYFUNCTION("GOOGLETRANSLATE(D:D,""auto"",""en"")"),"After the closed city of Wuhan aerial")</f>
        <v>After the closed city of Wuhan aerial</v>
      </c>
      <c r="D1211" s="4" t="s">
        <v>1821</v>
      </c>
      <c r="E1211" s="4">
        <v>0.0</v>
      </c>
      <c r="F1211" s="4">
        <v>10.0</v>
      </c>
      <c r="G1211" s="4" t="s">
        <v>1822</v>
      </c>
    </row>
    <row r="1212">
      <c r="A1212" s="1">
        <v>1210.0</v>
      </c>
      <c r="B1212" s="4" t="s">
        <v>1855</v>
      </c>
      <c r="C1212" s="5" t="str">
        <f>IFERROR(__xludf.DUMMYFUNCTION("GOOGLETRANSLATE(D:D,""auto"",""en"")"),"Wuhan levy 6,000 taxi")</f>
        <v>Wuhan levy 6,000 taxi</v>
      </c>
      <c r="D1212" s="4" t="s">
        <v>1847</v>
      </c>
      <c r="E1212" s="4">
        <v>0.0</v>
      </c>
      <c r="F1212" s="4">
        <v>11.0</v>
      </c>
      <c r="G1212" s="4" t="s">
        <v>1848</v>
      </c>
    </row>
    <row r="1213">
      <c r="A1213" s="1">
        <v>1211.0</v>
      </c>
      <c r="B1213" s="4" t="s">
        <v>1855</v>
      </c>
      <c r="C1213" s="5" t="str">
        <f>IFERROR(__xludf.DUMMYFUNCTION("GOOGLETRANSLATE(D:D,""auto"",""en"")"),"Tong Liya Spring Festival hosted the first show")</f>
        <v>Tong Liya Spring Festival hosted the first show</v>
      </c>
      <c r="D1213" s="4" t="s">
        <v>1870</v>
      </c>
      <c r="E1213" s="4">
        <v>0.0</v>
      </c>
      <c r="F1213" s="4">
        <v>12.0</v>
      </c>
      <c r="G1213" s="4" t="s">
        <v>1871</v>
      </c>
    </row>
    <row r="1214">
      <c r="A1214" s="1">
        <v>1212.0</v>
      </c>
      <c r="B1214" s="4" t="s">
        <v>1855</v>
      </c>
      <c r="C1214" s="5" t="str">
        <f>IFERROR(__xludf.DUMMYFUNCTION("GOOGLETRANSLATE(D:D,""auto"",""en"")"),"Mary Gordon Spring Festival very pregnant belly")</f>
        <v>Mary Gordon Spring Festival very pregnant belly</v>
      </c>
      <c r="D1214" s="4" t="s">
        <v>1872</v>
      </c>
      <c r="E1214" s="4">
        <v>0.0</v>
      </c>
      <c r="F1214" s="4">
        <v>13.0</v>
      </c>
      <c r="G1214" s="4" t="s">
        <v>1873</v>
      </c>
    </row>
    <row r="1215">
      <c r="A1215" s="1">
        <v>1213.0</v>
      </c>
      <c r="B1215" s="4" t="s">
        <v>1855</v>
      </c>
      <c r="C1215" s="5" t="str">
        <f>IFERROR(__xludf.DUMMYFUNCTION("GOOGLETRANSLATE(D:D,""auto"",""en"")"),"Flight 335 passengers isolation")</f>
        <v>Flight 335 passengers isolation</v>
      </c>
      <c r="D1215" s="4" t="s">
        <v>1874</v>
      </c>
      <c r="E1215" s="4">
        <v>0.0</v>
      </c>
      <c r="F1215" s="4">
        <v>14.0</v>
      </c>
      <c r="G1215" s="4" t="s">
        <v>1875</v>
      </c>
    </row>
    <row r="1216">
      <c r="A1216" s="1">
        <v>1214.0</v>
      </c>
      <c r="B1216" s="4" t="s">
        <v>1855</v>
      </c>
      <c r="C1216" s="5" t="str">
        <f>IFERROR(__xludf.DUMMYFUNCTION("GOOGLETRANSLATE(D:D,""auto"",""en"")"),"2 year-old girl diagnosed with pneumonia")</f>
        <v>2 year-old girl diagnosed with pneumonia</v>
      </c>
      <c r="D1216" s="4" t="s">
        <v>1876</v>
      </c>
      <c r="E1216" s="4">
        <v>0.0</v>
      </c>
      <c r="F1216" s="4">
        <v>15.0</v>
      </c>
      <c r="G1216" s="4" t="s">
        <v>1877</v>
      </c>
    </row>
    <row r="1217">
      <c r="A1217" s="1">
        <v>1215.0</v>
      </c>
      <c r="B1217" s="4" t="s">
        <v>1855</v>
      </c>
      <c r="C1217" s="5" t="str">
        <f>IFERROR(__xludf.DUMMYFUNCTION("GOOGLETRANSLATE(D:D,""auto"",""en"")"),"Drug therapy is ready epidemic")</f>
        <v>Drug therapy is ready epidemic</v>
      </c>
      <c r="D1217" s="4" t="s">
        <v>1878</v>
      </c>
      <c r="E1217" s="4">
        <v>0.0</v>
      </c>
      <c r="F1217" s="4">
        <v>16.0</v>
      </c>
      <c r="G1217" s="4" t="s">
        <v>1879</v>
      </c>
    </row>
    <row r="1218">
      <c r="A1218" s="1">
        <v>1216.0</v>
      </c>
      <c r="B1218" s="4" t="s">
        <v>1855</v>
      </c>
      <c r="C1218" s="5" t="str">
        <f>IFERROR(__xludf.DUMMYFUNCTION("GOOGLETRANSLATE(D:D,""auto"",""en"")"),"Exaggerating the number of pneumonia arrested")</f>
        <v>Exaggerating the number of pneumonia arrested</v>
      </c>
      <c r="D1218" s="4" t="s">
        <v>1880</v>
      </c>
      <c r="E1218" s="4">
        <v>0.0</v>
      </c>
      <c r="F1218" s="4">
        <v>17.0</v>
      </c>
      <c r="G1218" s="4" t="s">
        <v>1881</v>
      </c>
    </row>
    <row r="1219">
      <c r="A1219" s="1">
        <v>1217.0</v>
      </c>
      <c r="B1219" s="4" t="s">
        <v>1855</v>
      </c>
      <c r="C1219" s="5" t="str">
        <f>IFERROR(__xludf.DUMMYFUNCTION("GOOGLETRANSLATE(D:D,""auto"",""en"")"),"Wuhan implementation of the ban on vehicle line")</f>
        <v>Wuhan implementation of the ban on vehicle line</v>
      </c>
      <c r="D1219" s="4" t="s">
        <v>1882</v>
      </c>
      <c r="E1219" s="4">
        <v>0.0</v>
      </c>
      <c r="F1219" s="4">
        <v>18.0</v>
      </c>
      <c r="G1219" s="4" t="s">
        <v>1883</v>
      </c>
    </row>
    <row r="1220">
      <c r="A1220" s="1">
        <v>1218.0</v>
      </c>
      <c r="B1220" s="4" t="s">
        <v>1855</v>
      </c>
      <c r="C1220" s="5" t="str">
        <f>IFERROR(__xludf.DUMMYFUNCTION("GOOGLETRANSLATE(D:D,""auto"",""en"")"),"Sichuan prohibit mass dinner")</f>
        <v>Sichuan prohibit mass dinner</v>
      </c>
      <c r="D1220" s="4" t="s">
        <v>1884</v>
      </c>
      <c r="E1220" s="4">
        <v>0.0</v>
      </c>
      <c r="F1220" s="4">
        <v>19.0</v>
      </c>
      <c r="G1220" s="4" t="s">
        <v>1885</v>
      </c>
    </row>
    <row r="1221">
      <c r="A1221" s="1">
        <v>1219.0</v>
      </c>
      <c r="B1221" s="4" t="s">
        <v>1855</v>
      </c>
      <c r="C1221" s="5" t="str">
        <f>IFERROR(__xludf.DUMMYFUNCTION("GOOGLETRANSLATE(D:D,""auto"",""en"")"),"The second pneumonia epidemic on the rise")</f>
        <v>The second pneumonia epidemic on the rise</v>
      </c>
      <c r="D1221" s="4" t="s">
        <v>1809</v>
      </c>
      <c r="E1221" s="4">
        <v>0.0</v>
      </c>
      <c r="F1221" s="4">
        <v>20.0</v>
      </c>
      <c r="G1221" s="4" t="s">
        <v>1810</v>
      </c>
    </row>
    <row r="1222">
      <c r="A1222" s="1">
        <v>1220.0</v>
      </c>
      <c r="B1222" s="4" t="s">
        <v>1855</v>
      </c>
      <c r="C1222" s="5" t="str">
        <f>IFERROR(__xludf.DUMMYFUNCTION("GOOGLETRANSLATE(D:D,""auto"",""en"")"),"Personnel are required to register to return to Beijing")</f>
        <v>Personnel are required to register to return to Beijing</v>
      </c>
      <c r="D1222" s="4" t="s">
        <v>1823</v>
      </c>
      <c r="E1222" s="4">
        <v>0.0</v>
      </c>
      <c r="F1222" s="4">
        <v>21.0</v>
      </c>
      <c r="G1222" s="4" t="s">
        <v>1824</v>
      </c>
    </row>
    <row r="1223">
      <c r="A1223" s="1">
        <v>1221.0</v>
      </c>
      <c r="B1223" s="4" t="s">
        <v>1855</v>
      </c>
      <c r="C1223" s="5" t="str">
        <f>IFERROR(__xludf.DUMMYFUNCTION("GOOGLETRANSLATE(D:D,""auto"",""en"")"),"Tong Liya issued emotion")</f>
        <v>Tong Liya issued emotion</v>
      </c>
      <c r="D1223" s="4" t="s">
        <v>1886</v>
      </c>
      <c r="E1223" s="4">
        <v>0.0</v>
      </c>
      <c r="F1223" s="4">
        <v>22.0</v>
      </c>
      <c r="G1223" s="4" t="s">
        <v>1887</v>
      </c>
    </row>
    <row r="1224">
      <c r="A1224" s="1">
        <v>1222.0</v>
      </c>
      <c r="B1224" s="4" t="s">
        <v>1855</v>
      </c>
      <c r="C1224" s="5" t="str">
        <f>IFERROR(__xludf.DUMMYFUNCTION("GOOGLETRANSLATE(D:D,""auto"",""en"")"),"History of the most embarrassed New Year")</f>
        <v>History of the most embarrassed New Year</v>
      </c>
      <c r="D1224" s="4" t="s">
        <v>1888</v>
      </c>
      <c r="E1224" s="4">
        <v>0.0</v>
      </c>
      <c r="F1224" s="4">
        <v>23.0</v>
      </c>
      <c r="G1224" s="4" t="s">
        <v>1889</v>
      </c>
    </row>
    <row r="1225">
      <c r="A1225" s="1">
        <v>1223.0</v>
      </c>
      <c r="B1225" s="4" t="s">
        <v>1855</v>
      </c>
      <c r="C1225" s="5" t="str">
        <f>IFERROR(__xludf.DUMMYFUNCTION("GOOGLETRANSLATE(D:D,""auto"",""en"")"),"Qin Lan Zhang Ruoyun play husband and wife")</f>
        <v>Qin Lan Zhang Ruoyun play husband and wife</v>
      </c>
      <c r="D1225" s="4" t="s">
        <v>1890</v>
      </c>
      <c r="E1225" s="4">
        <v>0.0</v>
      </c>
      <c r="F1225" s="4">
        <v>24.0</v>
      </c>
      <c r="G1225" s="4" t="s">
        <v>1891</v>
      </c>
    </row>
    <row r="1226">
      <c r="A1226" s="1">
        <v>1224.0</v>
      </c>
      <c r="B1226" s="4" t="s">
        <v>1855</v>
      </c>
      <c r="C1226" s="5" t="str">
        <f>IFERROR(__xludf.DUMMYFUNCTION("GOOGLETRANSLATE(D:D,""auto"",""en"")"),"Hubei Daily issued an apology")</f>
        <v>Hubei Daily issued an apology</v>
      </c>
      <c r="D1226" s="4" t="s">
        <v>1892</v>
      </c>
      <c r="E1226" s="4">
        <v>0.0</v>
      </c>
      <c r="F1226" s="4">
        <v>25.0</v>
      </c>
      <c r="G1226" s="4" t="s">
        <v>1893</v>
      </c>
    </row>
    <row r="1227">
      <c r="A1227" s="1">
        <v>1225.0</v>
      </c>
      <c r="B1227" s="4" t="s">
        <v>1855</v>
      </c>
      <c r="C1227" s="5" t="str">
        <f>IFERROR(__xludf.DUMMYFUNCTION("GOOGLETRANSLATE(D:D,""auto"",""en"")"),"Closed city of Wuhan legal basis")</f>
        <v>Closed city of Wuhan legal basis</v>
      </c>
      <c r="D1227" s="4" t="s">
        <v>1894</v>
      </c>
      <c r="E1227" s="4">
        <v>0.0</v>
      </c>
      <c r="F1227" s="4">
        <v>26.0</v>
      </c>
      <c r="G1227" s="4" t="s">
        <v>1895</v>
      </c>
    </row>
    <row r="1228">
      <c r="A1228" s="1">
        <v>1226.0</v>
      </c>
      <c r="B1228" s="4" t="s">
        <v>1855</v>
      </c>
      <c r="C1228" s="5" t="str">
        <f>IFERROR(__xludf.DUMMYFUNCTION("GOOGLETRANSLATE(D:D,""auto"",""en"")"),"Zhong Nanshan infected Department of rumors")</f>
        <v>Zhong Nanshan infected Department of rumors</v>
      </c>
      <c r="D1228" s="4" t="s">
        <v>1896</v>
      </c>
      <c r="E1228" s="4">
        <v>0.0</v>
      </c>
      <c r="F1228" s="4">
        <v>27.0</v>
      </c>
      <c r="G1228" s="4" t="s">
        <v>1897</v>
      </c>
    </row>
    <row r="1229">
      <c r="A1229" s="1">
        <v>1227.0</v>
      </c>
      <c r="B1229" s="4" t="s">
        <v>1855</v>
      </c>
      <c r="C1229" s="5" t="str">
        <f>IFERROR(__xludf.DUMMYFUNCTION("GOOGLETRANSLATE(D:D,""auto"",""en"")"),"Guangdong TV Spring Festival 2020")</f>
        <v>Guangdong TV Spring Festival 2020</v>
      </c>
      <c r="D1229" s="4" t="s">
        <v>1898</v>
      </c>
      <c r="E1229" s="4">
        <v>0.0</v>
      </c>
      <c r="F1229" s="4">
        <v>28.0</v>
      </c>
      <c r="G1229" s="4" t="s">
        <v>1899</v>
      </c>
    </row>
    <row r="1230">
      <c r="A1230" s="1">
        <v>1228.0</v>
      </c>
      <c r="B1230" s="4" t="s">
        <v>1855</v>
      </c>
      <c r="C1230" s="5" t="str">
        <f>IFERROR(__xludf.DUMMYFUNCTION("GOOGLETRANSLATE(D:D,""auto"",""en"")"),"Existing medications epidemic")</f>
        <v>Existing medications epidemic</v>
      </c>
      <c r="D1230" s="4" t="s">
        <v>1900</v>
      </c>
      <c r="E1230" s="4">
        <v>0.0</v>
      </c>
      <c r="F1230" s="4">
        <v>29.0</v>
      </c>
      <c r="G1230" s="4" t="s">
        <v>1901</v>
      </c>
    </row>
    <row r="1231">
      <c r="A1231" s="1">
        <v>1229.0</v>
      </c>
      <c r="B1231" s="4" t="s">
        <v>1855</v>
      </c>
      <c r="C1231" s="5" t="str">
        <f>IFERROR(__xludf.DUMMYFUNCTION("GOOGLETRANSLATE(D:D,""auto"",""en"")"),"Wuhan full investigation fever")</f>
        <v>Wuhan full investigation fever</v>
      </c>
      <c r="D1231" s="4" t="s">
        <v>1835</v>
      </c>
      <c r="E1231" s="4">
        <v>0.0</v>
      </c>
      <c r="F1231" s="4">
        <v>30.0</v>
      </c>
      <c r="G1231" s="4" t="s">
        <v>1836</v>
      </c>
    </row>
    <row r="1232">
      <c r="A1232" s="1">
        <v>1230.0</v>
      </c>
      <c r="B1232" s="4" t="s">
        <v>1855</v>
      </c>
      <c r="C1232" s="5" t="str">
        <f>IFERROR(__xludf.DUMMYFUNCTION("GOOGLETRANSLATE(D:D,""auto"",""en"")"),"Trump issued a document praised China")</f>
        <v>Trump issued a document praised China</v>
      </c>
      <c r="D1232" s="4" t="s">
        <v>1902</v>
      </c>
      <c r="E1232" s="4">
        <v>0.0</v>
      </c>
      <c r="F1232" s="4">
        <v>31.0</v>
      </c>
      <c r="G1232" s="4" t="s">
        <v>1903</v>
      </c>
    </row>
    <row r="1233">
      <c r="A1233" s="1">
        <v>1231.0</v>
      </c>
      <c r="B1233" s="4" t="s">
        <v>1855</v>
      </c>
      <c r="C1233" s="5" t="str">
        <f>IFERROR(__xludf.DUMMYFUNCTION("GOOGLETRANSLATE(D:D,""auto"",""en"")"),"30 kinds of drug or active")</f>
        <v>30 kinds of drug or active</v>
      </c>
      <c r="D1233" s="4" t="s">
        <v>1904</v>
      </c>
      <c r="E1233" s="4">
        <v>0.0</v>
      </c>
      <c r="F1233" s="4">
        <v>32.0</v>
      </c>
      <c r="G1233" s="4" t="s">
        <v>1905</v>
      </c>
    </row>
    <row r="1234">
      <c r="A1234" s="1">
        <v>1232.0</v>
      </c>
      <c r="B1234" s="4" t="s">
        <v>1855</v>
      </c>
      <c r="C1234" s="5" t="str">
        <f>IFERROR(__xludf.DUMMYFUNCTION("GOOGLETRANSLATE(D:D,""auto"",""en"")"),"New pneumonia have been cured 38 cases")</f>
        <v>New pneumonia have been cured 38 cases</v>
      </c>
      <c r="D1234" s="4" t="s">
        <v>1906</v>
      </c>
      <c r="E1234" s="4">
        <v>0.0</v>
      </c>
      <c r="F1234" s="4">
        <v>33.0</v>
      </c>
      <c r="G1234" s="4" t="s">
        <v>1907</v>
      </c>
    </row>
    <row r="1235">
      <c r="A1235" s="1">
        <v>1233.0</v>
      </c>
      <c r="B1235" s="4" t="s">
        <v>1855</v>
      </c>
      <c r="C1235" s="5" t="str">
        <f>IFERROR(__xludf.DUMMYFUNCTION("GOOGLETRANSLATE(D:D,""auto"",""en"")"),"Tu Lei, a family of three with fever")</f>
        <v>Tu Lei, a family of three with fever</v>
      </c>
      <c r="D1235" s="4" t="s">
        <v>1797</v>
      </c>
      <c r="E1235" s="4">
        <v>0.0</v>
      </c>
      <c r="F1235" s="4">
        <v>34.0</v>
      </c>
      <c r="G1235" s="4" t="s">
        <v>1798</v>
      </c>
    </row>
    <row r="1236">
      <c r="A1236" s="1">
        <v>1234.0</v>
      </c>
      <c r="B1236" s="4" t="s">
        <v>1855</v>
      </c>
      <c r="C1236" s="5" t="str">
        <f>IFERROR(__xludf.DUMMYFUNCTION("GOOGLETRANSLATE(D:D,""auto"",""en"")"),"Song Zhongji traced new romance")</f>
        <v>Song Zhongji traced new romance</v>
      </c>
      <c r="D1236" s="4" t="s">
        <v>1795</v>
      </c>
      <c r="E1236" s="4">
        <v>0.0</v>
      </c>
      <c r="F1236" s="4">
        <v>35.0</v>
      </c>
      <c r="G1236" s="4" t="s">
        <v>1796</v>
      </c>
    </row>
    <row r="1237">
      <c r="A1237" s="1">
        <v>1235.0</v>
      </c>
      <c r="B1237" s="4" t="s">
        <v>1855</v>
      </c>
      <c r="C1237" s="5" t="str">
        <f>IFERROR(__xludf.DUMMYFUNCTION("GOOGLETRANSLATE(D:D,""auto"",""en"")"),"Wuhan 4 upgrade epidemic prevention focus")</f>
        <v>Wuhan 4 upgrade epidemic prevention focus</v>
      </c>
      <c r="D1237" s="4" t="s">
        <v>1774</v>
      </c>
      <c r="E1237" s="4">
        <v>0.0</v>
      </c>
      <c r="F1237" s="4">
        <v>36.0</v>
      </c>
      <c r="G1237" s="4" t="s">
        <v>1775</v>
      </c>
    </row>
    <row r="1238">
      <c r="A1238" s="1">
        <v>1236.0</v>
      </c>
      <c r="B1238" s="4" t="s">
        <v>1855</v>
      </c>
      <c r="C1238" s="5" t="str">
        <f>IFERROR(__xludf.DUMMYFUNCTION("GOOGLETRANSLATE(D:D,""auto"",""en"")"),"New pneumonia have been cured 39 cases")</f>
        <v>New pneumonia have been cured 39 cases</v>
      </c>
      <c r="D1238" s="4" t="s">
        <v>1908</v>
      </c>
      <c r="E1238" s="4">
        <v>0.0</v>
      </c>
      <c r="F1238" s="4">
        <v>37.0</v>
      </c>
      <c r="G1238" s="4" t="s">
        <v>1909</v>
      </c>
    </row>
    <row r="1239">
      <c r="A1239" s="1">
        <v>1237.0</v>
      </c>
      <c r="B1239" s="4" t="s">
        <v>1855</v>
      </c>
      <c r="C1239" s="5" t="str">
        <f>IFERROR(__xludf.DUMMYFUNCTION("GOOGLETRANSLATE(D:D,""auto"",""en"")"),"Wuhan to build Xiaotangshan Hospital")</f>
        <v>Wuhan to build Xiaotangshan Hospital</v>
      </c>
      <c r="D1239" s="4" t="s">
        <v>1910</v>
      </c>
      <c r="E1239" s="4">
        <v>0.0</v>
      </c>
      <c r="F1239" s="4">
        <v>38.0</v>
      </c>
      <c r="G1239" s="4" t="s">
        <v>1911</v>
      </c>
    </row>
    <row r="1240">
      <c r="A1240" s="1">
        <v>1238.0</v>
      </c>
      <c r="B1240" s="4" t="s">
        <v>1855</v>
      </c>
      <c r="C1240" s="5" t="str">
        <f>IFERROR(__xludf.DUMMYFUNCTION("GOOGLETRANSLATE(D:D,""auto"",""en"")"),"Zhang Yixing Spring Festival backflip")</f>
        <v>Zhang Yixing Spring Festival backflip</v>
      </c>
      <c r="D1240" s="4" t="s">
        <v>1912</v>
      </c>
      <c r="E1240" s="4">
        <v>0.0</v>
      </c>
      <c r="F1240" s="4">
        <v>39.0</v>
      </c>
      <c r="G1240" s="4" t="s">
        <v>1913</v>
      </c>
    </row>
    <row r="1241">
      <c r="A1241" s="1">
        <v>1239.0</v>
      </c>
      <c r="B1241" s="4" t="s">
        <v>1855</v>
      </c>
      <c r="C1241" s="5" t="str">
        <f>IFERROR(__xludf.DUMMYFUNCTION("GOOGLETRANSLATE(D:D,""auto"",""en"")"),"Henan release prevention messages")</f>
        <v>Henan release prevention messages</v>
      </c>
      <c r="D1241" s="4" t="s">
        <v>1819</v>
      </c>
      <c r="E1241" s="4">
        <v>0.0</v>
      </c>
      <c r="F1241" s="4">
        <v>40.0</v>
      </c>
      <c r="G1241" s="4" t="s">
        <v>1820</v>
      </c>
    </row>
    <row r="1242">
      <c r="A1242" s="1">
        <v>1240.0</v>
      </c>
      <c r="B1242" s="4" t="s">
        <v>1855</v>
      </c>
      <c r="C1242" s="5" t="str">
        <f>IFERROR(__xludf.DUMMYFUNCTION("GOOGLETRANSLATE(D:D,""auto"",""en"")"),"Malicious be sentenced to flee Wuhan")</f>
        <v>Malicious be sentenced to flee Wuhan</v>
      </c>
      <c r="D1242" s="4" t="s">
        <v>1799</v>
      </c>
      <c r="E1242" s="4">
        <v>0.0</v>
      </c>
      <c r="F1242" s="4">
        <v>41.0</v>
      </c>
      <c r="G1242" s="4" t="s">
        <v>1800</v>
      </c>
    </row>
    <row r="1243">
      <c r="A1243" s="1">
        <v>1241.0</v>
      </c>
      <c r="B1243" s="4" t="s">
        <v>1855</v>
      </c>
      <c r="C1243" s="5" t="str">
        <f>IFERROR(__xludf.DUMMYFUNCTION("GOOGLETRANSLATE(D:D,""auto"",""en"")"),"Qinghai Province confirmed the first case of pneumonia")</f>
        <v>Qinghai Province confirmed the first case of pneumonia</v>
      </c>
      <c r="D1243" s="4" t="s">
        <v>1914</v>
      </c>
      <c r="E1243" s="4">
        <v>0.0</v>
      </c>
      <c r="F1243" s="4">
        <v>42.0</v>
      </c>
      <c r="G1243" s="4" t="s">
        <v>1915</v>
      </c>
    </row>
    <row r="1244">
      <c r="A1244" s="1">
        <v>1242.0</v>
      </c>
      <c r="B1244" s="4" t="s">
        <v>1855</v>
      </c>
      <c r="C1244" s="5" t="str">
        <f>IFERROR(__xludf.DUMMYFUNCTION("GOOGLETRANSLATE(D:D,""auto"",""en"")"),"Hubei multi-city declared closed city")</f>
        <v>Hubei multi-city declared closed city</v>
      </c>
      <c r="D1244" s="4" t="s">
        <v>1916</v>
      </c>
      <c r="E1244" s="4">
        <v>0.0</v>
      </c>
      <c r="F1244" s="4">
        <v>43.0</v>
      </c>
      <c r="G1244" s="4" t="s">
        <v>1917</v>
      </c>
    </row>
    <row r="1245">
      <c r="A1245" s="1">
        <v>1243.0</v>
      </c>
      <c r="B1245" s="4" t="s">
        <v>1855</v>
      </c>
      <c r="C1245" s="5" t="str">
        <f>IFERROR(__xludf.DUMMYFUNCTION("GOOGLETRANSLATE(D:D,""auto"",""en"")"),"Yiyangqianxi Spring Festival modeling")</f>
        <v>Yiyangqianxi Spring Festival modeling</v>
      </c>
      <c r="D1245" s="4" t="s">
        <v>1918</v>
      </c>
      <c r="E1245" s="4">
        <v>0.0</v>
      </c>
      <c r="F1245" s="4">
        <v>44.0</v>
      </c>
      <c r="G1245" s="4" t="s">
        <v>1919</v>
      </c>
    </row>
    <row r="1246">
      <c r="A1246" s="1">
        <v>1244.0</v>
      </c>
      <c r="B1246" s="4" t="s">
        <v>1855</v>
      </c>
      <c r="C1246" s="5" t="str">
        <f>IFERROR(__xludf.DUMMYFUNCTION("GOOGLETRANSLATE(D:D,""auto"",""en"")"),"The doctor arrived in Shanghai, Wuhan")</f>
        <v>The doctor arrived in Shanghai, Wuhan</v>
      </c>
      <c r="D1246" s="4" t="s">
        <v>1920</v>
      </c>
      <c r="E1246" s="4">
        <v>0.0</v>
      </c>
      <c r="F1246" s="4">
        <v>45.0</v>
      </c>
      <c r="G1246" s="4" t="s">
        <v>1921</v>
      </c>
    </row>
    <row r="1247">
      <c r="A1247" s="1">
        <v>1245.0</v>
      </c>
      <c r="B1247" s="4" t="s">
        <v>1855</v>
      </c>
      <c r="C1247" s="5" t="str">
        <f>IFERROR(__xludf.DUMMYFUNCTION("GOOGLETRANSLATE(D:D,""auto"",""en"")"),"Wang Zhong Nanshan GF evaluation")</f>
        <v>Wang Zhong Nanshan GF evaluation</v>
      </c>
      <c r="D1247" s="4" t="s">
        <v>1787</v>
      </c>
      <c r="E1247" s="4">
        <v>0.0</v>
      </c>
      <c r="F1247" s="4">
        <v>46.0</v>
      </c>
      <c r="G1247" s="4" t="s">
        <v>1788</v>
      </c>
    </row>
    <row r="1248">
      <c r="A1248" s="1">
        <v>1246.0</v>
      </c>
      <c r="B1248" s="4" t="s">
        <v>1855</v>
      </c>
      <c r="C1248" s="5" t="str">
        <f>IFERROR(__xludf.DUMMYFUNCTION("GOOGLETRANSLATE(D:D,""auto"",""en"")"),"Beijing official rumor road closures")</f>
        <v>Beijing official rumor road closures</v>
      </c>
      <c r="D1248" s="4" t="s">
        <v>1922</v>
      </c>
      <c r="E1248" s="4">
        <v>0.0</v>
      </c>
      <c r="F1248" s="4">
        <v>47.0</v>
      </c>
      <c r="G1248" s="4" t="s">
        <v>1923</v>
      </c>
    </row>
    <row r="1249">
      <c r="A1249" s="1">
        <v>1247.0</v>
      </c>
      <c r="B1249" s="4" t="s">
        <v>1855</v>
      </c>
      <c r="C1249" s="5" t="str">
        <f>IFERROR(__xludf.DUMMYFUNCTION("GOOGLETRANSLATE(D:D,""auto"",""en"")"),"2020 Southeast TV Spring Festival")</f>
        <v>2020 Southeast TV Spring Festival</v>
      </c>
      <c r="D1249" s="4" t="s">
        <v>1924</v>
      </c>
      <c r="E1249" s="4">
        <v>0.0</v>
      </c>
      <c r="F1249" s="4">
        <v>48.0</v>
      </c>
      <c r="G1249" s="4" t="s">
        <v>1925</v>
      </c>
    </row>
    <row r="1250">
      <c r="A1250" s="1">
        <v>1248.0</v>
      </c>
      <c r="B1250" s="4" t="s">
        <v>1855</v>
      </c>
      <c r="C1250" s="5" t="str">
        <f>IFERROR(__xludf.DUMMYFUNCTION("GOOGLETRANSLATE(D:D,""auto"",""en"")"),"Wuhan nurse circle of friends")</f>
        <v>Wuhan nurse circle of friends</v>
      </c>
      <c r="D1250" s="4" t="s">
        <v>1791</v>
      </c>
      <c r="E1250" s="4">
        <v>0.0</v>
      </c>
      <c r="F1250" s="4">
        <v>49.0</v>
      </c>
      <c r="G1250" s="4" t="s">
        <v>1792</v>
      </c>
    </row>
    <row r="1251">
      <c r="A1251" s="1">
        <v>1249.0</v>
      </c>
      <c r="B1251" s="4" t="s">
        <v>1855</v>
      </c>
      <c r="C1251" s="5" t="str">
        <f>IFERROR(__xludf.DUMMYFUNCTION("GOOGLETRANSLATE(D:D,""auto"",""en"")"),"New Year's Eve severe isolation ward")</f>
        <v>New Year's Eve severe isolation ward</v>
      </c>
      <c r="D1251" s="4" t="s">
        <v>1926</v>
      </c>
      <c r="E1251" s="4">
        <v>0.0</v>
      </c>
      <c r="F1251" s="4">
        <v>50.0</v>
      </c>
      <c r="G1251" s="4" t="s">
        <v>1927</v>
      </c>
    </row>
    <row r="1252">
      <c r="A1252" s="1">
        <v>1250.0</v>
      </c>
      <c r="B1252" s="4" t="s">
        <v>1928</v>
      </c>
      <c r="C1252" s="5" t="str">
        <f>IFERROR(__xludf.DUMMYFUNCTION("GOOGLETRANSLATE(D:D,""auto"",""en"")"),"The latest outbreak Map")</f>
        <v>The latest outbreak Map</v>
      </c>
      <c r="D1252" s="4" t="s">
        <v>1929</v>
      </c>
      <c r="E1252" s="4">
        <v>0.0</v>
      </c>
      <c r="F1252" s="4">
        <v>1.0</v>
      </c>
      <c r="G1252" s="4" t="s">
        <v>1930</v>
      </c>
    </row>
    <row r="1253">
      <c r="A1253" s="1">
        <v>1251.0</v>
      </c>
      <c r="B1253" s="4" t="s">
        <v>1928</v>
      </c>
      <c r="C1253" s="5" t="str">
        <f>IFERROR(__xludf.DUMMYFUNCTION("GOOGLETRANSLATE(D:D,""auto"",""en"")"),"US charter flights to evacuate Wuhan")</f>
        <v>US charter flights to evacuate Wuhan</v>
      </c>
      <c r="D1253" s="4" t="s">
        <v>1931</v>
      </c>
      <c r="E1253" s="4">
        <v>0.0</v>
      </c>
      <c r="F1253" s="4">
        <v>2.0</v>
      </c>
      <c r="G1253" s="4" t="s">
        <v>1932</v>
      </c>
    </row>
    <row r="1254">
      <c r="A1254" s="1">
        <v>1252.0</v>
      </c>
      <c r="B1254" s="4" t="s">
        <v>1928</v>
      </c>
      <c r="C1254" s="5" t="str">
        <f>IFERROR(__xludf.DUMMYFUNCTION("GOOGLETRANSLATE(D:D,""auto"",""en"")"),"Wuhan ban the transport sector")</f>
        <v>Wuhan ban the transport sector</v>
      </c>
      <c r="D1254" s="4" t="s">
        <v>1933</v>
      </c>
      <c r="E1254" s="4">
        <v>0.0</v>
      </c>
      <c r="F1254" s="4">
        <v>3.0</v>
      </c>
      <c r="G1254" s="4" t="s">
        <v>1934</v>
      </c>
    </row>
    <row r="1255">
      <c r="A1255" s="1">
        <v>1253.0</v>
      </c>
      <c r="B1255" s="4" t="s">
        <v>1928</v>
      </c>
      <c r="C1255" s="5" t="str">
        <f>IFERROR(__xludf.DUMMYFUNCTION("GOOGLETRANSLATE(D:D,""auto"",""en"")"),"Beijing inter-provincial passenger outage")</f>
        <v>Beijing inter-provincial passenger outage</v>
      </c>
      <c r="D1255" s="4" t="s">
        <v>1868</v>
      </c>
      <c r="E1255" s="4">
        <v>0.0</v>
      </c>
      <c r="F1255" s="4">
        <v>4.0</v>
      </c>
      <c r="G1255" s="4" t="s">
        <v>1869</v>
      </c>
    </row>
    <row r="1256">
      <c r="A1256" s="1">
        <v>1254.0</v>
      </c>
      <c r="B1256" s="4" t="s">
        <v>1928</v>
      </c>
      <c r="C1256" s="5" t="str">
        <f>IFERROR(__xludf.DUMMYFUNCTION("GOOGLETRANSLATE(D:D,""auto"",""en"")"),"Virus or source horseshoe bat")</f>
        <v>Virus or source horseshoe bat</v>
      </c>
      <c r="D1256" s="4" t="s">
        <v>1935</v>
      </c>
      <c r="E1256" s="4">
        <v>0.0</v>
      </c>
      <c r="F1256" s="4">
        <v>5.0</v>
      </c>
      <c r="G1256" s="4" t="s">
        <v>1936</v>
      </c>
    </row>
    <row r="1257">
      <c r="A1257" s="1">
        <v>1255.0</v>
      </c>
      <c r="B1257" s="4" t="s">
        <v>1928</v>
      </c>
      <c r="C1257" s="5" t="str">
        <f>IFERROR(__xludf.DUMMYFUNCTION("GOOGLETRANSLATE(D:D,""auto"",""en"")"),"Wuhan Taking a loudspeaker night")</f>
        <v>Wuhan Taking a loudspeaker night</v>
      </c>
      <c r="D1257" s="4" t="s">
        <v>1937</v>
      </c>
      <c r="E1257" s="4">
        <v>0.0</v>
      </c>
      <c r="F1257" s="4">
        <v>6.0</v>
      </c>
      <c r="G1257" s="4" t="s">
        <v>1938</v>
      </c>
    </row>
    <row r="1258">
      <c r="A1258" s="1">
        <v>1256.0</v>
      </c>
      <c r="B1258" s="4" t="s">
        <v>1928</v>
      </c>
      <c r="C1258" s="5" t="str">
        <f>IFERROR(__xludf.DUMMYFUNCTION("GOOGLETRANSLATE(D:D,""auto"",""en"")"),"Wuhan implementation of the ban on vehicle line")</f>
        <v>Wuhan implementation of the ban on vehicle line</v>
      </c>
      <c r="D1258" s="4" t="s">
        <v>1882</v>
      </c>
      <c r="E1258" s="4">
        <v>0.0</v>
      </c>
      <c r="F1258" s="4">
        <v>7.0</v>
      </c>
      <c r="G1258" s="4" t="s">
        <v>1883</v>
      </c>
    </row>
    <row r="1259">
      <c r="A1259" s="1">
        <v>1257.0</v>
      </c>
      <c r="B1259" s="4" t="s">
        <v>1928</v>
      </c>
      <c r="C1259" s="5" t="str">
        <f>IFERROR(__xludf.DUMMYFUNCTION("GOOGLETRANSLATE(D:D,""auto"",""en"")"),"Zhejiang Expressway traffic normal")</f>
        <v>Zhejiang Expressway traffic normal</v>
      </c>
      <c r="D1259" s="4" t="s">
        <v>1939</v>
      </c>
      <c r="E1259" s="4">
        <v>0.0</v>
      </c>
      <c r="F1259" s="4">
        <v>8.0</v>
      </c>
      <c r="G1259" s="4" t="s">
        <v>1940</v>
      </c>
    </row>
    <row r="1260">
      <c r="A1260" s="1">
        <v>1258.0</v>
      </c>
      <c r="B1260" s="4" t="s">
        <v>1928</v>
      </c>
      <c r="C1260" s="5" t="str">
        <f>IFERROR(__xludf.DUMMYFUNCTION("GOOGLETRANSLATE(D:D,""auto"",""en"")"),"Wuhan ICU doctors wish")</f>
        <v>Wuhan ICU doctors wish</v>
      </c>
      <c r="D1260" s="4" t="s">
        <v>1941</v>
      </c>
      <c r="E1260" s="4">
        <v>0.0</v>
      </c>
      <c r="F1260" s="4">
        <v>9.0</v>
      </c>
      <c r="G1260" s="4" t="s">
        <v>1942</v>
      </c>
    </row>
    <row r="1261">
      <c r="A1261" s="1">
        <v>1259.0</v>
      </c>
      <c r="B1261" s="4" t="s">
        <v>1928</v>
      </c>
      <c r="C1261" s="5" t="str">
        <f>IFERROR(__xludf.DUMMYFUNCTION("GOOGLETRANSLATE(D:D,""auto"",""en"")"),"Shanxi, China and Pakistan to find a full passenger")</f>
        <v>Shanxi, China and Pakistan to find a full passenger</v>
      </c>
      <c r="D1261" s="4" t="s">
        <v>1943</v>
      </c>
      <c r="E1261" s="4">
        <v>0.0</v>
      </c>
      <c r="F1261" s="4">
        <v>10.0</v>
      </c>
      <c r="G1261" s="4" t="s">
        <v>1944</v>
      </c>
    </row>
    <row r="1262">
      <c r="A1262" s="1">
        <v>1260.0</v>
      </c>
      <c r="B1262" s="4" t="s">
        <v>1928</v>
      </c>
      <c r="C1262" s="5" t="str">
        <f>IFERROR(__xludf.DUMMYFUNCTION("GOOGLETRANSLATE(D:D,""auto"",""en"")"),"Vulcan mountain military handed over management")</f>
        <v>Vulcan mountain military handed over management</v>
      </c>
      <c r="D1262" s="4" t="s">
        <v>1945</v>
      </c>
      <c r="E1262" s="4">
        <v>0.0</v>
      </c>
      <c r="F1262" s="4">
        <v>11.0</v>
      </c>
      <c r="G1262" s="4" t="s">
        <v>1946</v>
      </c>
    </row>
    <row r="1263">
      <c r="A1263" s="1">
        <v>1261.0</v>
      </c>
      <c r="B1263" s="4" t="s">
        <v>1928</v>
      </c>
      <c r="C1263" s="5" t="str">
        <f>IFERROR(__xludf.DUMMYFUNCTION("GOOGLETRANSLATE(D:D,""auto"",""en"")"),"Shandong pause interprovincial passenger")</f>
        <v>Shandong pause interprovincial passenger</v>
      </c>
      <c r="D1263" s="4" t="s">
        <v>1947</v>
      </c>
      <c r="E1263" s="4">
        <v>0.0</v>
      </c>
      <c r="F1263" s="4">
        <v>12.0</v>
      </c>
      <c r="G1263" s="4" t="s">
        <v>1948</v>
      </c>
    </row>
    <row r="1264">
      <c r="A1264" s="1">
        <v>1262.0</v>
      </c>
      <c r="B1264" s="4" t="s">
        <v>1928</v>
      </c>
      <c r="C1264" s="5" t="str">
        <f>IFERROR(__xludf.DUMMYFUNCTION("GOOGLETRANSLATE(D:D,""auto"",""en"")"),"CDC is developing a vaccine")</f>
        <v>CDC is developing a vaccine</v>
      </c>
      <c r="D1264" s="4" t="s">
        <v>1949</v>
      </c>
      <c r="E1264" s="4">
        <v>0.0</v>
      </c>
      <c r="F1264" s="4">
        <v>13.0</v>
      </c>
      <c r="G1264" s="4" t="s">
        <v>1950</v>
      </c>
    </row>
    <row r="1265">
      <c r="A1265" s="1">
        <v>1263.0</v>
      </c>
      <c r="B1265" s="4" t="s">
        <v>1928</v>
      </c>
      <c r="C1265" s="5" t="str">
        <f>IFERROR(__xludf.DUMMYFUNCTION("GOOGLETRANSLATE(D:D,""auto"",""en"")"),"Send epidemic rumor permanent title")</f>
        <v>Send epidemic rumor permanent title</v>
      </c>
      <c r="D1265" s="4" t="s">
        <v>1951</v>
      </c>
      <c r="E1265" s="4">
        <v>0.0</v>
      </c>
      <c r="F1265" s="4">
        <v>14.0</v>
      </c>
      <c r="G1265" s="4" t="s">
        <v>1952</v>
      </c>
    </row>
    <row r="1266">
      <c r="A1266" s="1">
        <v>1264.0</v>
      </c>
      <c r="B1266" s="4" t="s">
        <v>1928</v>
      </c>
      <c r="C1266" s="5" t="str">
        <f>IFERROR(__xludf.DUMMYFUNCTION("GOOGLETRANSLATE(D:D,""auto"",""en"")"),"Experts say the epidemic or the turning point")</f>
        <v>Experts say the epidemic or the turning point</v>
      </c>
      <c r="D1266" s="4" t="s">
        <v>1953</v>
      </c>
      <c r="E1266" s="4">
        <v>0.0</v>
      </c>
      <c r="F1266" s="4">
        <v>15.0</v>
      </c>
      <c r="G1266" s="4" t="s">
        <v>1954</v>
      </c>
    </row>
    <row r="1267">
      <c r="A1267" s="1">
        <v>1265.0</v>
      </c>
      <c r="B1267" s="4" t="s">
        <v>1928</v>
      </c>
      <c r="C1267" s="5" t="str">
        <f>IFERROR(__xludf.DUMMYFUNCTION("GOOGLETRANSLATE(D:D,""auto"",""en"")"),"Multinational evacuation plan from Wuhan")</f>
        <v>Multinational evacuation plan from Wuhan</v>
      </c>
      <c r="D1267" s="4" t="s">
        <v>1955</v>
      </c>
      <c r="E1267" s="4">
        <v>0.0</v>
      </c>
      <c r="F1267" s="4">
        <v>16.0</v>
      </c>
      <c r="G1267" s="4" t="s">
        <v>1956</v>
      </c>
    </row>
    <row r="1268">
      <c r="A1268" s="1">
        <v>1266.0</v>
      </c>
      <c r="B1268" s="4" t="s">
        <v>1928</v>
      </c>
      <c r="C1268" s="5" t="str">
        <f>IFERROR(__xludf.DUMMYFUNCTION("GOOGLETRANSLATE(D:D,""auto"",""en"")"),"Anti-AIDS drugs was to try pneumonia")</f>
        <v>Anti-AIDS drugs was to try pneumonia</v>
      </c>
      <c r="D1268" s="4" t="s">
        <v>1957</v>
      </c>
      <c r="E1268" s="4">
        <v>0.0</v>
      </c>
      <c r="F1268" s="4">
        <v>17.0</v>
      </c>
      <c r="G1268" s="4" t="s">
        <v>1958</v>
      </c>
    </row>
    <row r="1269">
      <c r="A1269" s="1">
        <v>1267.0</v>
      </c>
      <c r="B1269" s="4" t="s">
        <v>1928</v>
      </c>
      <c r="C1269" s="5" t="str">
        <f>IFERROR(__xludf.DUMMYFUNCTION("GOOGLETRANSLATE(D:D,""auto"",""en"")"),"Total 1,052 cases diagnosed Hubei")</f>
        <v>Total 1,052 cases diagnosed Hubei</v>
      </c>
      <c r="D1269" s="4" t="s">
        <v>1959</v>
      </c>
      <c r="E1269" s="4">
        <v>0.0</v>
      </c>
      <c r="F1269" s="4">
        <v>18.0</v>
      </c>
      <c r="G1269" s="4" t="s">
        <v>1960</v>
      </c>
    </row>
    <row r="1270">
      <c r="A1270" s="1">
        <v>1268.0</v>
      </c>
      <c r="B1270" s="4" t="s">
        <v>1928</v>
      </c>
      <c r="C1270" s="5" t="str">
        <f>IFERROR(__xludf.DUMMYFUNCTION("GOOGLETRANSLATE(D:D,""auto"",""en"")"),"Happy Camp cancel broadcast")</f>
        <v>Happy Camp cancel broadcast</v>
      </c>
      <c r="D1270" s="4" t="s">
        <v>1961</v>
      </c>
      <c r="E1270" s="4">
        <v>0.0</v>
      </c>
      <c r="F1270" s="4">
        <v>19.0</v>
      </c>
      <c r="G1270" s="4" t="s">
        <v>1962</v>
      </c>
    </row>
    <row r="1271">
      <c r="A1271" s="1">
        <v>1269.0</v>
      </c>
      <c r="B1271" s="4" t="s">
        <v>1928</v>
      </c>
      <c r="C1271" s="5" t="str">
        <f>IFERROR(__xludf.DUMMYFUNCTION("GOOGLETRANSLATE(D:D,""auto"",""en"")"),"We recommend delaying school rework")</f>
        <v>We recommend delaying school rework</v>
      </c>
      <c r="D1271" s="4" t="s">
        <v>1963</v>
      </c>
      <c r="E1271" s="4">
        <v>0.0</v>
      </c>
      <c r="F1271" s="4">
        <v>20.0</v>
      </c>
      <c r="G1271" s="4" t="s">
        <v>1964</v>
      </c>
    </row>
    <row r="1272">
      <c r="A1272" s="1">
        <v>1270.0</v>
      </c>
      <c r="B1272" s="4" t="s">
        <v>1928</v>
      </c>
      <c r="C1272" s="5" t="str">
        <f>IFERROR(__xludf.DUMMYFUNCTION("GOOGLETRANSLATE(D:D,""auto"",""en"")"),"It began the development of new vaccines crown")</f>
        <v>It began the development of new vaccines crown</v>
      </c>
      <c r="D1272" s="4" t="s">
        <v>1965</v>
      </c>
      <c r="E1272" s="4">
        <v>0.0</v>
      </c>
      <c r="F1272" s="4">
        <v>21.0</v>
      </c>
      <c r="G1272" s="4" t="s">
        <v>1966</v>
      </c>
    </row>
    <row r="1273">
      <c r="A1273" s="1">
        <v>1271.0</v>
      </c>
      <c r="B1273" s="4" t="s">
        <v>1928</v>
      </c>
      <c r="C1273" s="5" t="str">
        <f>IFERROR(__xludf.DUMMYFUNCTION("GOOGLETRANSLATE(D:D,""auto"",""en"")"),"Trump issued a document praised China")</f>
        <v>Trump issued a document praised China</v>
      </c>
      <c r="D1273" s="4" t="s">
        <v>1902</v>
      </c>
      <c r="E1273" s="4">
        <v>0.0</v>
      </c>
      <c r="F1273" s="4">
        <v>22.0</v>
      </c>
      <c r="G1273" s="4" t="s">
        <v>1903</v>
      </c>
    </row>
    <row r="1274">
      <c r="A1274" s="1">
        <v>1272.0</v>
      </c>
      <c r="B1274" s="4" t="s">
        <v>1928</v>
      </c>
      <c r="C1274" s="5" t="str">
        <f>IFERROR(__xludf.DUMMYFUNCTION("GOOGLETRANSLATE(D:D,""auto"",""en"")"),"Shaanxi is now 9-year-old case")</f>
        <v>Shaanxi is now 9-year-old case</v>
      </c>
      <c r="D1274" s="4" t="s">
        <v>1864</v>
      </c>
      <c r="E1274" s="4">
        <v>0.0</v>
      </c>
      <c r="F1274" s="4">
        <v>23.0</v>
      </c>
      <c r="G1274" s="4" t="s">
        <v>1865</v>
      </c>
    </row>
    <row r="1275">
      <c r="A1275" s="1">
        <v>1273.0</v>
      </c>
      <c r="B1275" s="4" t="s">
        <v>1928</v>
      </c>
      <c r="C1275" s="5" t="str">
        <f>IFERROR(__xludf.DUMMYFUNCTION("GOOGLETRANSLATE(D:D,""auto"",""en"")"),"Sichuan prohibit mass dinner")</f>
        <v>Sichuan prohibit mass dinner</v>
      </c>
      <c r="D1275" s="4" t="s">
        <v>1884</v>
      </c>
      <c r="E1275" s="4">
        <v>0.0</v>
      </c>
      <c r="F1275" s="4">
        <v>24.0</v>
      </c>
      <c r="G1275" s="4" t="s">
        <v>1885</v>
      </c>
    </row>
    <row r="1276">
      <c r="A1276" s="1">
        <v>1274.0</v>
      </c>
      <c r="B1276" s="4" t="s">
        <v>1928</v>
      </c>
      <c r="C1276" s="5" t="str">
        <f>IFERROR(__xludf.DUMMYFUNCTION("GOOGLETRANSLATE(D:D,""auto"",""en"")"),"Canada is now suspected new virus")</f>
        <v>Canada is now suspected new virus</v>
      </c>
      <c r="D1276" s="4" t="s">
        <v>1967</v>
      </c>
      <c r="E1276" s="4">
        <v>0.0</v>
      </c>
      <c r="F1276" s="4">
        <v>25.0</v>
      </c>
      <c r="G1276" s="4" t="s">
        <v>1968</v>
      </c>
    </row>
    <row r="1277">
      <c r="A1277" s="1">
        <v>1275.0</v>
      </c>
      <c r="B1277" s="4" t="s">
        <v>1928</v>
      </c>
      <c r="C1277" s="5" t="str">
        <f>IFERROR(__xludf.DUMMYFUNCTION("GOOGLETRANSLATE(D:D,""auto"",""en"")"),"Shantou recover traffic control notices")</f>
        <v>Shantou recover traffic control notices</v>
      </c>
      <c r="D1277" s="4" t="s">
        <v>1969</v>
      </c>
      <c r="E1277" s="4">
        <v>0.0</v>
      </c>
      <c r="F1277" s="4">
        <v>26.0</v>
      </c>
      <c r="G1277" s="4" t="s">
        <v>1970</v>
      </c>
    </row>
    <row r="1278">
      <c r="A1278" s="1">
        <v>1276.0</v>
      </c>
      <c r="B1278" s="4" t="s">
        <v>1928</v>
      </c>
      <c r="C1278" s="5" t="str">
        <f>IFERROR(__xludf.DUMMYFUNCTION("GOOGLETRANSLATE(D:D,""auto"",""en"")"),"Beijing schools delayed opening the school")</f>
        <v>Beijing schools delayed opening the school</v>
      </c>
      <c r="D1278" s="4" t="s">
        <v>1971</v>
      </c>
      <c r="E1278" s="4">
        <v>0.0</v>
      </c>
      <c r="F1278" s="4">
        <v>27.0</v>
      </c>
      <c r="G1278" s="4" t="s">
        <v>1972</v>
      </c>
    </row>
    <row r="1279">
      <c r="A1279" s="1">
        <v>1277.0</v>
      </c>
      <c r="B1279" s="4" t="s">
        <v>1928</v>
      </c>
      <c r="C1279" s="5" t="str">
        <f>IFERROR(__xludf.DUMMYFUNCTION("GOOGLETRANSLATE(D:D,""auto"",""en"")"),"US Mission to launch contactless distribution")</f>
        <v>US Mission to launch contactless distribution</v>
      </c>
      <c r="D1279" s="4" t="s">
        <v>1973</v>
      </c>
      <c r="E1279" s="4">
        <v>0.0</v>
      </c>
      <c r="F1279" s="4">
        <v>28.0</v>
      </c>
      <c r="G1279" s="4" t="s">
        <v>1974</v>
      </c>
    </row>
    <row r="1280">
      <c r="A1280" s="1">
        <v>1278.0</v>
      </c>
      <c r="B1280" s="4" t="s">
        <v>1928</v>
      </c>
      <c r="C1280" s="5" t="str">
        <f>IFERROR(__xludf.DUMMYFUNCTION("GOOGLETRANSLATE(D:D,""auto"",""en"")"),"Japanese private donations masks")</f>
        <v>Japanese private donations masks</v>
      </c>
      <c r="D1280" s="4" t="s">
        <v>1975</v>
      </c>
      <c r="E1280" s="4">
        <v>0.0</v>
      </c>
      <c r="F1280" s="4">
        <v>29.0</v>
      </c>
      <c r="G1280" s="4" t="s">
        <v>1976</v>
      </c>
    </row>
    <row r="1281">
      <c r="A1281" s="1">
        <v>1279.0</v>
      </c>
      <c r="B1281" s="4" t="s">
        <v>1928</v>
      </c>
      <c r="C1281" s="5" t="str">
        <f>IFERROR(__xludf.DUMMYFUNCTION("GOOGLETRANSLATE(D:D,""auto"",""en"")"),"Patients are diagnosed before the subway ride over")</f>
        <v>Patients are diagnosed before the subway ride over</v>
      </c>
      <c r="D1281" s="4" t="s">
        <v>1977</v>
      </c>
      <c r="E1281" s="4">
        <v>0.0</v>
      </c>
      <c r="F1281" s="4">
        <v>30.0</v>
      </c>
      <c r="G1281" s="4" t="s">
        <v>1978</v>
      </c>
    </row>
    <row r="1282">
      <c r="A1282" s="1">
        <v>1280.0</v>
      </c>
      <c r="B1282" s="4" t="s">
        <v>1928</v>
      </c>
      <c r="C1282" s="5" t="str">
        <f>IFERROR(__xludf.DUMMYFUNCTION("GOOGLETRANSLATE(D:D,""auto"",""en"")"),"Louis Koo donate 10 million")</f>
        <v>Louis Koo donate 10 million</v>
      </c>
      <c r="D1282" s="4" t="s">
        <v>1979</v>
      </c>
      <c r="E1282" s="4">
        <v>0.0</v>
      </c>
      <c r="F1282" s="4">
        <v>31.0</v>
      </c>
      <c r="G1282" s="4" t="s">
        <v>1980</v>
      </c>
    </row>
    <row r="1283">
      <c r="A1283" s="1">
        <v>1281.0</v>
      </c>
      <c r="B1283" s="4" t="s">
        <v>1928</v>
      </c>
      <c r="C1283" s="5" t="str">
        <f>IFERROR(__xludf.DUMMYFUNCTION("GOOGLETRANSLATE(D:D,""auto"",""en"")"),"Add 6 new pneumonia Yunnan")</f>
        <v>Add 6 new pneumonia Yunnan</v>
      </c>
      <c r="D1283" s="4" t="s">
        <v>1981</v>
      </c>
      <c r="E1283" s="4">
        <v>0.0</v>
      </c>
      <c r="F1283" s="4">
        <v>32.0</v>
      </c>
      <c r="G1283" s="4" t="s">
        <v>1982</v>
      </c>
    </row>
    <row r="1284">
      <c r="A1284" s="1">
        <v>1282.0</v>
      </c>
      <c r="B1284" s="4" t="s">
        <v>1928</v>
      </c>
      <c r="C1284" s="5" t="str">
        <f>IFERROR(__xludf.DUMMYFUNCTION("GOOGLETRANSLATE(D:D,""auto"",""en"")"),"Exaggerating the number of pneumonia arrested")</f>
        <v>Exaggerating the number of pneumonia arrested</v>
      </c>
      <c r="D1284" s="4" t="s">
        <v>1880</v>
      </c>
      <c r="E1284" s="4">
        <v>0.0</v>
      </c>
      <c r="F1284" s="4">
        <v>33.0</v>
      </c>
      <c r="G1284" s="4" t="s">
        <v>1881</v>
      </c>
    </row>
    <row r="1285">
      <c r="A1285" s="1">
        <v>1283.0</v>
      </c>
      <c r="B1285" s="4" t="s">
        <v>1928</v>
      </c>
      <c r="C1285" s="5" t="str">
        <f>IFERROR(__xludf.DUMMYFUNCTION("GOOGLETRANSLATE(D:D,""auto"",""en"")"),"Qinghai Province confirmed the first case of pneumonia")</f>
        <v>Qinghai Province confirmed the first case of pneumonia</v>
      </c>
      <c r="D1285" s="4" t="s">
        <v>1914</v>
      </c>
      <c r="E1285" s="4">
        <v>0.0</v>
      </c>
      <c r="F1285" s="4">
        <v>34.0</v>
      </c>
      <c r="G1285" s="4" t="s">
        <v>1915</v>
      </c>
    </row>
    <row r="1286">
      <c r="A1286" s="1">
        <v>1284.0</v>
      </c>
      <c r="B1286" s="4" t="s">
        <v>1928</v>
      </c>
      <c r="C1286" s="5" t="str">
        <f>IFERROR(__xludf.DUMMYFUNCTION("GOOGLETRANSLATE(D:D,""auto"",""en"")"),"New Year's Day national box office")</f>
        <v>New Year's Day national box office</v>
      </c>
      <c r="D1286" s="4" t="s">
        <v>1983</v>
      </c>
      <c r="E1286" s="4">
        <v>0.0</v>
      </c>
      <c r="F1286" s="4">
        <v>35.0</v>
      </c>
      <c r="G1286" s="4" t="s">
        <v>1984</v>
      </c>
    </row>
    <row r="1287">
      <c r="A1287" s="1">
        <v>1285.0</v>
      </c>
      <c r="B1287" s="4" t="s">
        <v>1928</v>
      </c>
      <c r="C1287" s="5" t="str">
        <f>IFERROR(__xludf.DUMMYFUNCTION("GOOGLETRANSLATE(D:D,""auto"",""en"")"),"Xiaotangshan designer Qingzhan")</f>
        <v>Xiaotangshan designer Qingzhan</v>
      </c>
      <c r="D1287" s="4" t="s">
        <v>1985</v>
      </c>
      <c r="E1287" s="4">
        <v>0.0</v>
      </c>
      <c r="F1287" s="4">
        <v>36.0</v>
      </c>
      <c r="G1287" s="4" t="s">
        <v>1986</v>
      </c>
    </row>
    <row r="1288">
      <c r="A1288" s="1">
        <v>1286.0</v>
      </c>
      <c r="B1288" s="4" t="s">
        <v>1928</v>
      </c>
      <c r="C1288" s="5" t="str">
        <f>IFERROR(__xludf.DUMMYFUNCTION("GOOGLETRANSLATE(D:D,""auto"",""en"")"),"Han take the lead in donations Wuhan")</f>
        <v>Han take the lead in donations Wuhan</v>
      </c>
      <c r="D1288" s="4" t="s">
        <v>1987</v>
      </c>
      <c r="E1288" s="4">
        <v>0.0</v>
      </c>
      <c r="F1288" s="4">
        <v>37.0</v>
      </c>
      <c r="G1288" s="4" t="s">
        <v>1988</v>
      </c>
    </row>
    <row r="1289">
      <c r="A1289" s="1">
        <v>1287.0</v>
      </c>
      <c r="B1289" s="4" t="s">
        <v>1928</v>
      </c>
      <c r="C1289" s="5" t="str">
        <f>IFERROR(__xludf.DUMMYFUNCTION("GOOGLETRANSLATE(D:D,""auto"",""en"")"),"Huawei donated 30 million")</f>
        <v>Huawei donated 30 million</v>
      </c>
      <c r="D1289" s="4" t="s">
        <v>1989</v>
      </c>
      <c r="E1289" s="4">
        <v>0.0</v>
      </c>
      <c r="F1289" s="4">
        <v>38.0</v>
      </c>
      <c r="G1289" s="4" t="s">
        <v>1990</v>
      </c>
    </row>
    <row r="1290">
      <c r="A1290" s="1">
        <v>1288.0</v>
      </c>
      <c r="B1290" s="4" t="s">
        <v>1928</v>
      </c>
      <c r="C1290" s="5" t="str">
        <f>IFERROR(__xludf.DUMMYFUNCTION("GOOGLETRANSLATE(D:D,""auto"",""en"")"),"Louis Koo donate ten million lines of rumors")</f>
        <v>Louis Koo donate ten million lines of rumors</v>
      </c>
      <c r="D1290" s="4" t="s">
        <v>1991</v>
      </c>
      <c r="E1290" s="4">
        <v>0.0</v>
      </c>
      <c r="F1290" s="4">
        <v>39.0</v>
      </c>
      <c r="G1290" s="4" t="s">
        <v>1992</v>
      </c>
    </row>
    <row r="1291">
      <c r="A1291" s="1">
        <v>1289.0</v>
      </c>
      <c r="B1291" s="4" t="s">
        <v>1928</v>
      </c>
      <c r="C1291" s="5" t="str">
        <f>IFERROR(__xludf.DUMMYFUNCTION("GOOGLETRANSLATE(D:D,""auto"",""en"")"),"Hubei epidemic prevention and control conference")</f>
        <v>Hubei epidemic prevention and control conference</v>
      </c>
      <c r="D1291" s="4" t="s">
        <v>1993</v>
      </c>
      <c r="E1291" s="4">
        <v>0.0</v>
      </c>
      <c r="F1291" s="4">
        <v>40.0</v>
      </c>
      <c r="G1291" s="4" t="s">
        <v>1994</v>
      </c>
    </row>
    <row r="1292">
      <c r="A1292" s="1">
        <v>1290.0</v>
      </c>
      <c r="B1292" s="4" t="s">
        <v>1928</v>
      </c>
      <c r="C1292" s="5" t="str">
        <f>IFERROR(__xludf.DUMMYFUNCTION("GOOGLETRANSLATE(D:D,""auto"",""en"")"),"Byte beating donated 200 million")</f>
        <v>Byte beating donated 200 million</v>
      </c>
      <c r="D1292" s="4" t="s">
        <v>1860</v>
      </c>
      <c r="E1292" s="4">
        <v>0.0</v>
      </c>
      <c r="F1292" s="4">
        <v>41.0</v>
      </c>
      <c r="G1292" s="4" t="s">
        <v>1861</v>
      </c>
    </row>
    <row r="1293">
      <c r="A1293" s="1">
        <v>1291.0</v>
      </c>
      <c r="B1293" s="4" t="s">
        <v>1928</v>
      </c>
      <c r="C1293" s="5" t="str">
        <f>IFERROR(__xludf.DUMMYFUNCTION("GOOGLETRANSLATE(D:D,""auto"",""en"")"),"Issuance of temporary work subsidies")</f>
        <v>Issuance of temporary work subsidies</v>
      </c>
      <c r="D1293" s="4" t="s">
        <v>1995</v>
      </c>
      <c r="E1293" s="4">
        <v>0.0</v>
      </c>
      <c r="F1293" s="4">
        <v>42.0</v>
      </c>
      <c r="G1293" s="4" t="s">
        <v>1996</v>
      </c>
    </row>
    <row r="1294">
      <c r="A1294" s="1">
        <v>1292.0</v>
      </c>
      <c r="B1294" s="4" t="s">
        <v>1928</v>
      </c>
      <c r="C1294" s="5" t="str">
        <f>IFERROR(__xludf.DUMMYFUNCTION("GOOGLETRANSLATE(D:D,""auto"",""en"")"),"Or mink intermediate host is")</f>
        <v>Or mink intermediate host is</v>
      </c>
      <c r="D1294" s="4" t="s">
        <v>1997</v>
      </c>
      <c r="E1294" s="4">
        <v>0.0</v>
      </c>
      <c r="F1294" s="4">
        <v>43.0</v>
      </c>
      <c r="G1294" s="4" t="s">
        <v>1998</v>
      </c>
    </row>
    <row r="1295">
      <c r="A1295" s="1">
        <v>1293.0</v>
      </c>
      <c r="B1295" s="4" t="s">
        <v>1928</v>
      </c>
      <c r="C1295" s="5" t="str">
        <f>IFERROR(__xludf.DUMMYFUNCTION("GOOGLETRANSLATE(D:D,""auto"",""en"")"),"Patients are diagnosed before the third bus ride")</f>
        <v>Patients are diagnosed before the third bus ride</v>
      </c>
      <c r="D1295" s="4" t="s">
        <v>1999</v>
      </c>
      <c r="E1295" s="4">
        <v>0.0</v>
      </c>
      <c r="F1295" s="4">
        <v>44.0</v>
      </c>
      <c r="G1295" s="4" t="s">
        <v>2000</v>
      </c>
    </row>
    <row r="1296">
      <c r="A1296" s="1">
        <v>1294.0</v>
      </c>
      <c r="B1296" s="4" t="s">
        <v>1928</v>
      </c>
      <c r="C1296" s="5" t="str">
        <f>IFERROR(__xludf.DUMMYFUNCTION("GOOGLETRANSLATE(D:D,""auto"",""en"")"),"2 year-old girl diagnosed with pneumonia")</f>
        <v>2 year-old girl diagnosed with pneumonia</v>
      </c>
      <c r="D1296" s="4" t="s">
        <v>1876</v>
      </c>
      <c r="E1296" s="4">
        <v>0.0</v>
      </c>
      <c r="F1296" s="4">
        <v>45.0</v>
      </c>
      <c r="G1296" s="4" t="s">
        <v>1877</v>
      </c>
    </row>
    <row r="1297">
      <c r="A1297" s="1">
        <v>1295.0</v>
      </c>
      <c r="B1297" s="4" t="s">
        <v>1928</v>
      </c>
      <c r="C1297" s="5" t="str">
        <f>IFERROR(__xludf.DUMMYFUNCTION("GOOGLETRANSLATE(D:D,""auto"",""en"")"),"Zhong Nanshan infected Department of rumors")</f>
        <v>Zhong Nanshan infected Department of rumors</v>
      </c>
      <c r="D1297" s="4" t="s">
        <v>1896</v>
      </c>
      <c r="E1297" s="4">
        <v>0.0</v>
      </c>
      <c r="F1297" s="4">
        <v>46.0</v>
      </c>
      <c r="G1297" s="4" t="s">
        <v>1897</v>
      </c>
    </row>
    <row r="1298">
      <c r="A1298" s="1">
        <v>1296.0</v>
      </c>
      <c r="B1298" s="4" t="s">
        <v>1928</v>
      </c>
      <c r="C1298" s="5" t="str">
        <f>IFERROR(__xludf.DUMMYFUNCTION("GOOGLETRANSLATE(D:D,""auto"",""en"")"),"30 kinds of drug or active")</f>
        <v>30 kinds of drug or active</v>
      </c>
      <c r="D1298" s="4" t="s">
        <v>1904</v>
      </c>
      <c r="E1298" s="4">
        <v>0.0</v>
      </c>
      <c r="F1298" s="4">
        <v>47.0</v>
      </c>
      <c r="G1298" s="4" t="s">
        <v>1905</v>
      </c>
    </row>
    <row r="1299">
      <c r="A1299" s="1">
        <v>1297.0</v>
      </c>
      <c r="B1299" s="4" t="s">
        <v>1928</v>
      </c>
      <c r="C1299" s="5" t="str">
        <f>IFERROR(__xludf.DUMMYFUNCTION("GOOGLETRANSLATE(D:D,""auto"",""en"")"),"Some colleges and universities has been postponed opening")</f>
        <v>Some colleges and universities has been postponed opening</v>
      </c>
      <c r="D1299" s="4" t="s">
        <v>2001</v>
      </c>
      <c r="E1299" s="4">
        <v>0.0</v>
      </c>
      <c r="F1299" s="4">
        <v>48.0</v>
      </c>
      <c r="G1299" s="4" t="s">
        <v>2002</v>
      </c>
    </row>
    <row r="1300">
      <c r="A1300" s="1">
        <v>1298.0</v>
      </c>
      <c r="B1300" s="4" t="s">
        <v>1928</v>
      </c>
      <c r="C1300" s="5" t="str">
        <f>IFERROR(__xludf.DUMMYFUNCTION("GOOGLETRANSLATE(D:D,""auto"",""en"")"),"Tianjin early repatriation of civil service posts")</f>
        <v>Tianjin early repatriation of civil service posts</v>
      </c>
      <c r="D1300" s="4" t="s">
        <v>2003</v>
      </c>
      <c r="E1300" s="4">
        <v>0.0</v>
      </c>
      <c r="F1300" s="4">
        <v>49.0</v>
      </c>
      <c r="G1300" s="4" t="s">
        <v>2004</v>
      </c>
    </row>
    <row r="1301">
      <c r="A1301" s="1">
        <v>1299.0</v>
      </c>
      <c r="B1301" s="4" t="s">
        <v>1928</v>
      </c>
      <c r="C1301" s="5" t="str">
        <f>IFERROR(__xludf.DUMMYFUNCTION("GOOGLETRANSLATE(D:D,""auto"",""en"")"),"People comment epidemic")</f>
        <v>People comment epidemic</v>
      </c>
      <c r="D1301" s="4" t="s">
        <v>2005</v>
      </c>
      <c r="E1301" s="4">
        <v>0.0</v>
      </c>
      <c r="F1301" s="4">
        <v>50.0</v>
      </c>
      <c r="G1301" s="4" t="s">
        <v>2006</v>
      </c>
    </row>
    <row r="1302">
      <c r="A1302" s="1">
        <v>1300.0</v>
      </c>
      <c r="B1302" s="4" t="s">
        <v>2007</v>
      </c>
      <c r="C1302" s="5" t="str">
        <f>IFERROR(__xludf.DUMMYFUNCTION("GOOGLETRANSLATE(D:D,""auto"",""en"")"),"Experts say the epidemic or the turning point")</f>
        <v>Experts say the epidemic or the turning point</v>
      </c>
      <c r="D1302" s="4" t="s">
        <v>1953</v>
      </c>
      <c r="E1302" s="4">
        <v>0.0</v>
      </c>
      <c r="F1302" s="4">
        <v>1.0</v>
      </c>
      <c r="G1302" s="4" t="s">
        <v>1954</v>
      </c>
    </row>
    <row r="1303">
      <c r="A1303" s="1">
        <v>1301.0</v>
      </c>
      <c r="B1303" s="4" t="s">
        <v>2007</v>
      </c>
      <c r="C1303" s="5" t="str">
        <f>IFERROR(__xludf.DUMMYFUNCTION("GOOGLETRANSLATE(D:D,""auto"",""en"")"),"Happy Camp cancel broadcast")</f>
        <v>Happy Camp cancel broadcast</v>
      </c>
      <c r="D1303" s="4" t="s">
        <v>1961</v>
      </c>
      <c r="E1303" s="4">
        <v>0.0</v>
      </c>
      <c r="F1303" s="4">
        <v>2.0</v>
      </c>
      <c r="G1303" s="4" t="s">
        <v>1962</v>
      </c>
    </row>
    <row r="1304">
      <c r="A1304" s="1">
        <v>1302.0</v>
      </c>
      <c r="B1304" s="4" t="s">
        <v>2007</v>
      </c>
      <c r="C1304" s="5" t="str">
        <f>IFERROR(__xludf.DUMMYFUNCTION("GOOGLETRANSLATE(D:D,""auto"",""en"")"),"Star Kobe Bryant died because of the crash")</f>
        <v>Star Kobe Bryant died because of the crash</v>
      </c>
      <c r="D1304" s="4" t="s">
        <v>2008</v>
      </c>
      <c r="E1304" s="4">
        <v>0.0</v>
      </c>
      <c r="F1304" s="4">
        <v>3.0</v>
      </c>
      <c r="G1304" s="4" t="s">
        <v>2009</v>
      </c>
    </row>
    <row r="1305">
      <c r="A1305" s="1">
        <v>1303.0</v>
      </c>
      <c r="B1305" s="4" t="s">
        <v>2007</v>
      </c>
      <c r="C1305" s="5" t="str">
        <f>IFERROR(__xludf.DUMMYFUNCTION("GOOGLETRANSLATE(D:D,""auto"",""en"")"),"Chinese New Year holiday extended")</f>
        <v>Chinese New Year holiday extended</v>
      </c>
      <c r="D1305" s="4" t="s">
        <v>2010</v>
      </c>
      <c r="E1305" s="4">
        <v>0.0</v>
      </c>
      <c r="F1305" s="4">
        <v>4.0</v>
      </c>
      <c r="G1305" s="4" t="s">
        <v>2011</v>
      </c>
    </row>
    <row r="1306">
      <c r="A1306" s="1">
        <v>1304.0</v>
      </c>
      <c r="B1306" s="4" t="s">
        <v>2007</v>
      </c>
      <c r="C1306" s="5" t="str">
        <f>IFERROR(__xludf.DUMMYFUNCTION("GOOGLETRANSLATE(D:D,""auto"",""en"")"),"Anhui appear clusters of disease")</f>
        <v>Anhui appear clusters of disease</v>
      </c>
      <c r="D1306" s="4" t="s">
        <v>2012</v>
      </c>
      <c r="E1306" s="4">
        <v>0.0</v>
      </c>
      <c r="F1306" s="4">
        <v>5.0</v>
      </c>
      <c r="G1306" s="4" t="s">
        <v>2013</v>
      </c>
    </row>
    <row r="1307">
      <c r="A1307" s="1">
        <v>1305.0</v>
      </c>
      <c r="B1307" s="4" t="s">
        <v>2007</v>
      </c>
      <c r="C1307" s="5" t="str">
        <f>IFERROR(__xludf.DUMMYFUNCTION("GOOGLETRANSLATE(D:D,""auto"",""en"")"),"Wuhan officials have died of pneumonia")</f>
        <v>Wuhan officials have died of pneumonia</v>
      </c>
      <c r="D1307" s="4" t="s">
        <v>2014</v>
      </c>
      <c r="E1307" s="4">
        <v>0.0</v>
      </c>
      <c r="F1307" s="4">
        <v>6.0</v>
      </c>
      <c r="G1307" s="4" t="s">
        <v>2015</v>
      </c>
    </row>
    <row r="1308">
      <c r="A1308" s="1">
        <v>1306.0</v>
      </c>
      <c r="B1308" s="4" t="s">
        <v>2007</v>
      </c>
      <c r="C1308" s="5" t="str">
        <f>IFERROR(__xludf.DUMMYFUNCTION("GOOGLETRANSLATE(D:D,""auto"",""en"")"),"Bryant and her heart-warming moment")</f>
        <v>Bryant and her heart-warming moment</v>
      </c>
      <c r="D1308" s="4" t="s">
        <v>2016</v>
      </c>
      <c r="E1308" s="4">
        <v>0.0</v>
      </c>
      <c r="F1308" s="4">
        <v>7.0</v>
      </c>
      <c r="G1308" s="4" t="s">
        <v>2017</v>
      </c>
    </row>
    <row r="1309">
      <c r="A1309" s="1">
        <v>1307.0</v>
      </c>
      <c r="B1309" s="4" t="s">
        <v>2007</v>
      </c>
      <c r="C1309" s="5" t="str">
        <f>IFERROR(__xludf.DUMMYFUNCTION("GOOGLETRANSLATE(D:D,""auto"",""en"")"),"Looking Chongqing Three bus passengers")</f>
        <v>Looking Chongqing Three bus passengers</v>
      </c>
      <c r="D1309" s="4" t="s">
        <v>2018</v>
      </c>
      <c r="E1309" s="4">
        <v>0.0</v>
      </c>
      <c r="F1309" s="4">
        <v>8.0</v>
      </c>
      <c r="G1309" s="4" t="s">
        <v>2019</v>
      </c>
    </row>
    <row r="1310">
      <c r="A1310" s="1">
        <v>1308.0</v>
      </c>
      <c r="B1310" s="4" t="s">
        <v>2007</v>
      </c>
      <c r="C1310" s="5" t="str">
        <f>IFERROR(__xludf.DUMMYFUNCTION("GOOGLETRANSLATE(D:D,""auto"",""en"")"),"Henan start building Xiaotangshan Hospital")</f>
        <v>Henan start building Xiaotangshan Hospital</v>
      </c>
      <c r="D1310" s="4" t="s">
        <v>2020</v>
      </c>
      <c r="E1310" s="4">
        <v>0.0</v>
      </c>
      <c r="F1310" s="4">
        <v>9.0</v>
      </c>
      <c r="G1310" s="4" t="s">
        <v>2021</v>
      </c>
    </row>
    <row r="1311">
      <c r="A1311" s="1">
        <v>1309.0</v>
      </c>
      <c r="B1311" s="4" t="s">
        <v>2007</v>
      </c>
      <c r="C1311" s="5" t="str">
        <f>IFERROR(__xludf.DUMMYFUNCTION("GOOGLETRANSLATE(D:D,""auto"",""en"")"),"People's Liberation Army into the first department")</f>
        <v>People's Liberation Army into the first department</v>
      </c>
      <c r="D1311" s="4" t="s">
        <v>2022</v>
      </c>
      <c r="E1311" s="4">
        <v>0.0</v>
      </c>
      <c r="F1311" s="4">
        <v>10.0</v>
      </c>
      <c r="G1311" s="4" t="s">
        <v>2023</v>
      </c>
    </row>
    <row r="1312">
      <c r="A1312" s="1">
        <v>1310.0</v>
      </c>
      <c r="B1312" s="4" t="s">
        <v>2007</v>
      </c>
      <c r="C1312" s="5" t="str">
        <f>IFERROR(__xludf.DUMMYFUNCTION("GOOGLETRANSLATE(D:D,""auto"",""en"")"),"Qingdao is now the family clusters of cases")</f>
        <v>Qingdao is now the family clusters of cases</v>
      </c>
      <c r="D1312" s="4" t="s">
        <v>2024</v>
      </c>
      <c r="E1312" s="4">
        <v>0.0</v>
      </c>
      <c r="F1312" s="4">
        <v>11.0</v>
      </c>
      <c r="G1312" s="4" t="s">
        <v>2025</v>
      </c>
    </row>
    <row r="1313">
      <c r="A1313" s="1">
        <v>1311.0</v>
      </c>
      <c r="B1313" s="4" t="s">
        <v>2007</v>
      </c>
      <c r="C1313" s="5" t="str">
        <f>IFERROR(__xludf.DUMMYFUNCTION("GOOGLETRANSLATE(D:D,""auto"",""en"")"),"Bryant helicopter crash reasons")</f>
        <v>Bryant helicopter crash reasons</v>
      </c>
      <c r="D1313" s="4" t="s">
        <v>2026</v>
      </c>
      <c r="E1313" s="4">
        <v>0.0</v>
      </c>
      <c r="F1313" s="4">
        <v>12.0</v>
      </c>
      <c r="G1313" s="4" t="s">
        <v>2027</v>
      </c>
    </row>
    <row r="1314">
      <c r="A1314" s="1">
        <v>1312.0</v>
      </c>
      <c r="B1314" s="4" t="s">
        <v>2007</v>
      </c>
      <c r="C1314" s="5" t="str">
        <f>IFERROR(__xludf.DUMMYFUNCTION("GOOGLETRANSLATE(D:D,""auto"",""en"")"),"Exposure South China Seafood Market President")</f>
        <v>Exposure South China Seafood Market President</v>
      </c>
      <c r="D1314" s="4" t="s">
        <v>2028</v>
      </c>
      <c r="E1314" s="4">
        <v>0.0</v>
      </c>
      <c r="F1314" s="4">
        <v>13.0</v>
      </c>
      <c r="G1314" s="4" t="s">
        <v>2029</v>
      </c>
    </row>
    <row r="1315">
      <c r="A1315" s="1">
        <v>1313.0</v>
      </c>
      <c r="B1315" s="4" t="s">
        <v>2007</v>
      </c>
      <c r="C1315" s="5" t="str">
        <f>IFERROR(__xludf.DUMMYFUNCTION("GOOGLETRANSLATE(D:D,""auto"",""en"")"),"Vulcan Mountain muck car is locked")</f>
        <v>Vulcan Mountain muck car is locked</v>
      </c>
      <c r="D1315" s="4" t="s">
        <v>2030</v>
      </c>
      <c r="E1315" s="4">
        <v>0.0</v>
      </c>
      <c r="F1315" s="4">
        <v>14.0</v>
      </c>
      <c r="G1315" s="4" t="s">
        <v>2031</v>
      </c>
    </row>
    <row r="1316">
      <c r="A1316" s="1">
        <v>1314.0</v>
      </c>
      <c r="B1316" s="4" t="s">
        <v>2007</v>
      </c>
      <c r="C1316" s="5" t="str">
        <f>IFERROR(__xludf.DUMMYFUNCTION("GOOGLETRANSLATE(D:D,""auto"",""en"")"),"Taobao part of the masks off the shelf")</f>
        <v>Taobao part of the masks off the shelf</v>
      </c>
      <c r="D1316" s="4" t="s">
        <v>2032</v>
      </c>
      <c r="E1316" s="4">
        <v>0.0</v>
      </c>
      <c r="F1316" s="4">
        <v>15.0</v>
      </c>
      <c r="G1316" s="4" t="s">
        <v>2033</v>
      </c>
    </row>
    <row r="1317">
      <c r="A1317" s="1">
        <v>1315.0</v>
      </c>
      <c r="B1317" s="4" t="s">
        <v>2007</v>
      </c>
      <c r="C1317" s="5" t="str">
        <f>IFERROR(__xludf.DUMMYFUNCTION("GOOGLETRANSLATE(D:D,""auto"",""en"")"),"New US diagnosed five cases of pneumonia")</f>
        <v>New US diagnosed five cases of pneumonia</v>
      </c>
      <c r="D1317" s="4" t="s">
        <v>2034</v>
      </c>
      <c r="E1317" s="4">
        <v>0.0</v>
      </c>
      <c r="F1317" s="4">
        <v>16.0</v>
      </c>
      <c r="G1317" s="4" t="s">
        <v>2035</v>
      </c>
    </row>
    <row r="1318">
      <c r="A1318" s="1">
        <v>1316.0</v>
      </c>
      <c r="B1318" s="4" t="s">
        <v>2007</v>
      </c>
      <c r="C1318" s="5" t="str">
        <f>IFERROR(__xludf.DUMMYFUNCTION("GOOGLETRANSLATE(D:D,""auto"",""en"")"),"Afghan crash of Flight")</f>
        <v>Afghan crash of Flight</v>
      </c>
      <c r="D1318" s="4" t="s">
        <v>2036</v>
      </c>
      <c r="E1318" s="4">
        <v>0.0</v>
      </c>
      <c r="F1318" s="4">
        <v>17.0</v>
      </c>
      <c r="G1318" s="4" t="s">
        <v>2037</v>
      </c>
    </row>
    <row r="1319">
      <c r="A1319" s="1">
        <v>1317.0</v>
      </c>
      <c r="B1319" s="4" t="s">
        <v>2007</v>
      </c>
      <c r="C1319" s="5" t="str">
        <f>IFERROR(__xludf.DUMMYFUNCTION("GOOGLETRANSLATE(D:D,""auto"",""en"")"),"Jiangsu passenger outage announcement")</f>
        <v>Jiangsu passenger outage announcement</v>
      </c>
      <c r="D1319" s="4" t="s">
        <v>2038</v>
      </c>
      <c r="E1319" s="4">
        <v>0.0</v>
      </c>
      <c r="F1319" s="4">
        <v>18.0</v>
      </c>
      <c r="G1319" s="4" t="s">
        <v>2039</v>
      </c>
    </row>
    <row r="1320">
      <c r="A1320" s="1">
        <v>1318.0</v>
      </c>
      <c r="B1320" s="4" t="s">
        <v>2007</v>
      </c>
      <c r="C1320" s="5" t="str">
        <f>IFERROR(__xludf.DUMMYFUNCTION("GOOGLETRANSLATE(D:D,""auto"",""en"")"),"Wuhan 500 million whereabouts")</f>
        <v>Wuhan 500 million whereabouts</v>
      </c>
      <c r="D1320" s="4" t="s">
        <v>2040</v>
      </c>
      <c r="E1320" s="4">
        <v>0.0</v>
      </c>
      <c r="F1320" s="4">
        <v>19.0</v>
      </c>
      <c r="G1320" s="4" t="s">
        <v>2041</v>
      </c>
    </row>
    <row r="1321">
      <c r="A1321" s="1">
        <v>1319.0</v>
      </c>
      <c r="B1321" s="4" t="s">
        <v>2007</v>
      </c>
      <c r="C1321" s="5" t="str">
        <f>IFERROR(__xludf.DUMMYFUNCTION("GOOGLETRANSLATE(D:D,""auto"",""en"")"),"Crazy looking aliens free")</f>
        <v>Crazy looking aliens free</v>
      </c>
      <c r="D1321" s="4" t="s">
        <v>2042</v>
      </c>
      <c r="E1321" s="4">
        <v>0.0</v>
      </c>
      <c r="F1321" s="4">
        <v>20.0</v>
      </c>
      <c r="G1321" s="4" t="s">
        <v>2043</v>
      </c>
    </row>
    <row r="1322">
      <c r="A1322" s="1">
        <v>1320.0</v>
      </c>
      <c r="B1322" s="4" t="s">
        <v>2007</v>
      </c>
      <c r="C1322" s="5" t="str">
        <f>IFERROR(__xludf.DUMMYFUNCTION("GOOGLETRANSLATE(D:D,""auto"",""en"")"),"New babies infected with pneumonia")</f>
        <v>New babies infected with pneumonia</v>
      </c>
      <c r="D1322" s="4" t="s">
        <v>2044</v>
      </c>
      <c r="E1322" s="4">
        <v>0.0</v>
      </c>
      <c r="F1322" s="4">
        <v>21.0</v>
      </c>
      <c r="G1322" s="4" t="s">
        <v>2045</v>
      </c>
    </row>
    <row r="1323">
      <c r="A1323" s="1">
        <v>1321.0</v>
      </c>
      <c r="B1323" s="4" t="s">
        <v>2007</v>
      </c>
      <c r="C1323" s="5" t="str">
        <f>IFERROR(__xludf.DUMMYFUNCTION("GOOGLETRANSLATE(D:D,""auto"",""en"")"),"Louis Koo donate ten million lines of rumors")</f>
        <v>Louis Koo donate ten million lines of rumors</v>
      </c>
      <c r="D1323" s="4" t="s">
        <v>1991</v>
      </c>
      <c r="E1323" s="4">
        <v>0.0</v>
      </c>
      <c r="F1323" s="4">
        <v>22.0</v>
      </c>
      <c r="G1323" s="4" t="s">
        <v>1992</v>
      </c>
    </row>
    <row r="1324">
      <c r="A1324" s="1">
        <v>1322.0</v>
      </c>
      <c r="B1324" s="4" t="s">
        <v>2007</v>
      </c>
      <c r="C1324" s="5" t="str">
        <f>IFERROR(__xludf.DUMMYFUNCTION("GOOGLETRANSLATE(D:D,""auto"",""en"")"),"James Bryant crying because")</f>
        <v>James Bryant crying because</v>
      </c>
      <c r="D1324" s="4" t="s">
        <v>2046</v>
      </c>
      <c r="E1324" s="4">
        <v>0.0</v>
      </c>
      <c r="F1324" s="4">
        <v>23.0</v>
      </c>
      <c r="G1324" s="4" t="s">
        <v>2047</v>
      </c>
    </row>
    <row r="1325">
      <c r="A1325" s="1">
        <v>1323.0</v>
      </c>
      <c r="B1325" s="4" t="s">
        <v>2007</v>
      </c>
      <c r="C1325" s="5" t="str">
        <f>IFERROR(__xludf.DUMMYFUNCTION("GOOGLETRANSLATE(D:D,""auto"",""en"")"),"Or Wuhan 1000 cases soared")</f>
        <v>Or Wuhan 1000 cases soared</v>
      </c>
      <c r="D1325" s="4" t="s">
        <v>2048</v>
      </c>
      <c r="E1325" s="4">
        <v>0.0</v>
      </c>
      <c r="F1325" s="4">
        <v>24.0</v>
      </c>
      <c r="G1325" s="4" t="s">
        <v>2049</v>
      </c>
    </row>
    <row r="1326">
      <c r="A1326" s="1">
        <v>1324.0</v>
      </c>
      <c r="B1326" s="4" t="s">
        <v>2007</v>
      </c>
      <c r="C1326" s="5" t="str">
        <f>IFERROR(__xludf.DUMMYFUNCTION("GOOGLETRANSLATE(D:D,""auto"",""en"")"),"Wuhan supply one yuan vegetables")</f>
        <v>Wuhan supply one yuan vegetables</v>
      </c>
      <c r="D1326" s="4" t="s">
        <v>2050</v>
      </c>
      <c r="E1326" s="4">
        <v>0.0</v>
      </c>
      <c r="F1326" s="4">
        <v>25.0</v>
      </c>
      <c r="G1326" s="4" t="s">
        <v>2051</v>
      </c>
    </row>
    <row r="1327">
      <c r="A1327" s="1">
        <v>1325.0</v>
      </c>
      <c r="B1327" s="4" t="s">
        <v>2007</v>
      </c>
      <c r="C1327" s="5" t="str">
        <f>IFERROR(__xludf.DUMMYFUNCTION("GOOGLETRANSLATE(D:D,""auto"",""en"")"),"Shandong first cases have been cured")</f>
        <v>Shandong first cases have been cured</v>
      </c>
      <c r="D1327" s="4" t="s">
        <v>2052</v>
      </c>
      <c r="E1327" s="4">
        <v>0.0</v>
      </c>
      <c r="F1327" s="4">
        <v>26.0</v>
      </c>
      <c r="G1327" s="4" t="s">
        <v>2053</v>
      </c>
    </row>
    <row r="1328">
      <c r="A1328" s="1">
        <v>1326.0</v>
      </c>
      <c r="B1328" s="4" t="s">
        <v>2007</v>
      </c>
      <c r="C1328" s="5" t="str">
        <f>IFERROR(__xludf.DUMMYFUNCTION("GOOGLETRANSLATE(D:D,""auto"",""en"")"),"4096 Wuhan abroad")</f>
        <v>4096 Wuhan abroad</v>
      </c>
      <c r="D1328" s="4" t="s">
        <v>2054</v>
      </c>
      <c r="E1328" s="4">
        <v>0.0</v>
      </c>
      <c r="F1328" s="4">
        <v>27.0</v>
      </c>
      <c r="G1328" s="4" t="s">
        <v>2055</v>
      </c>
    </row>
    <row r="1329">
      <c r="A1329" s="1">
        <v>1327.0</v>
      </c>
      <c r="B1329" s="4" t="s">
        <v>2007</v>
      </c>
      <c r="C1329" s="5" t="str">
        <f>IFERROR(__xludf.DUMMYFUNCTION("GOOGLETRANSLATE(D:D,""auto"",""en"")"),"Expected diagnosed reduced to 2 hours")</f>
        <v>Expected diagnosed reduced to 2 hours</v>
      </c>
      <c r="D1329" s="4" t="s">
        <v>2056</v>
      </c>
      <c r="E1329" s="4">
        <v>0.0</v>
      </c>
      <c r="F1329" s="4">
        <v>28.0</v>
      </c>
      <c r="G1329" s="4" t="s">
        <v>2057</v>
      </c>
    </row>
    <row r="1330">
      <c r="A1330" s="1">
        <v>1328.0</v>
      </c>
      <c r="B1330" s="4" t="s">
        <v>2007</v>
      </c>
      <c r="C1330" s="5" t="str">
        <f>IFERROR(__xludf.DUMMYFUNCTION("GOOGLETRANSLATE(D:D,""auto"",""en"")"),"Vulcan Mountain first building completed")</f>
        <v>Vulcan Mountain first building completed</v>
      </c>
      <c r="D1330" s="4" t="s">
        <v>2058</v>
      </c>
      <c r="E1330" s="4">
        <v>0.0</v>
      </c>
      <c r="F1330" s="4">
        <v>29.0</v>
      </c>
      <c r="G1330" s="4" t="s">
        <v>2059</v>
      </c>
    </row>
    <row r="1331">
      <c r="A1331" s="1">
        <v>1329.0</v>
      </c>
      <c r="B1331" s="4" t="s">
        <v>2007</v>
      </c>
      <c r="C1331" s="5" t="str">
        <f>IFERROR(__xludf.DUMMYFUNCTION("GOOGLETRANSLATE(D:D,""auto"",""en"")"),"Bryant exposed before the crash call")</f>
        <v>Bryant exposed before the crash call</v>
      </c>
      <c r="D1331" s="4" t="s">
        <v>2060</v>
      </c>
      <c r="E1331" s="4">
        <v>0.0</v>
      </c>
      <c r="F1331" s="4">
        <v>30.0</v>
      </c>
      <c r="G1331" s="4" t="s">
        <v>2061</v>
      </c>
    </row>
    <row r="1332">
      <c r="A1332" s="1">
        <v>1330.0</v>
      </c>
      <c r="B1332" s="4" t="s">
        <v>2007</v>
      </c>
      <c r="C1332" s="5" t="str">
        <f>IFERROR(__xludf.DUMMYFUNCTION("GOOGLETRANSLATE(D:D,""auto"",""en"")"),"The doctor was in a car accident prevention line")</f>
        <v>The doctor was in a car accident prevention line</v>
      </c>
      <c r="D1332" s="4" t="s">
        <v>2062</v>
      </c>
      <c r="E1332" s="4">
        <v>0.0</v>
      </c>
      <c r="F1332" s="4">
        <v>31.0</v>
      </c>
      <c r="G1332" s="4" t="s">
        <v>2063</v>
      </c>
    </row>
    <row r="1333">
      <c r="A1333" s="1">
        <v>1331.0</v>
      </c>
      <c r="B1333" s="4" t="s">
        <v>2007</v>
      </c>
      <c r="C1333" s="5" t="str">
        <f>IFERROR(__xludf.DUMMYFUNCTION("GOOGLETRANSLATE(D:D,""auto"",""en"")"),"Suzhou enterprises return to work time")</f>
        <v>Suzhou enterprises return to work time</v>
      </c>
      <c r="D1333" s="4" t="s">
        <v>2064</v>
      </c>
      <c r="E1333" s="4">
        <v>0.0</v>
      </c>
      <c r="F1333" s="4">
        <v>32.0</v>
      </c>
      <c r="G1333" s="4" t="s">
        <v>2065</v>
      </c>
    </row>
    <row r="1334">
      <c r="A1334" s="1">
        <v>1332.0</v>
      </c>
      <c r="B1334" s="4" t="s">
        <v>2007</v>
      </c>
      <c r="C1334" s="5" t="str">
        <f>IFERROR(__xludf.DUMMYFUNCTION("GOOGLETRANSLATE(D:D,""auto"",""en"")"),"Huawei donated 30 million")</f>
        <v>Huawei donated 30 million</v>
      </c>
      <c r="D1334" s="4" t="s">
        <v>1989</v>
      </c>
      <c r="E1334" s="4">
        <v>0.0</v>
      </c>
      <c r="F1334" s="4">
        <v>33.0</v>
      </c>
      <c r="G1334" s="4" t="s">
        <v>1990</v>
      </c>
    </row>
    <row r="1335">
      <c r="A1335" s="1">
        <v>1333.0</v>
      </c>
      <c r="B1335" s="4" t="s">
        <v>2007</v>
      </c>
      <c r="C1335" s="5" t="str">
        <f>IFERROR(__xludf.DUMMYFUNCTION("GOOGLETRANSLATE(D:D,""auto"",""en"")"),"Or mink intermediate host is")</f>
        <v>Or mink intermediate host is</v>
      </c>
      <c r="D1335" s="4" t="s">
        <v>1997</v>
      </c>
      <c r="E1335" s="4">
        <v>0.0</v>
      </c>
      <c r="F1335" s="4">
        <v>34.0</v>
      </c>
      <c r="G1335" s="4" t="s">
        <v>1998</v>
      </c>
    </row>
    <row r="1336">
      <c r="A1336" s="1">
        <v>1334.0</v>
      </c>
      <c r="B1336" s="4" t="s">
        <v>2007</v>
      </c>
      <c r="C1336" s="5" t="str">
        <f>IFERROR(__xludf.DUMMYFUNCTION("GOOGLETRANSLATE(D:D,""auto"",""en"")"),"11.2 billion investment in prevention and control of epidemic")</f>
        <v>11.2 billion investment in prevention and control of epidemic</v>
      </c>
      <c r="D1336" s="4" t="s">
        <v>2066</v>
      </c>
      <c r="E1336" s="4">
        <v>0.0</v>
      </c>
      <c r="F1336" s="4">
        <v>35.0</v>
      </c>
      <c r="G1336" s="4" t="s">
        <v>2067</v>
      </c>
    </row>
    <row r="1337">
      <c r="A1337" s="1">
        <v>1335.0</v>
      </c>
      <c r="B1337" s="4" t="s">
        <v>2007</v>
      </c>
      <c r="C1337" s="5" t="str">
        <f>IFERROR(__xludf.DUMMYFUNCTION("GOOGLETRANSLATE(D:D,""auto"",""en"")"),"Anshan bus outage")</f>
        <v>Anshan bus outage</v>
      </c>
      <c r="D1337" s="4" t="s">
        <v>2068</v>
      </c>
      <c r="E1337" s="4">
        <v>0.0</v>
      </c>
      <c r="F1337" s="4">
        <v>36.0</v>
      </c>
      <c r="G1337" s="4" t="s">
        <v>2069</v>
      </c>
    </row>
    <row r="1338">
      <c r="A1338" s="1">
        <v>1336.0</v>
      </c>
      <c r="B1338" s="4" t="s">
        <v>2007</v>
      </c>
      <c r="C1338" s="5" t="str">
        <f>IFERROR(__xludf.DUMMYFUNCTION("GOOGLETRANSLATE(D:D,""auto"",""en"")"),"Hubei epidemic prevention and control conference")</f>
        <v>Hubei epidemic prevention and control conference</v>
      </c>
      <c r="D1338" s="4" t="s">
        <v>1993</v>
      </c>
      <c r="E1338" s="4">
        <v>0.0</v>
      </c>
      <c r="F1338" s="4">
        <v>37.0</v>
      </c>
      <c r="G1338" s="4" t="s">
        <v>1994</v>
      </c>
    </row>
    <row r="1339">
      <c r="A1339" s="1">
        <v>1337.0</v>
      </c>
      <c r="B1339" s="4" t="s">
        <v>2007</v>
      </c>
      <c r="C1339" s="5" t="str">
        <f>IFERROR(__xludf.DUMMYFUNCTION("GOOGLETRANSLATE(D:D,""auto"",""en"")"),"Grammy tribute Bryant")</f>
        <v>Grammy tribute Bryant</v>
      </c>
      <c r="D1339" s="4" t="s">
        <v>2070</v>
      </c>
      <c r="E1339" s="4">
        <v>0.0</v>
      </c>
      <c r="F1339" s="4">
        <v>38.0</v>
      </c>
      <c r="G1339" s="4" t="s">
        <v>2071</v>
      </c>
    </row>
    <row r="1340">
      <c r="A1340" s="1">
        <v>1338.0</v>
      </c>
      <c r="B1340" s="4" t="s">
        <v>2007</v>
      </c>
      <c r="C1340" s="5" t="str">
        <f>IFERROR(__xludf.DUMMYFUNCTION("GOOGLETRANSLATE(D:D,""auto"",""en"")"),"BBC apologized to Bryant event")</f>
        <v>BBC apologized to Bryant event</v>
      </c>
      <c r="D1340" s="4" t="s">
        <v>2072</v>
      </c>
      <c r="E1340" s="4">
        <v>0.0</v>
      </c>
      <c r="F1340" s="4">
        <v>39.0</v>
      </c>
      <c r="G1340" s="4" t="s">
        <v>2073</v>
      </c>
    </row>
    <row r="1341">
      <c r="A1341" s="1">
        <v>1339.0</v>
      </c>
      <c r="B1341" s="4" t="s">
        <v>2007</v>
      </c>
      <c r="C1341" s="5" t="str">
        <f>IFERROR(__xludf.DUMMYFUNCTION("GOOGLETRANSLATE(D:D,""auto"",""en"")"),"Patients are diagnosed before the subway ride over")</f>
        <v>Patients are diagnosed before the subway ride over</v>
      </c>
      <c r="D1341" s="4" t="s">
        <v>1977</v>
      </c>
      <c r="E1341" s="4">
        <v>0.0</v>
      </c>
      <c r="F1341" s="4">
        <v>40.0</v>
      </c>
      <c r="G1341" s="4" t="s">
        <v>1978</v>
      </c>
    </row>
    <row r="1342">
      <c r="A1342" s="1">
        <v>1340.0</v>
      </c>
      <c r="B1342" s="4" t="s">
        <v>2007</v>
      </c>
      <c r="C1342" s="5" t="str">
        <f>IFERROR(__xludf.DUMMYFUNCTION("GOOGLETRANSLATE(D:D,""auto"",""en"")"),"Vulcan mountain military handed over management")</f>
        <v>Vulcan mountain military handed over management</v>
      </c>
      <c r="D1342" s="4" t="s">
        <v>1945</v>
      </c>
      <c r="E1342" s="4">
        <v>0.0</v>
      </c>
      <c r="F1342" s="4">
        <v>41.0</v>
      </c>
      <c r="G1342" s="4" t="s">
        <v>1946</v>
      </c>
    </row>
    <row r="1343">
      <c r="A1343" s="1">
        <v>1341.0</v>
      </c>
      <c r="B1343" s="4" t="s">
        <v>2007</v>
      </c>
      <c r="C1343" s="5" t="str">
        <f>IFERROR(__xludf.DUMMYFUNCTION("GOOGLETRANSLATE(D:D,""auto"",""en"")"),"The villagers refused to return home to be isolated")</f>
        <v>The villagers refused to return home to be isolated</v>
      </c>
      <c r="D1343" s="4" t="s">
        <v>2074</v>
      </c>
      <c r="E1343" s="4">
        <v>0.0</v>
      </c>
      <c r="F1343" s="4">
        <v>42.0</v>
      </c>
      <c r="G1343" s="4" t="s">
        <v>2075</v>
      </c>
    </row>
    <row r="1344">
      <c r="A1344" s="1">
        <v>1342.0</v>
      </c>
      <c r="B1344" s="4" t="s">
        <v>2007</v>
      </c>
      <c r="C1344" s="5" t="str">
        <f>IFERROR(__xludf.DUMMYFUNCTION("GOOGLETRANSLATE(D:D,""auto"",""en"")"),"Han take the lead in donations Wuhan")</f>
        <v>Han take the lead in donations Wuhan</v>
      </c>
      <c r="D1344" s="4" t="s">
        <v>1987</v>
      </c>
      <c r="E1344" s="4">
        <v>0.0</v>
      </c>
      <c r="F1344" s="4">
        <v>43.0</v>
      </c>
      <c r="G1344" s="4" t="s">
        <v>1988</v>
      </c>
    </row>
    <row r="1345">
      <c r="A1345" s="1">
        <v>1343.0</v>
      </c>
      <c r="B1345" s="4" t="s">
        <v>2007</v>
      </c>
      <c r="C1345" s="5" t="str">
        <f>IFERROR(__xludf.DUMMYFUNCTION("GOOGLETRANSLATE(D:D,""auto"",""en"")"),"Shu Qi rare sun husband photo")</f>
        <v>Shu Qi rare sun husband photo</v>
      </c>
      <c r="D1345" s="4" t="s">
        <v>2076</v>
      </c>
      <c r="E1345" s="4">
        <v>0.0</v>
      </c>
      <c r="F1345" s="4">
        <v>44.0</v>
      </c>
      <c r="G1345" s="4" t="s">
        <v>2077</v>
      </c>
    </row>
    <row r="1346">
      <c r="A1346" s="1">
        <v>1344.0</v>
      </c>
      <c r="B1346" s="4" t="s">
        <v>2007</v>
      </c>
      <c r="C1346" s="5" t="str">
        <f>IFERROR(__xludf.DUMMYFUNCTION("GOOGLETRANSLATE(D:D,""auto"",""en"")"),"Some colleges and universities has been postponed opening")</f>
        <v>Some colleges and universities has been postponed opening</v>
      </c>
      <c r="D1346" s="4" t="s">
        <v>2001</v>
      </c>
      <c r="E1346" s="4">
        <v>0.0</v>
      </c>
      <c r="F1346" s="4">
        <v>45.0</v>
      </c>
      <c r="G1346" s="4" t="s">
        <v>2002</v>
      </c>
    </row>
    <row r="1347">
      <c r="A1347" s="1">
        <v>1345.0</v>
      </c>
      <c r="B1347" s="4" t="s">
        <v>2007</v>
      </c>
      <c r="C1347" s="5" t="str">
        <f>IFERROR(__xludf.DUMMYFUNCTION("GOOGLETRANSLATE(D:D,""auto"",""en"")"),"US Embassy in Iraq attacked")</f>
        <v>US Embassy in Iraq attacked</v>
      </c>
      <c r="D1347" s="4" t="s">
        <v>2078</v>
      </c>
      <c r="E1347" s="4">
        <v>0.0</v>
      </c>
      <c r="F1347" s="4">
        <v>46.0</v>
      </c>
      <c r="G1347" s="4" t="s">
        <v>2079</v>
      </c>
    </row>
    <row r="1348">
      <c r="A1348" s="1">
        <v>1346.0</v>
      </c>
      <c r="B1348" s="4" t="s">
        <v>2007</v>
      </c>
      <c r="C1348" s="5" t="str">
        <f>IFERROR(__xludf.DUMMYFUNCTION("GOOGLETRANSLATE(D:D,""auto"",""en"")"),"Hill started aerial Raytheon site")</f>
        <v>Hill started aerial Raytheon site</v>
      </c>
      <c r="D1348" s="4" t="s">
        <v>2080</v>
      </c>
      <c r="E1348" s="4">
        <v>0.0</v>
      </c>
      <c r="F1348" s="4">
        <v>47.0</v>
      </c>
      <c r="G1348" s="4" t="s">
        <v>2081</v>
      </c>
    </row>
    <row r="1349">
      <c r="A1349" s="1">
        <v>1347.0</v>
      </c>
      <c r="B1349" s="4" t="s">
        <v>2007</v>
      </c>
      <c r="C1349" s="5" t="str">
        <f>IFERROR(__xludf.DUMMYFUNCTION("GOOGLETRANSLATE(D:D,""auto"",""en"")"),"Liaoning passenger outage announcement")</f>
        <v>Liaoning passenger outage announcement</v>
      </c>
      <c r="D1349" s="4" t="s">
        <v>2082</v>
      </c>
      <c r="E1349" s="4">
        <v>0.0</v>
      </c>
      <c r="F1349" s="4">
        <v>48.0</v>
      </c>
      <c r="G1349" s="4" t="s">
        <v>2083</v>
      </c>
    </row>
    <row r="1350">
      <c r="A1350" s="1">
        <v>1348.0</v>
      </c>
      <c r="B1350" s="4" t="s">
        <v>2007</v>
      </c>
      <c r="C1350" s="5" t="str">
        <f>IFERROR(__xludf.DUMMYFUNCTION("GOOGLETRANSLATE(D:D,""auto"",""en"")"),"Virus or source horseshoe bat")</f>
        <v>Virus or source horseshoe bat</v>
      </c>
      <c r="D1350" s="4" t="s">
        <v>1935</v>
      </c>
      <c r="E1350" s="4">
        <v>0.0</v>
      </c>
      <c r="F1350" s="4">
        <v>49.0</v>
      </c>
      <c r="G1350" s="4" t="s">
        <v>1936</v>
      </c>
    </row>
    <row r="1351">
      <c r="A1351" s="1">
        <v>1349.0</v>
      </c>
      <c r="B1351" s="4" t="s">
        <v>2007</v>
      </c>
      <c r="C1351" s="5" t="str">
        <f>IFERROR(__xludf.DUMMYFUNCTION("GOOGLETRANSLATE(D:D,""auto"",""en"")"),"Boeing 777X completed its first flight")</f>
        <v>Boeing 777X completed its first flight</v>
      </c>
      <c r="D1351" s="4" t="s">
        <v>2084</v>
      </c>
      <c r="E1351" s="4">
        <v>0.0</v>
      </c>
      <c r="F1351" s="4">
        <v>50.0</v>
      </c>
      <c r="G1351" s="4" t="s">
        <v>2085</v>
      </c>
    </row>
    <row r="1352">
      <c r="A1352" s="1">
        <v>1350.0</v>
      </c>
      <c r="B1352" s="4" t="s">
        <v>2086</v>
      </c>
      <c r="C1352" s="5" t="str">
        <f>IFERROR(__xludf.DUMMYFUNCTION("GOOGLETRANSLATE(D:D,""auto"",""en"")"),"Crazy looking aliens free")</f>
        <v>Crazy looking aliens free</v>
      </c>
      <c r="D1352" s="4" t="s">
        <v>2042</v>
      </c>
      <c r="E1352" s="4">
        <v>0.0</v>
      </c>
      <c r="F1352" s="4">
        <v>1.0</v>
      </c>
      <c r="G1352" s="4" t="s">
        <v>2043</v>
      </c>
    </row>
    <row r="1353">
      <c r="A1353" s="1">
        <v>1351.0</v>
      </c>
      <c r="B1353" s="4" t="s">
        <v>2086</v>
      </c>
      <c r="C1353" s="5" t="str">
        <f>IFERROR(__xludf.DUMMYFUNCTION("GOOGLETRANSLATE(D:D,""auto"",""en"")"),"BBC apologized to Bryant event")</f>
        <v>BBC apologized to Bryant event</v>
      </c>
      <c r="D1353" s="4" t="s">
        <v>2072</v>
      </c>
      <c r="E1353" s="4">
        <v>0.0</v>
      </c>
      <c r="F1353" s="4">
        <v>2.0</v>
      </c>
      <c r="G1353" s="4" t="s">
        <v>2073</v>
      </c>
    </row>
    <row r="1354">
      <c r="A1354" s="1">
        <v>1352.0</v>
      </c>
      <c r="B1354" s="4" t="s">
        <v>2086</v>
      </c>
      <c r="C1354" s="5" t="str">
        <f>IFERROR(__xludf.DUMMYFUNCTION("GOOGLETRANSLATE(D:D,""auto"",""en"")"),"The new crown viral foci in doubt")</f>
        <v>The new crown viral foci in doubt</v>
      </c>
      <c r="D1354" s="4" t="s">
        <v>2087</v>
      </c>
      <c r="E1354" s="4">
        <v>0.0</v>
      </c>
      <c r="F1354" s="4">
        <v>3.0</v>
      </c>
      <c r="G1354" s="4" t="s">
        <v>2088</v>
      </c>
    </row>
    <row r="1355">
      <c r="A1355" s="1">
        <v>1353.0</v>
      </c>
      <c r="B1355" s="4" t="s">
        <v>2086</v>
      </c>
      <c r="C1355" s="5" t="str">
        <f>IFERROR(__xludf.DUMMYFUNCTION("GOOGLETRANSLATE(D:D,""auto"",""en"")"),"Star Kobe Bryant died because of the crash")</f>
        <v>Star Kobe Bryant died because of the crash</v>
      </c>
      <c r="D1355" s="4" t="s">
        <v>2008</v>
      </c>
      <c r="E1355" s="4">
        <v>0.0</v>
      </c>
      <c r="F1355" s="4">
        <v>4.0</v>
      </c>
      <c r="G1355" s="4" t="s">
        <v>2009</v>
      </c>
    </row>
    <row r="1356">
      <c r="A1356" s="1">
        <v>1354.0</v>
      </c>
      <c r="B1356" s="4" t="s">
        <v>2086</v>
      </c>
      <c r="C1356" s="5" t="str">
        <f>IFERROR(__xludf.DUMMYFUNCTION("GOOGLETRANSLATE(D:D,""auto"",""en"")"),"Zhao donated 10 million")</f>
        <v>Zhao donated 10 million</v>
      </c>
      <c r="D1356" s="4" t="s">
        <v>2089</v>
      </c>
      <c r="E1356" s="4">
        <v>0.0</v>
      </c>
      <c r="F1356" s="4">
        <v>5.0</v>
      </c>
      <c r="G1356" s="4" t="s">
        <v>2090</v>
      </c>
    </row>
    <row r="1357">
      <c r="A1357" s="1">
        <v>1355.0</v>
      </c>
      <c r="B1357" s="4" t="s">
        <v>2086</v>
      </c>
      <c r="C1357" s="5" t="str">
        <f>IFERROR(__xludf.DUMMYFUNCTION("GOOGLETRANSLATE(D:D,""auto"",""en"")"),"Guangdong has successfully isolates")</f>
        <v>Guangdong has successfully isolates</v>
      </c>
      <c r="D1357" s="4" t="s">
        <v>2091</v>
      </c>
      <c r="E1357" s="4">
        <v>0.0</v>
      </c>
      <c r="F1357" s="4">
        <v>6.0</v>
      </c>
      <c r="G1357" s="4" t="s">
        <v>2092</v>
      </c>
    </row>
    <row r="1358">
      <c r="A1358" s="1">
        <v>1356.0</v>
      </c>
      <c r="B1358" s="4" t="s">
        <v>2086</v>
      </c>
      <c r="C1358" s="5" t="str">
        <f>IFERROR(__xludf.DUMMYFUNCTION("GOOGLETRANSLATE(D:D,""auto"",""en"")"),"The first case of the disease in Henan dead")</f>
        <v>The first case of the disease in Henan dead</v>
      </c>
      <c r="D1358" s="4" t="s">
        <v>2093</v>
      </c>
      <c r="E1358" s="4">
        <v>0.0</v>
      </c>
      <c r="F1358" s="4">
        <v>7.0</v>
      </c>
      <c r="G1358" s="4" t="s">
        <v>2094</v>
      </c>
    </row>
    <row r="1359">
      <c r="A1359" s="1">
        <v>1357.0</v>
      </c>
      <c r="B1359" s="4" t="s">
        <v>2086</v>
      </c>
      <c r="C1359" s="5" t="str">
        <f>IFERROR(__xludf.DUMMYFUNCTION("GOOGLETRANSLATE(D:D,""auto"",""en"")"),"The new virus may contact transmission crown")</f>
        <v>The new virus may contact transmission crown</v>
      </c>
      <c r="D1359" s="4" t="s">
        <v>2095</v>
      </c>
      <c r="E1359" s="4">
        <v>0.0</v>
      </c>
      <c r="F1359" s="4">
        <v>8.0</v>
      </c>
      <c r="G1359" s="4" t="s">
        <v>2096</v>
      </c>
    </row>
    <row r="1360">
      <c r="A1360" s="1">
        <v>1358.0</v>
      </c>
      <c r="B1360" s="4" t="s">
        <v>2086</v>
      </c>
      <c r="C1360" s="5" t="str">
        <f>IFERROR(__xludf.DUMMYFUNCTION("GOOGLETRANSLATE(D:D,""auto"",""en"")"),"Bryant couple took the opportunity to agreement")</f>
        <v>Bryant couple took the opportunity to agreement</v>
      </c>
      <c r="D1360" s="4" t="s">
        <v>2097</v>
      </c>
      <c r="E1360" s="4">
        <v>0.0</v>
      </c>
      <c r="F1360" s="4">
        <v>9.0</v>
      </c>
      <c r="G1360" s="4" t="s">
        <v>2098</v>
      </c>
    </row>
    <row r="1361">
      <c r="A1361" s="1">
        <v>1359.0</v>
      </c>
      <c r="B1361" s="4" t="s">
        <v>2086</v>
      </c>
      <c r="C1361" s="5" t="str">
        <f>IFERROR(__xludf.DUMMYFUNCTION("GOOGLETRANSLATE(D:D,""auto"",""en"")"),"Bryant exposed his wife to cry syncope")</f>
        <v>Bryant exposed his wife to cry syncope</v>
      </c>
      <c r="D1361" s="4" t="s">
        <v>2099</v>
      </c>
      <c r="E1361" s="4">
        <v>0.0</v>
      </c>
      <c r="F1361" s="4">
        <v>10.0</v>
      </c>
      <c r="G1361" s="4" t="s">
        <v>2100</v>
      </c>
    </row>
    <row r="1362">
      <c r="A1362" s="1">
        <v>1360.0</v>
      </c>
      <c r="B1362" s="4" t="s">
        <v>2086</v>
      </c>
      <c r="C1362" s="5" t="str">
        <f>IFERROR(__xludf.DUMMYFUNCTION("GOOGLETRANSLATE(D:D,""auto"",""en"")"),"Fan Fan Yimataixian cover orders")</f>
        <v>Fan Fan Yimataixian cover orders</v>
      </c>
      <c r="D1362" s="4" t="s">
        <v>2101</v>
      </c>
      <c r="E1362" s="4">
        <v>0.0</v>
      </c>
      <c r="F1362" s="4">
        <v>11.0</v>
      </c>
      <c r="G1362" s="4" t="s">
        <v>2102</v>
      </c>
    </row>
    <row r="1363">
      <c r="A1363" s="1">
        <v>1361.0</v>
      </c>
      <c r="B1363" s="4" t="s">
        <v>2086</v>
      </c>
      <c r="C1363" s="5" t="str">
        <f>IFERROR(__xludf.DUMMYFUNCTION("GOOGLETRANSLATE(D:D,""auto"",""en"")"),"The first case of infection or early November")</f>
        <v>The first case of infection or early November</v>
      </c>
      <c r="D1363" s="4" t="s">
        <v>2103</v>
      </c>
      <c r="E1363" s="4">
        <v>0.0</v>
      </c>
      <c r="F1363" s="4">
        <v>12.0</v>
      </c>
      <c r="G1363" s="4" t="s">
        <v>2104</v>
      </c>
    </row>
    <row r="1364">
      <c r="A1364" s="1">
        <v>1362.0</v>
      </c>
      <c r="B1364" s="4" t="s">
        <v>2086</v>
      </c>
      <c r="C1364" s="5" t="str">
        <f>IFERROR(__xludf.DUMMYFUNCTION("GOOGLETRANSLATE(D:D,""auto"",""en"")"),"Beijing's first fatal case")</f>
        <v>Beijing's first fatal case</v>
      </c>
      <c r="D1364" s="4" t="s">
        <v>2105</v>
      </c>
      <c r="E1364" s="4">
        <v>0.0</v>
      </c>
      <c r="F1364" s="4">
        <v>13.0</v>
      </c>
      <c r="G1364" s="4" t="s">
        <v>2106</v>
      </c>
    </row>
    <row r="1365">
      <c r="A1365" s="1">
        <v>1363.0</v>
      </c>
      <c r="B1365" s="4" t="s">
        <v>2086</v>
      </c>
      <c r="C1365" s="5" t="str">
        <f>IFERROR(__xludf.DUMMYFUNCTION("GOOGLETRANSLATE(D:D,""auto"",""en"")"),"Asymptomatic infection occurs")</f>
        <v>Asymptomatic infection occurs</v>
      </c>
      <c r="D1365" s="4" t="s">
        <v>2107</v>
      </c>
      <c r="E1365" s="4">
        <v>0.0</v>
      </c>
      <c r="F1365" s="4">
        <v>14.0</v>
      </c>
      <c r="G1365" s="4" t="s">
        <v>2108</v>
      </c>
    </row>
    <row r="1366">
      <c r="A1366" s="1">
        <v>1364.0</v>
      </c>
      <c r="B1366" s="4" t="s">
        <v>2086</v>
      </c>
      <c r="C1366" s="5" t="str">
        <f>IFERROR(__xludf.DUMMYFUNCTION("GOOGLETRANSLATE(D:D,""auto"",""en"")"),"Cabbage sell 63 fined 500,000")</f>
        <v>Cabbage sell 63 fined 500,000</v>
      </c>
      <c r="D1366" s="4" t="s">
        <v>2109</v>
      </c>
      <c r="E1366" s="4">
        <v>0.0</v>
      </c>
      <c r="F1366" s="4">
        <v>15.0</v>
      </c>
      <c r="G1366" s="4" t="s">
        <v>2110</v>
      </c>
    </row>
    <row r="1367">
      <c r="A1367" s="1">
        <v>1365.0</v>
      </c>
      <c r="B1367" s="4" t="s">
        <v>2086</v>
      </c>
      <c r="C1367" s="5" t="str">
        <f>IFERROR(__xludf.DUMMYFUNCTION("GOOGLETRANSLATE(D:D,""auto"",""en"")"),"Prevention and control of front-line police killed")</f>
        <v>Prevention and control of front-line police killed</v>
      </c>
      <c r="D1367" s="4" t="s">
        <v>2111</v>
      </c>
      <c r="E1367" s="4">
        <v>0.0</v>
      </c>
      <c r="F1367" s="4">
        <v>16.0</v>
      </c>
      <c r="G1367" s="4" t="s">
        <v>2112</v>
      </c>
    </row>
    <row r="1368">
      <c r="A1368" s="1">
        <v>1366.0</v>
      </c>
      <c r="B1368" s="4" t="s">
        <v>2086</v>
      </c>
      <c r="C1368" s="5" t="str">
        <f>IFERROR(__xludf.DUMMYFUNCTION("GOOGLETRANSLATE(D:D,""auto"",""en"")"),"A seven suspected pneumonia dye")</f>
        <v>A seven suspected pneumonia dye</v>
      </c>
      <c r="D1368" s="4" t="s">
        <v>2113</v>
      </c>
      <c r="E1368" s="4">
        <v>0.0</v>
      </c>
      <c r="F1368" s="4">
        <v>17.0</v>
      </c>
      <c r="G1368" s="4" t="s">
        <v>2114</v>
      </c>
    </row>
    <row r="1369">
      <c r="A1369" s="1">
        <v>1367.0</v>
      </c>
      <c r="B1369" s="4" t="s">
        <v>2086</v>
      </c>
      <c r="C1369" s="5" t="str">
        <f>IFERROR(__xludf.DUMMYFUNCTION("GOOGLETRANSLATE(D:D,""auto"",""en"")"),"Bryant father's first appearance")</f>
        <v>Bryant father's first appearance</v>
      </c>
      <c r="D1369" s="4" t="s">
        <v>2115</v>
      </c>
      <c r="E1369" s="4">
        <v>0.0</v>
      </c>
      <c r="F1369" s="4">
        <v>18.0</v>
      </c>
      <c r="G1369" s="4" t="s">
        <v>2116</v>
      </c>
    </row>
    <row r="1370">
      <c r="A1370" s="1">
        <v>1368.0</v>
      </c>
      <c r="B1370" s="4" t="s">
        <v>2086</v>
      </c>
      <c r="C1370" s="5" t="str">
        <f>IFERROR(__xludf.DUMMYFUNCTION("GOOGLETRANSLATE(D:D,""auto"",""en"")"),"Yellowstone former mayor's death")</f>
        <v>Yellowstone former mayor's death</v>
      </c>
      <c r="D1370" s="4" t="s">
        <v>2117</v>
      </c>
      <c r="E1370" s="4">
        <v>0.0</v>
      </c>
      <c r="F1370" s="4">
        <v>19.0</v>
      </c>
      <c r="G1370" s="4" t="s">
        <v>2118</v>
      </c>
    </row>
    <row r="1371">
      <c r="A1371" s="1">
        <v>1369.0</v>
      </c>
      <c r="B1371" s="4" t="s">
        <v>2086</v>
      </c>
      <c r="C1371" s="5" t="str">
        <f>IFERROR(__xludf.DUMMYFUNCTION("GOOGLETRANSLATE(D:D,""auto"",""en"")"),"Japan new cases did not go to Wuhan")</f>
        <v>Japan new cases did not go to Wuhan</v>
      </c>
      <c r="D1371" s="4" t="s">
        <v>2119</v>
      </c>
      <c r="E1371" s="4">
        <v>0.0</v>
      </c>
      <c r="F1371" s="4">
        <v>20.0</v>
      </c>
      <c r="G1371" s="4" t="s">
        <v>2120</v>
      </c>
    </row>
    <row r="1372">
      <c r="A1372" s="1">
        <v>1370.0</v>
      </c>
      <c r="B1372" s="4" t="s">
        <v>2086</v>
      </c>
      <c r="C1372" s="5" t="str">
        <f>IFERROR(__xludf.DUMMYFUNCTION("GOOGLETRANSLATE(D:D,""auto"",""en"")"),"Extended leave should be twice the wages")</f>
        <v>Extended leave should be twice the wages</v>
      </c>
      <c r="D1372" s="4" t="s">
        <v>2121</v>
      </c>
      <c r="E1372" s="4">
        <v>0.0</v>
      </c>
      <c r="F1372" s="4">
        <v>21.0</v>
      </c>
      <c r="G1372" s="4" t="s">
        <v>2122</v>
      </c>
    </row>
    <row r="1373">
      <c r="A1373" s="1">
        <v>1371.0</v>
      </c>
      <c r="B1373" s="4" t="s">
        <v>2086</v>
      </c>
      <c r="C1373" s="5" t="str">
        <f>IFERROR(__xludf.DUMMYFUNCTION("GOOGLETRANSLATE(D:D,""auto"",""en"")"),"Korean media batch entry ban Chinese people")</f>
        <v>Korean media batch entry ban Chinese people</v>
      </c>
      <c r="D1373" s="4" t="s">
        <v>2123</v>
      </c>
      <c r="E1373" s="4">
        <v>0.0</v>
      </c>
      <c r="F1373" s="4">
        <v>22.0</v>
      </c>
      <c r="G1373" s="4" t="s">
        <v>2124</v>
      </c>
    </row>
    <row r="1374">
      <c r="A1374" s="1">
        <v>1372.0</v>
      </c>
      <c r="B1374" s="4" t="s">
        <v>2086</v>
      </c>
      <c r="C1374" s="5" t="str">
        <f>IFERROR(__xludf.DUMMYFUNCTION("GOOGLETRANSLATE(D:D,""auto"",""en"")"),"13 movie free watch")</f>
        <v>13 movie free watch</v>
      </c>
      <c r="D1374" s="4" t="s">
        <v>2125</v>
      </c>
      <c r="E1374" s="4">
        <v>0.0</v>
      </c>
      <c r="F1374" s="4">
        <v>23.0</v>
      </c>
      <c r="G1374" s="4" t="s">
        <v>2126</v>
      </c>
    </row>
    <row r="1375">
      <c r="A1375" s="1">
        <v>1373.0</v>
      </c>
      <c r="B1375" s="4" t="s">
        <v>2086</v>
      </c>
      <c r="C1375" s="5" t="str">
        <f>IFERROR(__xludf.DUMMYFUNCTION("GOOGLETRANSLATE(D:D,""auto"",""en"")"),"Bryant exposed before the crash call")</f>
        <v>Bryant exposed before the crash call</v>
      </c>
      <c r="D1375" s="4" t="s">
        <v>2060</v>
      </c>
      <c r="E1375" s="4">
        <v>0.0</v>
      </c>
      <c r="F1375" s="4">
        <v>24.0</v>
      </c>
      <c r="G1375" s="4" t="s">
        <v>2061</v>
      </c>
    </row>
    <row r="1376">
      <c r="A1376" s="1">
        <v>1374.0</v>
      </c>
      <c r="B1376" s="4" t="s">
        <v>2086</v>
      </c>
      <c r="C1376" s="5" t="str">
        <f>IFERROR(__xludf.DUMMYFUNCTION("GOOGLETRANSLATE(D:D,""auto"",""en"")"),"Jiangsu passenger outage announcement")</f>
        <v>Jiangsu passenger outage announcement</v>
      </c>
      <c r="D1376" s="4" t="s">
        <v>2038</v>
      </c>
      <c r="E1376" s="4">
        <v>0.0</v>
      </c>
      <c r="F1376" s="4">
        <v>25.0</v>
      </c>
      <c r="G1376" s="4" t="s">
        <v>2039</v>
      </c>
    </row>
    <row r="1377">
      <c r="A1377" s="1">
        <v>1375.0</v>
      </c>
      <c r="B1377" s="4" t="s">
        <v>2086</v>
      </c>
      <c r="C1377" s="5" t="str">
        <f>IFERROR(__xludf.DUMMYFUNCTION("GOOGLETRANSLATE(D:D,""auto"",""en"")"),"Vulcan Mountain muck car is locked")</f>
        <v>Vulcan Mountain muck car is locked</v>
      </c>
      <c r="D1377" s="4" t="s">
        <v>2030</v>
      </c>
      <c r="E1377" s="4">
        <v>0.0</v>
      </c>
      <c r="F1377" s="4">
        <v>26.0</v>
      </c>
      <c r="G1377" s="4" t="s">
        <v>2031</v>
      </c>
    </row>
    <row r="1378">
      <c r="A1378" s="1">
        <v>1376.0</v>
      </c>
      <c r="B1378" s="4" t="s">
        <v>2086</v>
      </c>
      <c r="C1378" s="5" t="str">
        <f>IFERROR(__xludf.DUMMYFUNCTION("GOOGLETRANSLATE(D:D,""auto"",""en"")"),"The doctor was in a car accident prevention line")</f>
        <v>The doctor was in a car accident prevention line</v>
      </c>
      <c r="D1378" s="4" t="s">
        <v>2062</v>
      </c>
      <c r="E1378" s="4">
        <v>0.0</v>
      </c>
      <c r="F1378" s="4">
        <v>27.0</v>
      </c>
      <c r="G1378" s="4" t="s">
        <v>2063</v>
      </c>
    </row>
    <row r="1379">
      <c r="A1379" s="1">
        <v>1377.0</v>
      </c>
      <c r="B1379" s="4" t="s">
        <v>2086</v>
      </c>
      <c r="C1379" s="5" t="str">
        <f>IFERROR(__xludf.DUMMYFUNCTION("GOOGLETRANSLATE(D:D,""auto"",""en"")"),"Bryant helicopter crash reasons")</f>
        <v>Bryant helicopter crash reasons</v>
      </c>
      <c r="D1379" s="4" t="s">
        <v>2026</v>
      </c>
      <c r="E1379" s="4">
        <v>0.0</v>
      </c>
      <c r="F1379" s="4">
        <v>28.0</v>
      </c>
      <c r="G1379" s="4" t="s">
        <v>2027</v>
      </c>
    </row>
    <row r="1380">
      <c r="A1380" s="1">
        <v>1378.0</v>
      </c>
      <c r="B1380" s="4" t="s">
        <v>2086</v>
      </c>
      <c r="C1380" s="5" t="str">
        <f>IFERROR(__xludf.DUMMYFUNCTION("GOOGLETRANSLATE(D:D,""auto"",""en"")"),"Wuhan officials have died of pneumonia")</f>
        <v>Wuhan officials have died of pneumonia</v>
      </c>
      <c r="D1380" s="4" t="s">
        <v>2014</v>
      </c>
      <c r="E1380" s="4">
        <v>0.0</v>
      </c>
      <c r="F1380" s="4">
        <v>29.0</v>
      </c>
      <c r="G1380" s="4" t="s">
        <v>2015</v>
      </c>
    </row>
    <row r="1381">
      <c r="A1381" s="1">
        <v>1379.0</v>
      </c>
      <c r="B1381" s="4" t="s">
        <v>2086</v>
      </c>
      <c r="C1381" s="5" t="str">
        <f>IFERROR(__xludf.DUMMYFUNCTION("GOOGLETRANSLATE(D:D,""auto"",""en"")"),"Zhejiang delayed return to work notice issued")</f>
        <v>Zhejiang delayed return to work notice issued</v>
      </c>
      <c r="D1381" s="4" t="s">
        <v>2127</v>
      </c>
      <c r="E1381" s="4">
        <v>0.0</v>
      </c>
      <c r="F1381" s="4">
        <v>30.0</v>
      </c>
      <c r="G1381" s="4" t="s">
        <v>2128</v>
      </c>
    </row>
    <row r="1382">
      <c r="A1382" s="1">
        <v>1380.0</v>
      </c>
      <c r="B1382" s="4" t="s">
        <v>2086</v>
      </c>
      <c r="C1382" s="5" t="str">
        <f>IFERROR(__xludf.DUMMYFUNCTION("GOOGLETRANSLATE(D:D,""auto"",""en"")"),"Bryant eldest daughter rushed to hospital")</f>
        <v>Bryant eldest daughter rushed to hospital</v>
      </c>
      <c r="D1382" s="4" t="s">
        <v>2129</v>
      </c>
      <c r="E1382" s="4">
        <v>0.0</v>
      </c>
      <c r="F1382" s="4">
        <v>31.0</v>
      </c>
      <c r="G1382" s="4" t="s">
        <v>2130</v>
      </c>
    </row>
    <row r="1383">
      <c r="A1383" s="1">
        <v>1381.0</v>
      </c>
      <c r="B1383" s="4" t="s">
        <v>2086</v>
      </c>
      <c r="C1383" s="5" t="str">
        <f>IFERROR(__xludf.DUMMYFUNCTION("GOOGLETRANSLATE(D:D,""auto"",""en"")"),"Tianjin will start the mechanism of war")</f>
        <v>Tianjin will start the mechanism of war</v>
      </c>
      <c r="D1383" s="4" t="s">
        <v>2131</v>
      </c>
      <c r="E1383" s="4">
        <v>0.0</v>
      </c>
      <c r="F1383" s="4">
        <v>32.0</v>
      </c>
      <c r="G1383" s="4" t="s">
        <v>2132</v>
      </c>
    </row>
    <row r="1384">
      <c r="A1384" s="1">
        <v>1382.0</v>
      </c>
      <c r="B1384" s="4" t="s">
        <v>2086</v>
      </c>
      <c r="C1384" s="5" t="str">
        <f>IFERROR(__xludf.DUMMYFUNCTION("GOOGLETRANSLATE(D:D,""auto"",""en"")"),"Exposure month pregnant Zhang Xin month")</f>
        <v>Exposure month pregnant Zhang Xin month</v>
      </c>
      <c r="D1384" s="4" t="s">
        <v>2133</v>
      </c>
      <c r="E1384" s="4">
        <v>0.0</v>
      </c>
      <c r="F1384" s="4">
        <v>33.0</v>
      </c>
      <c r="G1384" s="4" t="s">
        <v>2134</v>
      </c>
    </row>
    <row r="1385">
      <c r="A1385" s="1">
        <v>1383.0</v>
      </c>
      <c r="B1385" s="4" t="s">
        <v>2086</v>
      </c>
      <c r="C1385" s="5" t="str">
        <f>IFERROR(__xludf.DUMMYFUNCTION("GOOGLETRANSLATE(D:D,""auto"",""en"")"),"Guangdong delayed return to work school")</f>
        <v>Guangdong delayed return to work school</v>
      </c>
      <c r="D1385" s="4" t="s">
        <v>2135</v>
      </c>
      <c r="E1385" s="4">
        <v>0.0</v>
      </c>
      <c r="F1385" s="4">
        <v>34.0</v>
      </c>
      <c r="G1385" s="4" t="s">
        <v>2136</v>
      </c>
    </row>
    <row r="1386">
      <c r="A1386" s="1">
        <v>1384.0</v>
      </c>
      <c r="B1386" s="4" t="s">
        <v>2086</v>
      </c>
      <c r="C1386" s="5" t="str">
        <f>IFERROR(__xludf.DUMMYFUNCTION("GOOGLETRANSLATE(D:D,""auto"",""en"")"),"Millet has apologized products")</f>
        <v>Millet has apologized products</v>
      </c>
      <c r="D1386" s="4" t="s">
        <v>2137</v>
      </c>
      <c r="E1386" s="4">
        <v>0.0</v>
      </c>
      <c r="F1386" s="4">
        <v>35.0</v>
      </c>
      <c r="G1386" s="4" t="s">
        <v>2138</v>
      </c>
    </row>
    <row r="1387">
      <c r="A1387" s="1">
        <v>1385.0</v>
      </c>
      <c r="B1387" s="4" t="s">
        <v>2086</v>
      </c>
      <c r="C1387" s="5" t="str">
        <f>IFERROR(__xludf.DUMMYFUNCTION("GOOGLETRANSLATE(D:D,""auto"",""en"")"),"Vulcan Mountain first building completed")</f>
        <v>Vulcan Mountain first building completed</v>
      </c>
      <c r="D1387" s="4" t="s">
        <v>2058</v>
      </c>
      <c r="E1387" s="4">
        <v>0.0</v>
      </c>
      <c r="F1387" s="4">
        <v>36.0</v>
      </c>
      <c r="G1387" s="4" t="s">
        <v>2059</v>
      </c>
    </row>
    <row r="1388">
      <c r="A1388" s="1">
        <v>1386.0</v>
      </c>
      <c r="B1388" s="4" t="s">
        <v>2086</v>
      </c>
      <c r="C1388" s="5" t="str">
        <f>IFERROR(__xludf.DUMMYFUNCTION("GOOGLETRANSLATE(D:D,""auto"",""en"")"),"Anhui appear clusters of disease")</f>
        <v>Anhui appear clusters of disease</v>
      </c>
      <c r="D1388" s="4" t="s">
        <v>2012</v>
      </c>
      <c r="E1388" s="4">
        <v>0.0</v>
      </c>
      <c r="F1388" s="4">
        <v>37.0</v>
      </c>
      <c r="G1388" s="4" t="s">
        <v>2013</v>
      </c>
    </row>
    <row r="1389">
      <c r="A1389" s="1">
        <v>1387.0</v>
      </c>
      <c r="B1389" s="4" t="s">
        <v>2086</v>
      </c>
      <c r="C1389" s="5" t="str">
        <f>IFERROR(__xludf.DUMMYFUNCTION("GOOGLETRANSLATE(D:D,""auto"",""en"")"),"Notice of the Ministry of Education school extension")</f>
        <v>Notice of the Ministry of Education school extension</v>
      </c>
      <c r="D1389" s="4" t="s">
        <v>2139</v>
      </c>
      <c r="E1389" s="4">
        <v>0.0</v>
      </c>
      <c r="F1389" s="4">
        <v>38.0</v>
      </c>
      <c r="G1389" s="4" t="s">
        <v>2140</v>
      </c>
    </row>
    <row r="1390">
      <c r="A1390" s="1">
        <v>1388.0</v>
      </c>
      <c r="B1390" s="4" t="s">
        <v>2086</v>
      </c>
      <c r="C1390" s="5" t="str">
        <f>IFERROR(__xludf.DUMMYFUNCTION("GOOGLETRANSLATE(D:D,""auto"",""en"")"),"Bryant father's first appearance")</f>
        <v>Bryant father's first appearance</v>
      </c>
      <c r="D1390" s="4" t="s">
        <v>2141</v>
      </c>
      <c r="E1390" s="4">
        <v>0.0</v>
      </c>
      <c r="F1390" s="4">
        <v>39.0</v>
      </c>
      <c r="G1390" s="4" t="s">
        <v>2142</v>
      </c>
    </row>
    <row r="1391">
      <c r="A1391" s="1">
        <v>1389.0</v>
      </c>
      <c r="B1391" s="4" t="s">
        <v>2086</v>
      </c>
      <c r="C1391" s="5" t="str">
        <f>IFERROR(__xludf.DUMMYFUNCTION("GOOGLETRANSLATE(D:D,""auto"",""en"")"),"Exposure South China Seafood Market President")</f>
        <v>Exposure South China Seafood Market President</v>
      </c>
      <c r="D1391" s="4" t="s">
        <v>2028</v>
      </c>
      <c r="E1391" s="4">
        <v>0.0</v>
      </c>
      <c r="F1391" s="4">
        <v>40.0</v>
      </c>
      <c r="G1391" s="4" t="s">
        <v>2029</v>
      </c>
    </row>
    <row r="1392">
      <c r="A1392" s="1">
        <v>1390.0</v>
      </c>
      <c r="B1392" s="4" t="s">
        <v>2086</v>
      </c>
      <c r="C1392" s="5" t="str">
        <f>IFERROR(__xludf.DUMMYFUNCTION("GOOGLETRANSLATE(D:D,""auto"",""en"")"),"Hubei open beds 100 000")</f>
        <v>Hubei open beds 100 000</v>
      </c>
      <c r="D1392" s="4" t="s">
        <v>2143</v>
      </c>
      <c r="E1392" s="4">
        <v>0.0</v>
      </c>
      <c r="F1392" s="4">
        <v>41.0</v>
      </c>
      <c r="G1392" s="4" t="s">
        <v>2144</v>
      </c>
    </row>
    <row r="1393">
      <c r="A1393" s="1">
        <v>1391.0</v>
      </c>
      <c r="B1393" s="4" t="s">
        <v>2086</v>
      </c>
      <c r="C1393" s="5" t="str">
        <f>IFERROR(__xludf.DUMMYFUNCTION("GOOGLETRANSLATE(D:D,""auto"",""en"")"),"Or Wuhan 1000 cases soared")</f>
        <v>Or Wuhan 1000 cases soared</v>
      </c>
      <c r="D1393" s="4" t="s">
        <v>2048</v>
      </c>
      <c r="E1393" s="4">
        <v>0.0</v>
      </c>
      <c r="F1393" s="4">
        <v>42.0</v>
      </c>
      <c r="G1393" s="4" t="s">
        <v>2049</v>
      </c>
    </row>
    <row r="1394">
      <c r="A1394" s="1">
        <v>1392.0</v>
      </c>
      <c r="B1394" s="4" t="s">
        <v>2086</v>
      </c>
      <c r="C1394" s="5" t="str">
        <f>IFERROR(__xludf.DUMMYFUNCTION("GOOGLETRANSLATE(D:D,""auto"",""en"")"),"Tribute to James Bryant")</f>
        <v>Tribute to James Bryant</v>
      </c>
      <c r="D1394" s="4" t="s">
        <v>2145</v>
      </c>
      <c r="E1394" s="4">
        <v>0.0</v>
      </c>
      <c r="F1394" s="4">
        <v>43.0</v>
      </c>
      <c r="G1394" s="4" t="s">
        <v>2146</v>
      </c>
    </row>
    <row r="1395">
      <c r="A1395" s="1">
        <v>1393.0</v>
      </c>
      <c r="B1395" s="4" t="s">
        <v>2086</v>
      </c>
      <c r="C1395" s="5" t="str">
        <f>IFERROR(__xludf.DUMMYFUNCTION("GOOGLETRANSLATE(D:D,""auto"",""en"")"),"Black Monday global market")</f>
        <v>Black Monday global market</v>
      </c>
      <c r="D1395" s="4" t="s">
        <v>2147</v>
      </c>
      <c r="E1395" s="4">
        <v>0.0</v>
      </c>
      <c r="F1395" s="4">
        <v>44.0</v>
      </c>
      <c r="G1395" s="4" t="s">
        <v>2148</v>
      </c>
    </row>
    <row r="1396">
      <c r="A1396" s="1">
        <v>1394.0</v>
      </c>
      <c r="B1396" s="4" t="s">
        <v>2086</v>
      </c>
      <c r="C1396" s="5" t="str">
        <f>IFERROR(__xludf.DUMMYFUNCTION("GOOGLETRANSLATE(D:D,""auto"",""en"")"),"CDC to talk about the epidemic situation")</f>
        <v>CDC to talk about the epidemic situation</v>
      </c>
      <c r="D1396" s="4" t="s">
        <v>2149</v>
      </c>
      <c r="E1396" s="4">
        <v>0.0</v>
      </c>
      <c r="F1396" s="4">
        <v>45.0</v>
      </c>
      <c r="G1396" s="4" t="s">
        <v>2150</v>
      </c>
    </row>
    <row r="1397">
      <c r="A1397" s="1">
        <v>1395.0</v>
      </c>
      <c r="B1397" s="4" t="s">
        <v>2086</v>
      </c>
      <c r="C1397" s="5" t="str">
        <f>IFERROR(__xludf.DUMMYFUNCTION("GOOGLETRANSLATE(D:D,""auto"",""en"")"),"Heilongjiang Province to suspend the occasion of passenger")</f>
        <v>Heilongjiang Province to suspend the occasion of passenger</v>
      </c>
      <c r="D1397" s="4" t="s">
        <v>2151</v>
      </c>
      <c r="E1397" s="4">
        <v>0.0</v>
      </c>
      <c r="F1397" s="4">
        <v>46.0</v>
      </c>
      <c r="G1397" s="4" t="s">
        <v>2152</v>
      </c>
    </row>
    <row r="1398">
      <c r="A1398" s="1">
        <v>1396.0</v>
      </c>
      <c r="B1398" s="4" t="s">
        <v>2086</v>
      </c>
      <c r="C1398" s="5" t="str">
        <f>IFERROR(__xludf.DUMMYFUNCTION("GOOGLETRANSLATE(D:D,""auto"",""en"")"),"Louis Koo donate ten million lines of rumors")</f>
        <v>Louis Koo donate ten million lines of rumors</v>
      </c>
      <c r="D1398" s="4" t="s">
        <v>1991</v>
      </c>
      <c r="E1398" s="4">
        <v>0.0</v>
      </c>
      <c r="F1398" s="4">
        <v>47.0</v>
      </c>
      <c r="G1398" s="4" t="s">
        <v>1992</v>
      </c>
    </row>
    <row r="1399">
      <c r="A1399" s="1">
        <v>1397.0</v>
      </c>
      <c r="B1399" s="4" t="s">
        <v>2086</v>
      </c>
      <c r="C1399" s="5" t="str">
        <f>IFERROR(__xludf.DUMMYFUNCTION("GOOGLETRANSLATE(D:D,""auto"",""en"")"),"Liaoning passenger outage announcement")</f>
        <v>Liaoning passenger outage announcement</v>
      </c>
      <c r="D1399" s="4" t="s">
        <v>2082</v>
      </c>
      <c r="E1399" s="4">
        <v>0.0</v>
      </c>
      <c r="F1399" s="4">
        <v>48.0</v>
      </c>
      <c r="G1399" s="4" t="s">
        <v>2083</v>
      </c>
    </row>
    <row r="1400">
      <c r="A1400" s="1">
        <v>1398.0</v>
      </c>
      <c r="B1400" s="4" t="s">
        <v>2086</v>
      </c>
      <c r="C1400" s="5" t="str">
        <f>IFERROR(__xludf.DUMMYFUNCTION("GOOGLETRANSLATE(D:D,""auto"",""en"")"),"Experts say the epidemic or the turning point")</f>
        <v>Experts say the epidemic or the turning point</v>
      </c>
      <c r="D1400" s="4" t="s">
        <v>1953</v>
      </c>
      <c r="E1400" s="4">
        <v>0.0</v>
      </c>
      <c r="F1400" s="4">
        <v>49.0</v>
      </c>
      <c r="G1400" s="4" t="s">
        <v>1954</v>
      </c>
    </row>
    <row r="1401">
      <c r="A1401" s="1">
        <v>1399.0</v>
      </c>
      <c r="B1401" s="4" t="s">
        <v>2086</v>
      </c>
      <c r="C1401" s="5" t="str">
        <f>IFERROR(__xludf.DUMMYFUNCTION("GOOGLETRANSLATE(D:D,""auto"",""en"")"),"Patients are diagnosed before the subway ride over")</f>
        <v>Patients are diagnosed before the subway ride over</v>
      </c>
      <c r="D1401" s="4" t="s">
        <v>1977</v>
      </c>
      <c r="E1401" s="4">
        <v>0.0</v>
      </c>
      <c r="F1401" s="4">
        <v>50.0</v>
      </c>
      <c r="G1401" s="4" t="s">
        <v>1978</v>
      </c>
    </row>
    <row r="1402">
      <c r="A1402" s="1">
        <v>1400.0</v>
      </c>
      <c r="B1402" s="4" t="s">
        <v>2153</v>
      </c>
      <c r="C1402" s="5" t="str">
        <f>IFERROR(__xludf.DUMMYFUNCTION("GOOGLETRANSLATE(D:D,""auto"",""en"")"),"Yellowstone former mayor's death")</f>
        <v>Yellowstone former mayor's death</v>
      </c>
      <c r="D1402" s="4" t="s">
        <v>2117</v>
      </c>
      <c r="E1402" s="4">
        <v>0.0</v>
      </c>
      <c r="F1402" s="4">
        <v>1.0</v>
      </c>
      <c r="G1402" s="4" t="s">
        <v>2118</v>
      </c>
    </row>
    <row r="1403">
      <c r="A1403" s="1">
        <v>1401.0</v>
      </c>
      <c r="B1403" s="4" t="s">
        <v>2153</v>
      </c>
      <c r="C1403" s="5" t="str">
        <f>IFERROR(__xludf.DUMMYFUNCTION("GOOGLETRANSLATE(D:D,""auto"",""en"")"),"Ma Ying-jeou called for support masks")</f>
        <v>Ma Ying-jeou called for support masks</v>
      </c>
      <c r="D1403" s="4" t="s">
        <v>2154</v>
      </c>
      <c r="E1403" s="4">
        <v>0.0</v>
      </c>
      <c r="F1403" s="4">
        <v>2.0</v>
      </c>
      <c r="G1403" s="4" t="s">
        <v>2155</v>
      </c>
    </row>
    <row r="1404">
      <c r="A1404" s="1">
        <v>1402.0</v>
      </c>
      <c r="B1404" s="4" t="s">
        <v>2153</v>
      </c>
      <c r="C1404" s="5" t="str">
        <f>IFERROR(__xludf.DUMMYFUNCTION("GOOGLETRANSLATE(D:D,""auto"",""en"")"),"13 movie free watch")</f>
        <v>13 movie free watch</v>
      </c>
      <c r="D1404" s="4" t="s">
        <v>2125</v>
      </c>
      <c r="E1404" s="4">
        <v>0.0</v>
      </c>
      <c r="F1404" s="4">
        <v>3.0</v>
      </c>
      <c r="G1404" s="4" t="s">
        <v>2126</v>
      </c>
    </row>
    <row r="1405">
      <c r="A1405" s="1">
        <v>1403.0</v>
      </c>
      <c r="B1405" s="4" t="s">
        <v>2153</v>
      </c>
      <c r="C1405" s="5" t="str">
        <f>IFERROR(__xludf.DUMMYFUNCTION("GOOGLETRANSLATE(D:D,""auto"",""en"")"),"A seven suspected pneumonia dye")</f>
        <v>A seven suspected pneumonia dye</v>
      </c>
      <c r="D1405" s="4" t="s">
        <v>2113</v>
      </c>
      <c r="E1405" s="4">
        <v>0.0</v>
      </c>
      <c r="F1405" s="4">
        <v>4.0</v>
      </c>
      <c r="G1405" s="4" t="s">
        <v>2114</v>
      </c>
    </row>
    <row r="1406">
      <c r="A1406" s="1">
        <v>1404.0</v>
      </c>
      <c r="B1406" s="4" t="s">
        <v>2153</v>
      </c>
      <c r="C1406" s="5" t="str">
        <f>IFERROR(__xludf.DUMMYFUNCTION("GOOGLETRANSLATE(D:D,""auto"",""en"")"),"Dongtai earthquake")</f>
        <v>Dongtai earthquake</v>
      </c>
      <c r="D1406" s="4" t="s">
        <v>2156</v>
      </c>
      <c r="E1406" s="4">
        <v>0.0</v>
      </c>
      <c r="F1406" s="4">
        <v>5.0</v>
      </c>
      <c r="G1406" s="4" t="s">
        <v>2157</v>
      </c>
    </row>
    <row r="1407">
      <c r="A1407" s="1">
        <v>1405.0</v>
      </c>
      <c r="B1407" s="4" t="s">
        <v>2153</v>
      </c>
      <c r="C1407" s="5" t="str">
        <f>IFERROR(__xludf.DUMMYFUNCTION("GOOGLETRANSLATE(D:D,""auto"",""en"")"),"Korean media batch entry ban Chinese people")</f>
        <v>Korean media batch entry ban Chinese people</v>
      </c>
      <c r="D1407" s="4" t="s">
        <v>2123</v>
      </c>
      <c r="E1407" s="4">
        <v>0.0</v>
      </c>
      <c r="F1407" s="4">
        <v>6.0</v>
      </c>
      <c r="G1407" s="4" t="s">
        <v>2124</v>
      </c>
    </row>
    <row r="1408">
      <c r="A1408" s="1">
        <v>1406.0</v>
      </c>
      <c r="B1408" s="4" t="s">
        <v>2153</v>
      </c>
      <c r="C1408" s="5" t="str">
        <f>IFERROR(__xludf.DUMMYFUNCTION("GOOGLETRANSLATE(D:D,""auto"",""en"")"),"mRNA vaccine development project")</f>
        <v>mRNA vaccine development project</v>
      </c>
      <c r="D1408" s="4" t="s">
        <v>2158</v>
      </c>
      <c r="E1408" s="4">
        <v>0.0</v>
      </c>
      <c r="F1408" s="4">
        <v>7.0</v>
      </c>
      <c r="G1408" s="4" t="s">
        <v>2159</v>
      </c>
    </row>
    <row r="1409">
      <c r="A1409" s="1">
        <v>1407.0</v>
      </c>
      <c r="B1409" s="4" t="s">
        <v>2153</v>
      </c>
      <c r="C1409" s="5" t="str">
        <f>IFERROR(__xludf.DUMMYFUNCTION("GOOGLETRANSLATE(D:D,""auto"",""en"")"),"Cuba's 7.7 magnitude earthquake")</f>
        <v>Cuba's 7.7 magnitude earthquake</v>
      </c>
      <c r="D1409" s="4" t="s">
        <v>2160</v>
      </c>
      <c r="E1409" s="4">
        <v>0.0</v>
      </c>
      <c r="F1409" s="4">
        <v>8.0</v>
      </c>
      <c r="G1409" s="4" t="s">
        <v>2161</v>
      </c>
    </row>
    <row r="1410">
      <c r="A1410" s="1">
        <v>1408.0</v>
      </c>
      <c r="B1410" s="4" t="s">
        <v>2153</v>
      </c>
      <c r="C1410" s="5" t="str">
        <f>IFERROR(__xludf.DUMMYFUNCTION("GOOGLETRANSLATE(D:D,""auto"",""en"")"),"Zhong Nanshan, tearful talk epidemic")</f>
        <v>Zhong Nanshan, tearful talk epidemic</v>
      </c>
      <c r="D1410" s="4" t="s">
        <v>2162</v>
      </c>
      <c r="E1410" s="4">
        <v>0.0</v>
      </c>
      <c r="F1410" s="4">
        <v>9.0</v>
      </c>
      <c r="G1410" s="4" t="s">
        <v>2163</v>
      </c>
    </row>
    <row r="1411">
      <c r="A1411" s="1">
        <v>1409.0</v>
      </c>
      <c r="B1411" s="4" t="s">
        <v>2153</v>
      </c>
      <c r="C1411" s="5" t="str">
        <f>IFERROR(__xludf.DUMMYFUNCTION("GOOGLETRANSLATE(D:D,""auto"",""en"")"),"Bryant has found the remains of father and daughter")</f>
        <v>Bryant has found the remains of father and daughter</v>
      </c>
      <c r="D1411" s="4" t="s">
        <v>2164</v>
      </c>
      <c r="E1411" s="4">
        <v>0.0</v>
      </c>
      <c r="F1411" s="4">
        <v>10.0</v>
      </c>
      <c r="G1411" s="4" t="s">
        <v>2165</v>
      </c>
    </row>
    <row r="1412">
      <c r="A1412" s="1">
        <v>1410.0</v>
      </c>
      <c r="B1412" s="4" t="s">
        <v>2153</v>
      </c>
      <c r="C1412" s="5" t="str">
        <f>IFERROR(__xludf.DUMMYFUNCTION("GOOGLETRANSLATE(D:D,""auto"",""en"")"),"Fifth welcome the God of Wealth")</f>
        <v>Fifth welcome the God of Wealth</v>
      </c>
      <c r="D1412" s="4" t="s">
        <v>2166</v>
      </c>
      <c r="E1412" s="4">
        <v>0.0</v>
      </c>
      <c r="F1412" s="4">
        <v>11.0</v>
      </c>
      <c r="G1412" s="4" t="s">
        <v>2167</v>
      </c>
    </row>
    <row r="1413">
      <c r="A1413" s="1">
        <v>1411.0</v>
      </c>
      <c r="B1413" s="4" t="s">
        <v>2153</v>
      </c>
      <c r="C1413" s="5" t="str">
        <f>IFERROR(__xludf.DUMMYFUNCTION("GOOGLETRANSLATE(D:D,""auto"",""en"")"),"The number of confirmed SARS pneumonia new super")</f>
        <v>The number of confirmed SARS pneumonia new super</v>
      </c>
      <c r="D1413" s="4" t="s">
        <v>2168</v>
      </c>
      <c r="E1413" s="4">
        <v>0.0</v>
      </c>
      <c r="F1413" s="4">
        <v>12.0</v>
      </c>
      <c r="G1413" s="4" t="s">
        <v>2169</v>
      </c>
    </row>
    <row r="1414">
      <c r="A1414" s="1">
        <v>1412.0</v>
      </c>
      <c r="B1414" s="4" t="s">
        <v>2153</v>
      </c>
      <c r="C1414" s="5" t="str">
        <f>IFERROR(__xludf.DUMMYFUNCTION("GOOGLETRANSLATE(D:D,""auto"",""en"")"),"On the official confirmed cases surge")</f>
        <v>On the official confirmed cases surge</v>
      </c>
      <c r="D1414" s="4" t="s">
        <v>2170</v>
      </c>
      <c r="E1414" s="4">
        <v>0.0</v>
      </c>
      <c r="F1414" s="4">
        <v>13.0</v>
      </c>
      <c r="G1414" s="4" t="s">
        <v>2171</v>
      </c>
    </row>
    <row r="1415">
      <c r="A1415" s="1">
        <v>1413.0</v>
      </c>
      <c r="B1415" s="4" t="s">
        <v>2153</v>
      </c>
      <c r="C1415" s="5" t="str">
        <f>IFERROR(__xludf.DUMMYFUNCTION("GOOGLETRANSLATE(D:D,""auto"",""en"")"),"Beijing pharmacy fined 3 million")</f>
        <v>Beijing pharmacy fined 3 million</v>
      </c>
      <c r="D1415" s="4" t="s">
        <v>2172</v>
      </c>
      <c r="E1415" s="4">
        <v>0.0</v>
      </c>
      <c r="F1415" s="4">
        <v>14.0</v>
      </c>
      <c r="G1415" s="4" t="s">
        <v>2173</v>
      </c>
    </row>
    <row r="1416">
      <c r="A1416" s="1">
        <v>1414.0</v>
      </c>
      <c r="B1416" s="4" t="s">
        <v>2153</v>
      </c>
      <c r="C1416" s="5" t="str">
        <f>IFERROR(__xludf.DUMMYFUNCTION("GOOGLETRANSLATE(D:D,""auto"",""en"")"),"Takeout brother suspected of having pneumonia")</f>
        <v>Takeout brother suspected of having pneumonia</v>
      </c>
      <c r="D1416" s="4" t="s">
        <v>2174</v>
      </c>
      <c r="E1416" s="4">
        <v>0.0</v>
      </c>
      <c r="F1416" s="4">
        <v>15.0</v>
      </c>
      <c r="G1416" s="4" t="s">
        <v>2175</v>
      </c>
    </row>
    <row r="1417">
      <c r="A1417" s="1">
        <v>1415.0</v>
      </c>
      <c r="B1417" s="4" t="s">
        <v>2153</v>
      </c>
      <c r="C1417" s="5" t="str">
        <f>IFERROR(__xludf.DUMMYFUNCTION("GOOGLETRANSLATE(D:D,""auto"",""en"")"),"Shaanxi is now 3 years old diagnosed patients")</f>
        <v>Shaanxi is now 3 years old diagnosed patients</v>
      </c>
      <c r="D1417" s="4" t="s">
        <v>2176</v>
      </c>
      <c r="E1417" s="4">
        <v>0.0</v>
      </c>
      <c r="F1417" s="4">
        <v>16.0</v>
      </c>
      <c r="G1417" s="4" t="s">
        <v>2177</v>
      </c>
    </row>
    <row r="1418">
      <c r="A1418" s="1">
        <v>1416.0</v>
      </c>
      <c r="B1418" s="4" t="s">
        <v>2153</v>
      </c>
      <c r="C1418" s="5" t="str">
        <f>IFERROR(__xludf.DUMMYFUNCTION("GOOGLETRANSLATE(D:D,""auto"",""en"")"),"A Hubei provinces drifting owners")</f>
        <v>A Hubei provinces drifting owners</v>
      </c>
      <c r="D1418" s="4" t="s">
        <v>2178</v>
      </c>
      <c r="E1418" s="4">
        <v>0.0</v>
      </c>
      <c r="F1418" s="4">
        <v>17.0</v>
      </c>
      <c r="G1418" s="4" t="s">
        <v>2179</v>
      </c>
    </row>
    <row r="1419">
      <c r="A1419" s="1">
        <v>1417.0</v>
      </c>
      <c r="B1419" s="4" t="s">
        <v>2153</v>
      </c>
      <c r="C1419" s="5" t="str">
        <f>IFERROR(__xludf.DUMMYFUNCTION("GOOGLETRANSLATE(D:D,""auto"",""en"")"),"Alumni 6 people diagnosed with pneumonia")</f>
        <v>Alumni 6 people diagnosed with pneumonia</v>
      </c>
      <c r="D1419" s="4" t="s">
        <v>2180</v>
      </c>
      <c r="E1419" s="4">
        <v>0.0</v>
      </c>
      <c r="F1419" s="4">
        <v>18.0</v>
      </c>
      <c r="G1419" s="4" t="s">
        <v>2181</v>
      </c>
    </row>
    <row r="1420">
      <c r="A1420" s="1">
        <v>1418.0</v>
      </c>
      <c r="B1420" s="4" t="s">
        <v>2153</v>
      </c>
      <c r="C1420" s="5" t="str">
        <f>IFERROR(__xludf.DUMMYFUNCTION("GOOGLETRANSLATE(D:D,""auto"",""en"")"),"Japan to evacuate more than fever")</f>
        <v>Japan to evacuate more than fever</v>
      </c>
      <c r="D1420" s="4" t="s">
        <v>2182</v>
      </c>
      <c r="E1420" s="4">
        <v>0.0</v>
      </c>
      <c r="F1420" s="4">
        <v>19.0</v>
      </c>
      <c r="G1420" s="4" t="s">
        <v>2183</v>
      </c>
    </row>
    <row r="1421">
      <c r="A1421" s="1">
        <v>1419.0</v>
      </c>
      <c r="B1421" s="4" t="s">
        <v>2153</v>
      </c>
      <c r="C1421" s="5" t="str">
        <f>IFERROR(__xludf.DUMMYFUNCTION("GOOGLETRANSLATE(D:D,""auto"",""en"")"),"Jointly called for a moratorium Face Recognition")</f>
        <v>Jointly called for a moratorium Face Recognition</v>
      </c>
      <c r="D1421" s="4" t="s">
        <v>2184</v>
      </c>
      <c r="E1421" s="4">
        <v>0.0</v>
      </c>
      <c r="F1421" s="4">
        <v>20.0</v>
      </c>
      <c r="G1421" s="4" t="s">
        <v>2185</v>
      </c>
    </row>
    <row r="1422">
      <c r="A1422" s="1">
        <v>1420.0</v>
      </c>
      <c r="B1422" s="4" t="s">
        <v>2153</v>
      </c>
      <c r="C1422" s="5" t="str">
        <f>IFERROR(__xludf.DUMMYFUNCTION("GOOGLETRANSLATE(D:D,""auto"",""en"")"),"HowNet free Open")</f>
        <v>HowNet free Open</v>
      </c>
      <c r="D1422" s="4" t="s">
        <v>2186</v>
      </c>
      <c r="E1422" s="4">
        <v>0.0</v>
      </c>
      <c r="F1422" s="4">
        <v>21.0</v>
      </c>
      <c r="G1422" s="4" t="s">
        <v>2187</v>
      </c>
    </row>
    <row r="1423">
      <c r="A1423" s="1">
        <v>1421.0</v>
      </c>
      <c r="B1423" s="4" t="s">
        <v>2153</v>
      </c>
      <c r="C1423" s="5" t="str">
        <f>IFERROR(__xludf.DUMMYFUNCTION("GOOGLETRANSLATE(D:D,""auto"",""en"")"),"3M's CEO position")</f>
        <v>3M's CEO position</v>
      </c>
      <c r="D1423" s="4" t="s">
        <v>2188</v>
      </c>
      <c r="E1423" s="4">
        <v>0.0</v>
      </c>
      <c r="F1423" s="4">
        <v>22.0</v>
      </c>
      <c r="G1423" s="4" t="s">
        <v>2189</v>
      </c>
    </row>
    <row r="1424">
      <c r="A1424" s="1">
        <v>1422.0</v>
      </c>
      <c r="B1424" s="4" t="s">
        <v>2153</v>
      </c>
      <c r="C1424" s="5" t="str">
        <f>IFERROR(__xludf.DUMMYFUNCTION("GOOGLETRANSLATE(D:D,""auto"",""en"")"),"Beijing seems to run into the period")</f>
        <v>Beijing seems to run into the period</v>
      </c>
      <c r="D1424" s="4" t="s">
        <v>2190</v>
      </c>
      <c r="E1424" s="4">
        <v>0.0</v>
      </c>
      <c r="F1424" s="4">
        <v>23.0</v>
      </c>
      <c r="G1424" s="4" t="s">
        <v>2191</v>
      </c>
    </row>
    <row r="1425">
      <c r="A1425" s="1">
        <v>1423.0</v>
      </c>
      <c r="B1425" s="4" t="s">
        <v>2153</v>
      </c>
      <c r="C1425" s="5" t="str">
        <f>IFERROR(__xludf.DUMMYFUNCTION("GOOGLETRANSLATE(D:D,""auto"",""en"")"),"James sound again")</f>
        <v>James sound again</v>
      </c>
      <c r="D1425" s="4" t="s">
        <v>2192</v>
      </c>
      <c r="E1425" s="4">
        <v>0.0</v>
      </c>
      <c r="F1425" s="4">
        <v>24.0</v>
      </c>
      <c r="G1425" s="4" t="s">
        <v>2193</v>
      </c>
    </row>
    <row r="1426">
      <c r="A1426" s="1">
        <v>1424.0</v>
      </c>
      <c r="B1426" s="4" t="s">
        <v>2153</v>
      </c>
      <c r="C1426" s="5" t="str">
        <f>IFERROR(__xludf.DUMMYFUNCTION("GOOGLETRANSLATE(D:D,""auto"",""en"")"),"Beijing emergence of clusters of cases")</f>
        <v>Beijing emergence of clusters of cases</v>
      </c>
      <c r="D1426" s="4" t="s">
        <v>2194</v>
      </c>
      <c r="E1426" s="4">
        <v>0.0</v>
      </c>
      <c r="F1426" s="4">
        <v>25.0</v>
      </c>
      <c r="G1426" s="4" t="s">
        <v>2195</v>
      </c>
    </row>
    <row r="1427">
      <c r="A1427" s="1">
        <v>1425.0</v>
      </c>
      <c r="B1427" s="4" t="s">
        <v>2153</v>
      </c>
      <c r="C1427" s="5" t="str">
        <f>IFERROR(__xludf.DUMMYFUNCTION("GOOGLETRANSLATE(D:D,""auto"",""en"")"),"Wulantuya donations Wuhan")</f>
        <v>Wulantuya donations Wuhan</v>
      </c>
      <c r="D1427" s="4" t="s">
        <v>2196</v>
      </c>
      <c r="E1427" s="4">
        <v>0.0</v>
      </c>
      <c r="F1427" s="4">
        <v>26.0</v>
      </c>
      <c r="G1427" s="4" t="s">
        <v>2197</v>
      </c>
    </row>
    <row r="1428">
      <c r="A1428" s="1">
        <v>1426.0</v>
      </c>
      <c r="B1428" s="4" t="s">
        <v>2153</v>
      </c>
      <c r="C1428" s="5" t="str">
        <f>IFERROR(__xludf.DUMMYFUNCTION("GOOGLETRANSLATE(D:D,""auto"",""en"")"),"Health care delivery 30,000 kg cherries")</f>
        <v>Health care delivery 30,000 kg cherries</v>
      </c>
      <c r="D1428" s="4" t="s">
        <v>2198</v>
      </c>
      <c r="E1428" s="4">
        <v>0.0</v>
      </c>
      <c r="F1428" s="4">
        <v>27.0</v>
      </c>
      <c r="G1428" s="4" t="s">
        <v>2199</v>
      </c>
    </row>
    <row r="1429">
      <c r="A1429" s="1">
        <v>1427.0</v>
      </c>
      <c r="B1429" s="4" t="s">
        <v>2153</v>
      </c>
      <c r="C1429" s="5" t="str">
        <f>IFERROR(__xludf.DUMMYFUNCTION("GOOGLETRANSLATE(D:D,""auto"",""en"")"),"Illegal disclosure of outbreaks have been notified")</f>
        <v>Illegal disclosure of outbreaks have been notified</v>
      </c>
      <c r="D1429" s="4" t="s">
        <v>2200</v>
      </c>
      <c r="E1429" s="4">
        <v>0.0</v>
      </c>
      <c r="F1429" s="4">
        <v>28.0</v>
      </c>
      <c r="G1429" s="4" t="s">
        <v>2201</v>
      </c>
    </row>
    <row r="1430">
      <c r="A1430" s="1">
        <v>1428.0</v>
      </c>
      <c r="B1430" s="4" t="s">
        <v>2153</v>
      </c>
      <c r="C1430" s="5" t="str">
        <f>IFERROR(__xludf.DUMMYFUNCTION("GOOGLETRANSLATE(D:D,""auto"",""en"")"),"The epidemic appears to be turning point")</f>
        <v>The epidemic appears to be turning point</v>
      </c>
      <c r="D1430" s="4" t="s">
        <v>2202</v>
      </c>
      <c r="E1430" s="4">
        <v>0.0</v>
      </c>
      <c r="F1430" s="4">
        <v>29.0</v>
      </c>
      <c r="G1430" s="4" t="s">
        <v>2203</v>
      </c>
    </row>
    <row r="1431">
      <c r="A1431" s="1">
        <v>1429.0</v>
      </c>
      <c r="B1431" s="4" t="s">
        <v>2153</v>
      </c>
      <c r="C1431" s="5" t="str">
        <f>IFERROR(__xludf.DUMMYFUNCTION("GOOGLETRANSLATE(D:D,""auto"",""en"")"),"On the official quarantine period can eat garlic")</f>
        <v>On the official quarantine period can eat garlic</v>
      </c>
      <c r="D1431" s="4" t="s">
        <v>2204</v>
      </c>
      <c r="E1431" s="4">
        <v>0.0</v>
      </c>
      <c r="F1431" s="4">
        <v>30.0</v>
      </c>
      <c r="G1431" s="4" t="s">
        <v>2205</v>
      </c>
    </row>
    <row r="1432">
      <c r="A1432" s="1">
        <v>1430.0</v>
      </c>
      <c r="B1432" s="4" t="s">
        <v>2153</v>
      </c>
      <c r="C1432" s="5" t="str">
        <f>IFERROR(__xludf.DUMMYFUNCTION("GOOGLETRANSLATE(D:D,""auto"",""en"")"),"Customs detected in 11 patients")</f>
        <v>Customs detected in 11 patients</v>
      </c>
      <c r="D1432" s="4" t="s">
        <v>2206</v>
      </c>
      <c r="E1432" s="4">
        <v>0.0</v>
      </c>
      <c r="F1432" s="4">
        <v>31.0</v>
      </c>
      <c r="G1432" s="4" t="s">
        <v>2207</v>
      </c>
    </row>
    <row r="1433">
      <c r="A1433" s="1">
        <v>1431.0</v>
      </c>
      <c r="B1433" s="4" t="s">
        <v>2153</v>
      </c>
      <c r="C1433" s="5" t="str">
        <f>IFERROR(__xludf.DUMMYFUNCTION("GOOGLETRANSLATE(D:D,""auto"",""en"")"),"Russia is working to develop a vaccine")</f>
        <v>Russia is working to develop a vaccine</v>
      </c>
      <c r="D1433" s="4" t="s">
        <v>2208</v>
      </c>
      <c r="E1433" s="4">
        <v>0.0</v>
      </c>
      <c r="F1433" s="4">
        <v>32.0</v>
      </c>
      <c r="G1433" s="4" t="s">
        <v>2209</v>
      </c>
    </row>
    <row r="1434">
      <c r="A1434" s="1">
        <v>1432.0</v>
      </c>
      <c r="B1434" s="4" t="s">
        <v>2153</v>
      </c>
      <c r="C1434" s="5" t="str">
        <f>IFERROR(__xludf.DUMMYFUNCTION("GOOGLETRANSLATE(D:D,""auto"",""en"")"),"Dr Chan won best sleeping position")</f>
        <v>Dr Chan won best sleeping position</v>
      </c>
      <c r="D1434" s="4" t="s">
        <v>2210</v>
      </c>
      <c r="E1434" s="4">
        <v>0.0</v>
      </c>
      <c r="F1434" s="4">
        <v>33.0</v>
      </c>
      <c r="G1434" s="4" t="s">
        <v>2211</v>
      </c>
    </row>
    <row r="1435">
      <c r="A1435" s="1">
        <v>1433.0</v>
      </c>
      <c r="B1435" s="4" t="s">
        <v>2153</v>
      </c>
      <c r="C1435" s="5" t="str">
        <f>IFERROR(__xludf.DUMMYFUNCTION("GOOGLETRANSLATE(D:D,""auto"",""en"")"),"Before diagnosis via car and more")</f>
        <v>Before diagnosis via car and more</v>
      </c>
      <c r="D1435" s="4" t="s">
        <v>2212</v>
      </c>
      <c r="E1435" s="4">
        <v>0.0</v>
      </c>
      <c r="F1435" s="4">
        <v>34.0</v>
      </c>
      <c r="G1435" s="4" t="s">
        <v>2213</v>
      </c>
    </row>
    <row r="1436">
      <c r="A1436" s="1">
        <v>1434.0</v>
      </c>
      <c r="B1436" s="4" t="s">
        <v>2153</v>
      </c>
      <c r="C1436" s="5" t="str">
        <f>IFERROR(__xludf.DUMMYFUNCTION("GOOGLETRANSLATE(D:D,""auto"",""en"")"),"Cabbage sell 63 fined 500,000")</f>
        <v>Cabbage sell 63 fined 500,000</v>
      </c>
      <c r="D1436" s="4" t="s">
        <v>2109</v>
      </c>
      <c r="E1436" s="4">
        <v>0.0</v>
      </c>
      <c r="F1436" s="4">
        <v>35.0</v>
      </c>
      <c r="G1436" s="4" t="s">
        <v>2110</v>
      </c>
    </row>
    <row r="1437">
      <c r="A1437" s="1">
        <v>1435.0</v>
      </c>
      <c r="B1437" s="4" t="s">
        <v>2153</v>
      </c>
      <c r="C1437" s="5" t="str">
        <f>IFERROR(__xludf.DUMMYFUNCTION("GOOGLETRANSLATE(D:D,""auto"",""en"")"),"Millet has apologized products")</f>
        <v>Millet has apologized products</v>
      </c>
      <c r="D1437" s="4" t="s">
        <v>2137</v>
      </c>
      <c r="E1437" s="4">
        <v>0.0</v>
      </c>
      <c r="F1437" s="4">
        <v>36.0</v>
      </c>
      <c r="G1437" s="4" t="s">
        <v>2138</v>
      </c>
    </row>
    <row r="1438">
      <c r="A1438" s="1">
        <v>1436.0</v>
      </c>
      <c r="B1438" s="4" t="s">
        <v>2153</v>
      </c>
      <c r="C1438" s="5" t="str">
        <f>IFERROR(__xludf.DUMMYFUNCTION("GOOGLETRANSLATE(D:D,""auto"",""en"")"),"Vanessa exposure in tears")</f>
        <v>Vanessa exposure in tears</v>
      </c>
      <c r="D1438" s="4" t="s">
        <v>2214</v>
      </c>
      <c r="E1438" s="4">
        <v>0.0</v>
      </c>
      <c r="F1438" s="4">
        <v>37.0</v>
      </c>
      <c r="G1438" s="4" t="s">
        <v>2215</v>
      </c>
    </row>
    <row r="1439">
      <c r="A1439" s="1">
        <v>1437.0</v>
      </c>
      <c r="B1439" s="4" t="s">
        <v>2153</v>
      </c>
      <c r="C1439" s="5" t="str">
        <f>IFERROR(__xludf.DUMMYFUNCTION("GOOGLETRANSLATE(D:D,""auto"",""en"")"),"The suggestion to return to post staff")</f>
        <v>The suggestion to return to post staff</v>
      </c>
      <c r="D1439" s="4" t="s">
        <v>2216</v>
      </c>
      <c r="E1439" s="4">
        <v>0.0</v>
      </c>
      <c r="F1439" s="4">
        <v>38.0</v>
      </c>
      <c r="G1439" s="4" t="s">
        <v>2217</v>
      </c>
    </row>
    <row r="1440">
      <c r="A1440" s="1">
        <v>1438.0</v>
      </c>
      <c r="B1440" s="4" t="s">
        <v>2153</v>
      </c>
      <c r="C1440" s="5" t="str">
        <f>IFERROR(__xludf.DUMMYFUNCTION("GOOGLETRANSLATE(D:D,""auto"",""en"")"),"Product sold out Nike Kobe")</f>
        <v>Product sold out Nike Kobe</v>
      </c>
      <c r="D1440" s="4" t="s">
        <v>2218</v>
      </c>
      <c r="E1440" s="4">
        <v>0.0</v>
      </c>
      <c r="F1440" s="4">
        <v>39.0</v>
      </c>
      <c r="G1440" s="4" t="s">
        <v>2219</v>
      </c>
    </row>
    <row r="1441">
      <c r="A1441" s="1">
        <v>1439.0</v>
      </c>
      <c r="B1441" s="4" t="s">
        <v>2153</v>
      </c>
      <c r="C1441" s="5" t="str">
        <f>IFERROR(__xludf.DUMMYFUNCTION("GOOGLETRANSLATE(D:D,""auto"",""en"")"),"Asymptomatic infection occurs")</f>
        <v>Asymptomatic infection occurs</v>
      </c>
      <c r="D1441" s="4" t="s">
        <v>2107</v>
      </c>
      <c r="E1441" s="4">
        <v>0.0</v>
      </c>
      <c r="F1441" s="4">
        <v>40.0</v>
      </c>
      <c r="G1441" s="4" t="s">
        <v>2108</v>
      </c>
    </row>
    <row r="1442">
      <c r="A1442" s="1">
        <v>1440.0</v>
      </c>
      <c r="B1442" s="4" t="s">
        <v>2153</v>
      </c>
      <c r="C1442" s="5" t="str">
        <f>IFERROR(__xludf.DUMMYFUNCTION("GOOGLETRANSLATE(D:D,""auto"",""en"")"),"Anhui diagnosed now 8 months")</f>
        <v>Anhui diagnosed now 8 months</v>
      </c>
      <c r="D1442" s="4" t="s">
        <v>2220</v>
      </c>
      <c r="E1442" s="4">
        <v>0.0</v>
      </c>
      <c r="F1442" s="4">
        <v>41.0</v>
      </c>
      <c r="G1442" s="4" t="s">
        <v>2221</v>
      </c>
    </row>
    <row r="1443">
      <c r="A1443" s="1">
        <v>1441.0</v>
      </c>
      <c r="B1443" s="4" t="s">
        <v>2153</v>
      </c>
      <c r="C1443" s="5" t="str">
        <f>IFERROR(__xludf.DUMMYFUNCTION("GOOGLETRANSLATE(D:D,""auto"",""en"")"),"Experts respond courier infection")</f>
        <v>Experts respond courier infection</v>
      </c>
      <c r="D1443" s="4" t="s">
        <v>2222</v>
      </c>
      <c r="E1443" s="4">
        <v>0.0</v>
      </c>
      <c r="F1443" s="4">
        <v>42.0</v>
      </c>
      <c r="G1443" s="4" t="s">
        <v>2223</v>
      </c>
    </row>
    <row r="1444">
      <c r="A1444" s="1">
        <v>1442.0</v>
      </c>
      <c r="B1444" s="4" t="s">
        <v>2153</v>
      </c>
      <c r="C1444" s="5" t="str">
        <f>IFERROR(__xludf.DUMMYFUNCTION("GOOGLETRANSLATE(D:D,""auto"",""en"")"),"Experts respond to daily wear gloves")</f>
        <v>Experts respond to daily wear gloves</v>
      </c>
      <c r="D1444" s="4" t="s">
        <v>2224</v>
      </c>
      <c r="E1444" s="4">
        <v>0.0</v>
      </c>
      <c r="F1444" s="4">
        <v>43.0</v>
      </c>
      <c r="G1444" s="4" t="s">
        <v>2225</v>
      </c>
    </row>
    <row r="1445">
      <c r="A1445" s="1">
        <v>1443.0</v>
      </c>
      <c r="B1445" s="4" t="s">
        <v>2153</v>
      </c>
      <c r="C1445" s="5" t="str">
        <f>IFERROR(__xludf.DUMMYFUNCTION("GOOGLETRANSLATE(D:D,""auto"",""en"")"),"Official discrimination against people talk about Wuhan")</f>
        <v>Official discrimination against people talk about Wuhan</v>
      </c>
      <c r="D1445" s="4" t="s">
        <v>2226</v>
      </c>
      <c r="E1445" s="4">
        <v>0.0</v>
      </c>
      <c r="F1445" s="4">
        <v>44.0</v>
      </c>
      <c r="G1445" s="4" t="s">
        <v>2227</v>
      </c>
    </row>
    <row r="1446">
      <c r="A1446" s="1">
        <v>1444.0</v>
      </c>
      <c r="B1446" s="4" t="s">
        <v>2153</v>
      </c>
      <c r="C1446" s="5" t="str">
        <f>IFERROR(__xludf.DUMMYFUNCTION("GOOGLETRANSLATE(D:D,""auto"",""en"")"),"Extended leave should be twice the wages")</f>
        <v>Extended leave should be twice the wages</v>
      </c>
      <c r="D1446" s="4" t="s">
        <v>2121</v>
      </c>
      <c r="E1446" s="4">
        <v>0.0</v>
      </c>
      <c r="F1446" s="4">
        <v>45.0</v>
      </c>
      <c r="G1446" s="4" t="s">
        <v>2122</v>
      </c>
    </row>
    <row r="1447">
      <c r="A1447" s="1">
        <v>1445.0</v>
      </c>
      <c r="B1447" s="4" t="s">
        <v>2153</v>
      </c>
      <c r="C1447" s="5" t="str">
        <f>IFERROR(__xludf.DUMMYFUNCTION("GOOGLETRANSLATE(D:D,""auto"",""en"")"),"Vulcan Hill Hospital renderings")</f>
        <v>Vulcan Hill Hospital renderings</v>
      </c>
      <c r="D1447" s="4" t="s">
        <v>2228</v>
      </c>
      <c r="E1447" s="4">
        <v>0.0</v>
      </c>
      <c r="F1447" s="4">
        <v>46.0</v>
      </c>
      <c r="G1447" s="4" t="s">
        <v>2229</v>
      </c>
    </row>
    <row r="1448">
      <c r="A1448" s="1">
        <v>1446.0</v>
      </c>
      <c r="B1448" s="4" t="s">
        <v>2153</v>
      </c>
      <c r="C1448" s="5" t="str">
        <f>IFERROR(__xludf.DUMMYFUNCTION("GOOGLETRANSLATE(D:D,""auto"",""en"")"),"Japan new cases did not go to Wuhan")</f>
        <v>Japan new cases did not go to Wuhan</v>
      </c>
      <c r="D1448" s="4" t="s">
        <v>2119</v>
      </c>
      <c r="E1448" s="4">
        <v>0.0</v>
      </c>
      <c r="F1448" s="4">
        <v>47.0</v>
      </c>
      <c r="G1448" s="4" t="s">
        <v>2120</v>
      </c>
    </row>
    <row r="1449">
      <c r="A1449" s="1">
        <v>1447.0</v>
      </c>
      <c r="B1449" s="4" t="s">
        <v>2153</v>
      </c>
      <c r="C1449" s="5" t="str">
        <f>IFERROR(__xludf.DUMMYFUNCTION("GOOGLETRANSLATE(D:D,""auto"",""en"")"),"Bryant father's first appearance")</f>
        <v>Bryant father's first appearance</v>
      </c>
      <c r="D1449" s="4" t="s">
        <v>2141</v>
      </c>
      <c r="E1449" s="4">
        <v>0.0</v>
      </c>
      <c r="F1449" s="4">
        <v>48.0</v>
      </c>
      <c r="G1449" s="4" t="s">
        <v>2142</v>
      </c>
    </row>
    <row r="1450">
      <c r="A1450" s="1">
        <v>1448.0</v>
      </c>
      <c r="B1450" s="4" t="s">
        <v>2153</v>
      </c>
      <c r="C1450" s="5" t="str">
        <f>IFERROR(__xludf.DUMMYFUNCTION("GOOGLETRANSLATE(D:D,""auto"",""en"")"),"Mucosolvan or cure the new virus")</f>
        <v>Mucosolvan or cure the new virus</v>
      </c>
      <c r="D1450" s="4" t="s">
        <v>2230</v>
      </c>
      <c r="E1450" s="4">
        <v>0.0</v>
      </c>
      <c r="F1450" s="4">
        <v>49.0</v>
      </c>
      <c r="G1450" s="4" t="s">
        <v>2231</v>
      </c>
    </row>
    <row r="1451">
      <c r="A1451" s="1">
        <v>1449.0</v>
      </c>
      <c r="B1451" s="4" t="s">
        <v>2153</v>
      </c>
      <c r="C1451" s="5" t="str">
        <f>IFERROR(__xludf.DUMMYFUNCTION("GOOGLETRANSLATE(D:D,""auto"",""en"")"),"Shanghai restore masks supply")</f>
        <v>Shanghai restore masks supply</v>
      </c>
      <c r="D1451" s="4" t="s">
        <v>2232</v>
      </c>
      <c r="E1451" s="4">
        <v>0.0</v>
      </c>
      <c r="F1451" s="4">
        <v>50.0</v>
      </c>
      <c r="G1451" s="4" t="s">
        <v>2233</v>
      </c>
    </row>
    <row r="1452">
      <c r="A1452" s="1">
        <v>1450.0</v>
      </c>
      <c r="B1452" s="4" t="s">
        <v>2234</v>
      </c>
      <c r="C1452" s="5" t="str">
        <f>IFERROR(__xludf.DUMMYFUNCTION("GOOGLETRANSLATE(D:D,""auto"",""en"")"),"The epidemic appears to be turning point")</f>
        <v>The epidemic appears to be turning point</v>
      </c>
      <c r="D1452" s="4" t="s">
        <v>2202</v>
      </c>
      <c r="E1452" s="4">
        <v>0.0</v>
      </c>
      <c r="F1452" s="4">
        <v>1.0</v>
      </c>
      <c r="G1452" s="4" t="s">
        <v>2203</v>
      </c>
    </row>
    <row r="1453">
      <c r="A1453" s="1">
        <v>1451.0</v>
      </c>
      <c r="B1453" s="4" t="s">
        <v>2234</v>
      </c>
      <c r="C1453" s="5" t="str">
        <f>IFERROR(__xludf.DUMMYFUNCTION("GOOGLETRANSLATE(D:D,""auto"",""en"")"),"On the official quarantine period can eat garlic")</f>
        <v>On the official quarantine period can eat garlic</v>
      </c>
      <c r="D1453" s="4" t="s">
        <v>2204</v>
      </c>
      <c r="E1453" s="4">
        <v>0.0</v>
      </c>
      <c r="F1453" s="4">
        <v>2.0</v>
      </c>
      <c r="G1453" s="4" t="s">
        <v>2205</v>
      </c>
    </row>
    <row r="1454">
      <c r="A1454" s="1">
        <v>1452.0</v>
      </c>
      <c r="B1454" s="4" t="s">
        <v>2234</v>
      </c>
      <c r="C1454" s="5" t="str">
        <f>IFERROR(__xludf.DUMMYFUNCTION("GOOGLETRANSLATE(D:D,""auto"",""en"")"),"Hubei long to respond to criticism")</f>
        <v>Hubei long to respond to criticism</v>
      </c>
      <c r="D1454" s="4" t="s">
        <v>2235</v>
      </c>
      <c r="E1454" s="4">
        <v>0.0</v>
      </c>
      <c r="F1454" s="4">
        <v>3.0</v>
      </c>
      <c r="G1454" s="4" t="s">
        <v>2236</v>
      </c>
    </row>
    <row r="1455">
      <c r="A1455" s="1">
        <v>1453.0</v>
      </c>
      <c r="B1455" s="4" t="s">
        <v>2234</v>
      </c>
      <c r="C1455" s="5" t="str">
        <f>IFERROR(__xludf.DUMMYFUNCTION("GOOGLETRANSLATE(D:D,""auto"",""en"")"),"Wife Vanessa Bryant sound")</f>
        <v>Wife Vanessa Bryant sound</v>
      </c>
      <c r="D1455" s="4" t="s">
        <v>2237</v>
      </c>
      <c r="E1455" s="4">
        <v>0.0</v>
      </c>
      <c r="F1455" s="4">
        <v>4.0</v>
      </c>
      <c r="G1455" s="4" t="s">
        <v>2238</v>
      </c>
    </row>
    <row r="1456">
      <c r="A1456" s="1">
        <v>1454.0</v>
      </c>
      <c r="B1456" s="4" t="s">
        <v>2234</v>
      </c>
      <c r="C1456" s="5" t="str">
        <f>IFERROR(__xludf.DUMMYFUNCTION("GOOGLETRANSLATE(D:D,""auto"",""en"")"),"Shandong delay notify school")</f>
        <v>Shandong delay notify school</v>
      </c>
      <c r="D1456" s="4" t="s">
        <v>2239</v>
      </c>
      <c r="E1456" s="4">
        <v>0.0</v>
      </c>
      <c r="F1456" s="4">
        <v>5.0</v>
      </c>
      <c r="G1456" s="4" t="s">
        <v>2240</v>
      </c>
    </row>
    <row r="1457">
      <c r="A1457" s="1">
        <v>1455.0</v>
      </c>
      <c r="B1457" s="4" t="s">
        <v>2234</v>
      </c>
      <c r="C1457" s="5" t="str">
        <f>IFERROR(__xludf.DUMMYFUNCTION("GOOGLETRANSLATE(D:D,""auto"",""en"")"),"Anhui extended holiday notice")</f>
        <v>Anhui extended holiday notice</v>
      </c>
      <c r="D1457" s="4" t="s">
        <v>2241</v>
      </c>
      <c r="E1457" s="4">
        <v>0.0</v>
      </c>
      <c r="F1457" s="4">
        <v>6.0</v>
      </c>
      <c r="G1457" s="4" t="s">
        <v>2242</v>
      </c>
    </row>
    <row r="1458">
      <c r="A1458" s="1">
        <v>1456.0</v>
      </c>
      <c r="B1458" s="4" t="s">
        <v>2234</v>
      </c>
      <c r="C1458" s="5" t="str">
        <f>IFERROR(__xludf.DUMMYFUNCTION("GOOGLETRANSLATE(D:D,""auto"",""en"")"),"SF respond interception masks")</f>
        <v>SF respond interception masks</v>
      </c>
      <c r="D1458" s="4" t="s">
        <v>2243</v>
      </c>
      <c r="E1458" s="4">
        <v>0.0</v>
      </c>
      <c r="F1458" s="4">
        <v>7.0</v>
      </c>
      <c r="G1458" s="4" t="s">
        <v>2244</v>
      </c>
    </row>
    <row r="1459">
      <c r="A1459" s="1">
        <v>1457.0</v>
      </c>
      <c r="B1459" s="4" t="s">
        <v>2234</v>
      </c>
      <c r="C1459" s="5" t="str">
        <f>IFERROR(__xludf.DUMMYFUNCTION("GOOGLETRANSLATE(D:D,""auto"",""en"")"),"Wuhan surrounding the epidemic crisis")</f>
        <v>Wuhan surrounding the epidemic crisis</v>
      </c>
      <c r="D1459" s="4" t="s">
        <v>2245</v>
      </c>
      <c r="E1459" s="4">
        <v>0.0</v>
      </c>
      <c r="F1459" s="4">
        <v>8.0</v>
      </c>
      <c r="G1459" s="4" t="s">
        <v>2246</v>
      </c>
    </row>
    <row r="1460">
      <c r="A1460" s="1">
        <v>1458.0</v>
      </c>
      <c r="B1460" s="4" t="s">
        <v>2234</v>
      </c>
      <c r="C1460" s="5" t="str">
        <f>IFERROR(__xludf.DUMMYFUNCTION("GOOGLETRANSLATE(D:D,""auto"",""en"")"),"Wang Fei donated masks to Taiwan")</f>
        <v>Wang Fei donated masks to Taiwan</v>
      </c>
      <c r="D1460" s="4" t="s">
        <v>2247</v>
      </c>
      <c r="E1460" s="4">
        <v>0.0</v>
      </c>
      <c r="F1460" s="4">
        <v>9.0</v>
      </c>
      <c r="G1460" s="4" t="s">
        <v>2248</v>
      </c>
    </row>
    <row r="1461">
      <c r="A1461" s="1">
        <v>1459.0</v>
      </c>
      <c r="B1461" s="4" t="s">
        <v>2234</v>
      </c>
      <c r="C1461" s="5" t="str">
        <f>IFERROR(__xludf.DUMMYFUNCTION("GOOGLETRANSLATE(D:D,""auto"",""en"")"),"The patient was diagnosed four detection")</f>
        <v>The patient was diagnosed four detection</v>
      </c>
      <c r="D1461" s="4" t="s">
        <v>2249</v>
      </c>
      <c r="E1461" s="4">
        <v>0.0</v>
      </c>
      <c r="F1461" s="4">
        <v>10.0</v>
      </c>
      <c r="G1461" s="4" t="s">
        <v>2250</v>
      </c>
    </row>
    <row r="1462">
      <c r="A1462" s="1">
        <v>1460.0</v>
      </c>
      <c r="B1462" s="4" t="s">
        <v>2234</v>
      </c>
      <c r="C1462" s="5" t="str">
        <f>IFERROR(__xludf.DUMMYFUNCTION("GOOGLETRANSLATE(D:D,""auto"",""en"")"),"Shandong enterprises return to work delayed")</f>
        <v>Shandong enterprises return to work delayed</v>
      </c>
      <c r="D1462" s="4" t="s">
        <v>2251</v>
      </c>
      <c r="E1462" s="4">
        <v>0.0</v>
      </c>
      <c r="F1462" s="4">
        <v>11.0</v>
      </c>
      <c r="G1462" s="4" t="s">
        <v>2252</v>
      </c>
    </row>
    <row r="1463">
      <c r="A1463" s="1">
        <v>1461.0</v>
      </c>
      <c r="B1463" s="4" t="s">
        <v>2234</v>
      </c>
      <c r="C1463" s="5" t="str">
        <f>IFERROR(__xludf.DUMMYFUNCTION("GOOGLETRANSLATE(D:D,""auto"",""en"")"),"Vanessa Bryant avatar change")</f>
        <v>Vanessa Bryant avatar change</v>
      </c>
      <c r="D1463" s="4" t="s">
        <v>2253</v>
      </c>
      <c r="E1463" s="4">
        <v>0.0</v>
      </c>
      <c r="F1463" s="4">
        <v>12.0</v>
      </c>
      <c r="G1463" s="4" t="s">
        <v>2254</v>
      </c>
    </row>
    <row r="1464">
      <c r="A1464" s="1">
        <v>1462.0</v>
      </c>
      <c r="B1464" s="4" t="s">
        <v>2234</v>
      </c>
      <c r="C1464" s="5" t="str">
        <f>IFERROR(__xludf.DUMMYFUNCTION("GOOGLETRANSLATE(D:D,""auto"",""en"")"),"Zhou in the United States by helicopter")</f>
        <v>Zhou in the United States by helicopter</v>
      </c>
      <c r="D1464" s="4" t="s">
        <v>2255</v>
      </c>
      <c r="E1464" s="4">
        <v>0.0</v>
      </c>
      <c r="F1464" s="4">
        <v>13.0</v>
      </c>
      <c r="G1464" s="4" t="s">
        <v>2256</v>
      </c>
    </row>
    <row r="1465">
      <c r="A1465" s="1">
        <v>1463.0</v>
      </c>
      <c r="B1465" s="4" t="s">
        <v>2234</v>
      </c>
      <c r="C1465" s="5" t="str">
        <f>IFERROR(__xludf.DUMMYFUNCTION("GOOGLETRANSLATE(D:D,""auto"",""en"")"),"Grizzlies Knicks conflict")</f>
        <v>Grizzlies Knicks conflict</v>
      </c>
      <c r="D1465" s="4" t="s">
        <v>2257</v>
      </c>
      <c r="E1465" s="4">
        <v>0.0</v>
      </c>
      <c r="F1465" s="4">
        <v>14.0</v>
      </c>
      <c r="G1465" s="4" t="s">
        <v>2258</v>
      </c>
    </row>
    <row r="1466">
      <c r="A1466" s="1">
        <v>1464.0</v>
      </c>
      <c r="B1466" s="4" t="s">
        <v>2234</v>
      </c>
      <c r="C1466" s="5" t="str">
        <f>IFERROR(__xludf.DUMMYFUNCTION("GOOGLETRANSLATE(D:D,""auto"",""en"")"),"Police for the prevention unfortunate death")</f>
        <v>Police for the prevention unfortunate death</v>
      </c>
      <c r="D1466" s="4" t="s">
        <v>2259</v>
      </c>
      <c r="E1466" s="4">
        <v>0.0</v>
      </c>
      <c r="F1466" s="4">
        <v>15.0</v>
      </c>
      <c r="G1466" s="4" t="s">
        <v>2260</v>
      </c>
    </row>
    <row r="1467">
      <c r="A1467" s="1">
        <v>1465.0</v>
      </c>
      <c r="B1467" s="4" t="s">
        <v>2234</v>
      </c>
      <c r="C1467" s="5" t="str">
        <f>IFERROR(__xludf.DUMMYFUNCTION("GOOGLETRANSLATE(D:D,""auto"",""en"")"),"Zhejiang talk of confirmed cases increased")</f>
        <v>Zhejiang talk of confirmed cases increased</v>
      </c>
      <c r="D1467" s="4" t="s">
        <v>2261</v>
      </c>
      <c r="E1467" s="4">
        <v>0.0</v>
      </c>
      <c r="F1467" s="4">
        <v>16.0</v>
      </c>
      <c r="G1467" s="4" t="s">
        <v>2262</v>
      </c>
    </row>
    <row r="1468">
      <c r="A1468" s="1">
        <v>1466.0</v>
      </c>
      <c r="B1468" s="4" t="s">
        <v>2234</v>
      </c>
      <c r="C1468" s="5" t="str">
        <f>IFERROR(__xludf.DUMMYFUNCTION("GOOGLETRANSLATE(D:D,""auto"",""en"")"),"Hubei, Zhejiang outside the heaviest outbreak")</f>
        <v>Hubei, Zhejiang outside the heaviest outbreak</v>
      </c>
      <c r="D1468" s="4" t="s">
        <v>2263</v>
      </c>
      <c r="E1468" s="4">
        <v>0.0</v>
      </c>
      <c r="F1468" s="4">
        <v>17.0</v>
      </c>
      <c r="G1468" s="4" t="s">
        <v>2264</v>
      </c>
    </row>
    <row r="1469">
      <c r="A1469" s="1">
        <v>1467.0</v>
      </c>
      <c r="B1469" s="4" t="s">
        <v>2234</v>
      </c>
      <c r="C1469" s="5" t="str">
        <f>IFERROR(__xludf.DUMMYFUNCTION("GOOGLETRANSLATE(D:D,""auto"",""en"")"),"Wuhan Fan Bingbing donated 500 000")</f>
        <v>Wuhan Fan Bingbing donated 500 000</v>
      </c>
      <c r="D1469" s="4" t="s">
        <v>2265</v>
      </c>
      <c r="E1469" s="4">
        <v>0.0</v>
      </c>
      <c r="F1469" s="4">
        <v>18.0</v>
      </c>
      <c r="G1469" s="4" t="s">
        <v>2266</v>
      </c>
    </row>
    <row r="1470">
      <c r="A1470" s="1">
        <v>1468.0</v>
      </c>
      <c r="B1470" s="4" t="s">
        <v>2234</v>
      </c>
      <c r="C1470" s="5" t="str">
        <f>IFERROR(__xludf.DUMMYFUNCTION("GOOGLETRANSLATE(D:D,""auto"",""en"")"),"Xin Zhang sun and doctors chat")</f>
        <v>Xin Zhang sun and doctors chat</v>
      </c>
      <c r="D1470" s="4" t="s">
        <v>2267</v>
      </c>
      <c r="E1470" s="4">
        <v>0.0</v>
      </c>
      <c r="F1470" s="4">
        <v>19.0</v>
      </c>
      <c r="G1470" s="4" t="s">
        <v>2268</v>
      </c>
    </row>
    <row r="1471">
      <c r="A1471" s="1">
        <v>1469.0</v>
      </c>
      <c r="B1471" s="4" t="s">
        <v>2234</v>
      </c>
      <c r="C1471" s="5" t="str">
        <f>IFERROR(__xludf.DUMMYFUNCTION("GOOGLETRANSLATE(D:D,""auto"",""en"")"),"Most donations not used")</f>
        <v>Most donations not used</v>
      </c>
      <c r="D1471" s="4" t="s">
        <v>2269</v>
      </c>
      <c r="E1471" s="4">
        <v>0.0</v>
      </c>
      <c r="F1471" s="4">
        <v>20.0</v>
      </c>
      <c r="G1471" s="4" t="s">
        <v>2270</v>
      </c>
    </row>
    <row r="1472">
      <c r="A1472" s="1">
        <v>1470.0</v>
      </c>
      <c r="B1472" s="4" t="s">
        <v>2234</v>
      </c>
      <c r="C1472" s="5" t="str">
        <f>IFERROR(__xludf.DUMMYFUNCTION("GOOGLETRANSLATE(D:D,""auto"",""en"")"),"James left thigh new tattoo")</f>
        <v>James left thigh new tattoo</v>
      </c>
      <c r="D1472" s="4" t="s">
        <v>2271</v>
      </c>
      <c r="E1472" s="4">
        <v>0.0</v>
      </c>
      <c r="F1472" s="4">
        <v>21.0</v>
      </c>
      <c r="G1472" s="4" t="s">
        <v>2272</v>
      </c>
    </row>
    <row r="1473">
      <c r="A1473" s="1">
        <v>1471.0</v>
      </c>
      <c r="B1473" s="4" t="s">
        <v>2234</v>
      </c>
      <c r="C1473" s="5" t="str">
        <f>IFERROR(__xludf.DUMMYFUNCTION("GOOGLETRANSLATE(D:D,""auto"",""en"")"),"Two doctors were injured fighting the epidemic")</f>
        <v>Two doctors were injured fighting the epidemic</v>
      </c>
      <c r="D1473" s="4" t="s">
        <v>2273</v>
      </c>
      <c r="E1473" s="4">
        <v>0.0</v>
      </c>
      <c r="F1473" s="4">
        <v>22.0</v>
      </c>
      <c r="G1473" s="4" t="s">
        <v>2274</v>
      </c>
    </row>
    <row r="1474">
      <c r="A1474" s="1">
        <v>1472.0</v>
      </c>
      <c r="B1474" s="4" t="s">
        <v>2234</v>
      </c>
      <c r="C1474" s="5" t="str">
        <f>IFERROR(__xludf.DUMMYFUNCTION("GOOGLETRANSLATE(D:D,""auto"",""en"")"),"Couples diagnosed with asymptomatic wife")</f>
        <v>Couples diagnosed with asymptomatic wife</v>
      </c>
      <c r="D1474" s="4" t="s">
        <v>2275</v>
      </c>
      <c r="E1474" s="4">
        <v>0.0</v>
      </c>
      <c r="F1474" s="4">
        <v>23.0</v>
      </c>
      <c r="G1474" s="4" t="s">
        <v>2276</v>
      </c>
    </row>
    <row r="1475">
      <c r="A1475" s="1">
        <v>1473.0</v>
      </c>
      <c r="B1475" s="4" t="s">
        <v>2234</v>
      </c>
      <c r="C1475" s="5" t="str">
        <f>IFERROR(__xludf.DUMMYFUNCTION("GOOGLETRANSLATE(D:D,""auto"",""en"")"),"Zhejiang local epidemic inflection point")</f>
        <v>Zhejiang local epidemic inflection point</v>
      </c>
      <c r="D1475" s="4" t="s">
        <v>2277</v>
      </c>
      <c r="E1475" s="4">
        <v>0.0</v>
      </c>
      <c r="F1475" s="4">
        <v>24.0</v>
      </c>
      <c r="G1475" s="4" t="s">
        <v>2278</v>
      </c>
    </row>
    <row r="1476">
      <c r="A1476" s="1">
        <v>1474.0</v>
      </c>
      <c r="B1476" s="4" t="s">
        <v>2234</v>
      </c>
      <c r="C1476" s="5" t="str">
        <f>IFERROR(__xludf.DUMMYFUNCTION("GOOGLETRANSLATE(D:D,""auto"",""en"")"),"Beijing ninety percent are diagnosed with mild")</f>
        <v>Beijing ninety percent are diagnosed with mild</v>
      </c>
      <c r="D1476" s="4" t="s">
        <v>2279</v>
      </c>
      <c r="E1476" s="4">
        <v>0.0</v>
      </c>
      <c r="F1476" s="4">
        <v>25.0</v>
      </c>
      <c r="G1476" s="4" t="s">
        <v>2280</v>
      </c>
    </row>
    <row r="1477">
      <c r="A1477" s="1">
        <v>1475.0</v>
      </c>
      <c r="B1477" s="4" t="s">
        <v>2234</v>
      </c>
      <c r="C1477" s="5" t="str">
        <f>IFERROR(__xludf.DUMMYFUNCTION("GOOGLETRANSLATE(D:D,""auto"",""en"")"),"The new crown spread of the virus decreased force")</f>
        <v>The new crown spread of the virus decreased force</v>
      </c>
      <c r="D1477" s="4" t="s">
        <v>2281</v>
      </c>
      <c r="E1477" s="4">
        <v>0.0</v>
      </c>
      <c r="F1477" s="4">
        <v>26.0</v>
      </c>
      <c r="G1477" s="4" t="s">
        <v>2282</v>
      </c>
    </row>
    <row r="1478">
      <c r="A1478" s="1">
        <v>1476.0</v>
      </c>
      <c r="B1478" s="4" t="s">
        <v>2234</v>
      </c>
      <c r="C1478" s="5" t="str">
        <f>IFERROR(__xludf.DUMMYFUNCTION("GOOGLETRANSLATE(D:D,""auto"",""en"")"),"Business meeting 11 people infected")</f>
        <v>Business meeting 11 people infected</v>
      </c>
      <c r="D1478" s="4" t="s">
        <v>2283</v>
      </c>
      <c r="E1478" s="4">
        <v>0.0</v>
      </c>
      <c r="F1478" s="4">
        <v>27.0</v>
      </c>
      <c r="G1478" s="4" t="s">
        <v>2284</v>
      </c>
    </row>
    <row r="1479">
      <c r="A1479" s="1">
        <v>1477.0</v>
      </c>
      <c r="B1479" s="4" t="s">
        <v>2234</v>
      </c>
      <c r="C1479" s="5" t="str">
        <f>IFERROR(__xludf.DUMMYFUNCTION("GOOGLETRANSLATE(D:D,""auto"",""en"")"),"Net Red donate 100 million credited into account 90 million")</f>
        <v>Net Red donate 100 million credited into account 90 million</v>
      </c>
      <c r="D1479" s="4" t="s">
        <v>2285</v>
      </c>
      <c r="E1479" s="4">
        <v>0.0</v>
      </c>
      <c r="F1479" s="4">
        <v>28.0</v>
      </c>
      <c r="G1479" s="4" t="s">
        <v>2286</v>
      </c>
    </row>
    <row r="1480">
      <c r="A1480" s="1">
        <v>1478.0</v>
      </c>
      <c r="B1480" s="4" t="s">
        <v>2234</v>
      </c>
      <c r="C1480" s="5" t="str">
        <f>IFERROR(__xludf.DUMMYFUNCTION("GOOGLETRANSLATE(D:D,""auto"",""en"")"),"To accompany the female student was found cancer")</f>
        <v>To accompany the female student was found cancer</v>
      </c>
      <c r="D1480" s="4" t="s">
        <v>2287</v>
      </c>
      <c r="E1480" s="4">
        <v>0.0</v>
      </c>
      <c r="F1480" s="4">
        <v>29.0</v>
      </c>
      <c r="G1480" s="4" t="s">
        <v>2288</v>
      </c>
    </row>
    <row r="1481">
      <c r="A1481" s="1">
        <v>1479.0</v>
      </c>
      <c r="B1481" s="4" t="s">
        <v>2234</v>
      </c>
      <c r="C1481" s="5" t="str">
        <f>IFERROR(__xludf.DUMMYFUNCTION("GOOGLETRANSLATE(D:D,""auto"",""en"")"),"Jiangxi officials suspect a dye pneumonia")</f>
        <v>Jiangxi officials suspect a dye pneumonia</v>
      </c>
      <c r="D1481" s="4" t="s">
        <v>2289</v>
      </c>
      <c r="E1481" s="4">
        <v>0.0</v>
      </c>
      <c r="F1481" s="4">
        <v>30.0</v>
      </c>
      <c r="G1481" s="4" t="s">
        <v>2290</v>
      </c>
    </row>
    <row r="1482">
      <c r="A1482" s="1">
        <v>1480.0</v>
      </c>
      <c r="B1482" s="4" t="s">
        <v>2234</v>
      </c>
      <c r="C1482" s="5" t="str">
        <f>IFERROR(__xludf.DUMMYFUNCTION("GOOGLETRANSLATE(D:D,""auto"",""en"")"),"Wulantuya donations Wuhan")</f>
        <v>Wulantuya donations Wuhan</v>
      </c>
      <c r="D1482" s="4" t="s">
        <v>2196</v>
      </c>
      <c r="E1482" s="4">
        <v>0.0</v>
      </c>
      <c r="F1482" s="4">
        <v>31.0</v>
      </c>
      <c r="G1482" s="4" t="s">
        <v>2197</v>
      </c>
    </row>
    <row r="1483">
      <c r="A1483" s="1">
        <v>1481.0</v>
      </c>
      <c r="B1483" s="4" t="s">
        <v>2234</v>
      </c>
      <c r="C1483" s="5" t="str">
        <f>IFERROR(__xludf.DUMMYFUNCTION("GOOGLETRANSLATE(D:D,""auto"",""en"")"),"Illegal disclosure of outbreaks have been notified")</f>
        <v>Illegal disclosure of outbreaks have been notified</v>
      </c>
      <c r="D1483" s="4" t="s">
        <v>2200</v>
      </c>
      <c r="E1483" s="4">
        <v>0.0</v>
      </c>
      <c r="F1483" s="4">
        <v>32.0</v>
      </c>
      <c r="G1483" s="4" t="s">
        <v>2201</v>
      </c>
    </row>
    <row r="1484">
      <c r="A1484" s="1">
        <v>1482.0</v>
      </c>
      <c r="B1484" s="4" t="s">
        <v>2234</v>
      </c>
      <c r="C1484" s="5" t="str">
        <f>IFERROR(__xludf.DUMMYFUNCTION("GOOGLETRANSLATE(D:D,""auto"",""en"")"),"Customs detected in 11 patients")</f>
        <v>Customs detected in 11 patients</v>
      </c>
      <c r="D1484" s="4" t="s">
        <v>2206</v>
      </c>
      <c r="E1484" s="4">
        <v>0.0</v>
      </c>
      <c r="F1484" s="4">
        <v>33.0</v>
      </c>
      <c r="G1484" s="4" t="s">
        <v>2207</v>
      </c>
    </row>
    <row r="1485">
      <c r="A1485" s="1">
        <v>1483.0</v>
      </c>
      <c r="B1485" s="4" t="s">
        <v>2234</v>
      </c>
      <c r="C1485" s="5" t="str">
        <f>IFERROR(__xludf.DUMMYFUNCTION("GOOGLETRANSLATE(D:D,""auto"",""en"")"),"The epidemic is still in the diffusion phase")</f>
        <v>The epidemic is still in the diffusion phase</v>
      </c>
      <c r="D1485" s="4" t="s">
        <v>2291</v>
      </c>
      <c r="E1485" s="4">
        <v>0.0</v>
      </c>
      <c r="F1485" s="4">
        <v>34.0</v>
      </c>
      <c r="G1485" s="4" t="s">
        <v>2292</v>
      </c>
    </row>
    <row r="1486">
      <c r="A1486" s="1">
        <v>1484.0</v>
      </c>
      <c r="B1486" s="4" t="s">
        <v>2234</v>
      </c>
      <c r="C1486" s="5" t="str">
        <f>IFERROR(__xludf.DUMMYFUNCTION("GOOGLETRANSLATE(D:D,""auto"",""en"")"),"Beijing suspended the immigration service")</f>
        <v>Beijing suspended the immigration service</v>
      </c>
      <c r="D1486" s="4" t="s">
        <v>2293</v>
      </c>
      <c r="E1486" s="4">
        <v>0.0</v>
      </c>
      <c r="F1486" s="4">
        <v>35.0</v>
      </c>
      <c r="G1486" s="4" t="s">
        <v>2294</v>
      </c>
    </row>
    <row r="1487">
      <c r="A1487" s="1">
        <v>1485.0</v>
      </c>
      <c r="B1487" s="4" t="s">
        <v>2234</v>
      </c>
      <c r="C1487" s="5" t="str">
        <f>IFERROR(__xludf.DUMMYFUNCTION("GOOGLETRANSLATE(D:D,""auto"",""en"")"),"Military tears after take off the masks")</f>
        <v>Military tears after take off the masks</v>
      </c>
      <c r="D1487" s="4" t="s">
        <v>2295</v>
      </c>
      <c r="E1487" s="4">
        <v>0.0</v>
      </c>
      <c r="F1487" s="4">
        <v>36.0</v>
      </c>
      <c r="G1487" s="4" t="s">
        <v>2296</v>
      </c>
    </row>
    <row r="1488">
      <c r="A1488" s="1">
        <v>1486.0</v>
      </c>
      <c r="B1488" s="4" t="s">
        <v>2234</v>
      </c>
      <c r="C1488" s="5" t="str">
        <f>IFERROR(__xludf.DUMMYFUNCTION("GOOGLETRANSLATE(D:D,""auto"",""en"")"),"Raytheon Hill Hospital all the electricity")</f>
        <v>Raytheon Hill Hospital all the electricity</v>
      </c>
      <c r="D1488" s="4" t="s">
        <v>2297</v>
      </c>
      <c r="E1488" s="4">
        <v>0.0</v>
      </c>
      <c r="F1488" s="4">
        <v>37.0</v>
      </c>
      <c r="G1488" s="4" t="s">
        <v>2298</v>
      </c>
    </row>
    <row r="1489">
      <c r="A1489" s="1">
        <v>1487.0</v>
      </c>
      <c r="B1489" s="4" t="s">
        <v>2234</v>
      </c>
      <c r="C1489" s="5" t="str">
        <f>IFERROR(__xludf.DUMMYFUNCTION("GOOGLETRANSLATE(D:D,""auto"",""en"")"),"Three kinds of drugs inhibit virus")</f>
        <v>Three kinds of drugs inhibit virus</v>
      </c>
      <c r="D1489" s="4" t="s">
        <v>2299</v>
      </c>
      <c r="E1489" s="4">
        <v>0.0</v>
      </c>
      <c r="F1489" s="4">
        <v>38.0</v>
      </c>
      <c r="G1489" s="4" t="s">
        <v>2300</v>
      </c>
    </row>
    <row r="1490">
      <c r="A1490" s="1">
        <v>1488.0</v>
      </c>
      <c r="B1490" s="4" t="s">
        <v>2234</v>
      </c>
      <c r="C1490" s="5" t="str">
        <f>IFERROR(__xludf.DUMMYFUNCTION("GOOGLETRANSLATE(D:D,""auto"",""en"")"),"3 cell isolation unit")</f>
        <v>3 cell isolation unit</v>
      </c>
      <c r="D1490" s="4" t="s">
        <v>2301</v>
      </c>
      <c r="E1490" s="4">
        <v>0.0</v>
      </c>
      <c r="F1490" s="4">
        <v>39.0</v>
      </c>
      <c r="G1490" s="4" t="s">
        <v>2302</v>
      </c>
    </row>
    <row r="1491">
      <c r="A1491" s="1">
        <v>1489.0</v>
      </c>
      <c r="B1491" s="4" t="s">
        <v>2234</v>
      </c>
      <c r="C1491" s="5" t="str">
        <f>IFERROR(__xludf.DUMMYFUNCTION("GOOGLETRANSLATE(D:D,""auto"",""en"")"),"Infected people will spit Responsibility")</f>
        <v>Infected people will spit Responsibility</v>
      </c>
      <c r="D1491" s="4" t="s">
        <v>2303</v>
      </c>
      <c r="E1491" s="4">
        <v>0.0</v>
      </c>
      <c r="F1491" s="4">
        <v>40.0</v>
      </c>
      <c r="G1491" s="4" t="s">
        <v>2304</v>
      </c>
    </row>
    <row r="1492">
      <c r="A1492" s="1">
        <v>1490.0</v>
      </c>
      <c r="B1492" s="4" t="s">
        <v>2234</v>
      </c>
      <c r="C1492" s="5" t="str">
        <f>IFERROR(__xludf.DUMMYFUNCTION("GOOGLETRANSLATE(D:D,""auto"",""en"")"),"End of February Nissan 180 million masks")</f>
        <v>End of February Nissan 180 million masks</v>
      </c>
      <c r="D1492" s="4" t="s">
        <v>2305</v>
      </c>
      <c r="E1492" s="4">
        <v>0.0</v>
      </c>
      <c r="F1492" s="4">
        <v>41.0</v>
      </c>
      <c r="G1492" s="4" t="s">
        <v>2306</v>
      </c>
    </row>
    <row r="1493">
      <c r="A1493" s="1">
        <v>1491.0</v>
      </c>
      <c r="B1493" s="4" t="s">
        <v>2234</v>
      </c>
      <c r="C1493" s="5" t="str">
        <f>IFERROR(__xludf.DUMMYFUNCTION("GOOGLETRANSLATE(D:D,""auto"",""en"")"),"Finland confirmed the first case")</f>
        <v>Finland confirmed the first case</v>
      </c>
      <c r="D1493" s="4" t="s">
        <v>2307</v>
      </c>
      <c r="E1493" s="4">
        <v>0.0</v>
      </c>
      <c r="F1493" s="4">
        <v>42.0</v>
      </c>
      <c r="G1493" s="4" t="s">
        <v>2308</v>
      </c>
    </row>
    <row r="1494">
      <c r="A1494" s="1">
        <v>1492.0</v>
      </c>
      <c r="B1494" s="4" t="s">
        <v>2234</v>
      </c>
      <c r="C1494" s="5" t="str">
        <f>IFERROR(__xludf.DUMMYFUNCTION("GOOGLETRANSLATE(D:D,""auto"",""en"")"),"Nanning Railway Bureau outage information")</f>
        <v>Nanning Railway Bureau outage information</v>
      </c>
      <c r="D1494" s="4" t="s">
        <v>2309</v>
      </c>
      <c r="E1494" s="4">
        <v>0.0</v>
      </c>
      <c r="F1494" s="4">
        <v>43.0</v>
      </c>
      <c r="G1494" s="4" t="s">
        <v>2310</v>
      </c>
    </row>
    <row r="1495">
      <c r="A1495" s="1">
        <v>1493.0</v>
      </c>
      <c r="B1495" s="4" t="s">
        <v>2234</v>
      </c>
      <c r="C1495" s="5" t="str">
        <f>IFERROR(__xludf.DUMMYFUNCTION("GOOGLETRANSLATE(D:D,""auto"",""en"")"),"Huanggang Wei, director of health committee dismissed")</f>
        <v>Huanggang Wei, director of health committee dismissed</v>
      </c>
      <c r="D1495" s="4" t="s">
        <v>2311</v>
      </c>
      <c r="E1495" s="4">
        <v>0.0</v>
      </c>
      <c r="F1495" s="4">
        <v>44.0</v>
      </c>
      <c r="G1495" s="4" t="s">
        <v>2312</v>
      </c>
    </row>
    <row r="1496">
      <c r="A1496" s="1">
        <v>1494.0</v>
      </c>
      <c r="B1496" s="4" t="s">
        <v>2234</v>
      </c>
      <c r="C1496" s="5" t="str">
        <f>IFERROR(__xludf.DUMMYFUNCTION("GOOGLETRANSLATE(D:D,""auto"",""en"")"),"Beijing emergence of clusters of cases")</f>
        <v>Beijing emergence of clusters of cases</v>
      </c>
      <c r="D1496" s="4" t="s">
        <v>2194</v>
      </c>
      <c r="E1496" s="4">
        <v>0.0</v>
      </c>
      <c r="F1496" s="4">
        <v>45.0</v>
      </c>
      <c r="G1496" s="4" t="s">
        <v>2195</v>
      </c>
    </row>
    <row r="1497">
      <c r="A1497" s="1">
        <v>1495.0</v>
      </c>
      <c r="B1497" s="4" t="s">
        <v>2234</v>
      </c>
      <c r="C1497" s="5" t="str">
        <f>IFERROR(__xludf.DUMMYFUNCTION("GOOGLETRANSLATE(D:D,""auto"",""en"")"),"Jiangxi delayed return to work notice")</f>
        <v>Jiangxi delayed return to work notice</v>
      </c>
      <c r="D1497" s="4" t="s">
        <v>2313</v>
      </c>
      <c r="E1497" s="4">
        <v>0.0</v>
      </c>
      <c r="F1497" s="4">
        <v>46.0</v>
      </c>
      <c r="G1497" s="4" t="s">
        <v>2314</v>
      </c>
    </row>
    <row r="1498">
      <c r="A1498" s="1">
        <v>1496.0</v>
      </c>
      <c r="B1498" s="4" t="s">
        <v>2234</v>
      </c>
      <c r="C1498" s="5" t="str">
        <f>IFERROR(__xludf.DUMMYFUNCTION("GOOGLETRANSLATE(D:D,""auto"",""en"")"),"Start a response Tibet")</f>
        <v>Start a response Tibet</v>
      </c>
      <c r="D1498" s="4" t="s">
        <v>2315</v>
      </c>
      <c r="E1498" s="4">
        <v>0.0</v>
      </c>
      <c r="F1498" s="4">
        <v>47.0</v>
      </c>
      <c r="G1498" s="4" t="s">
        <v>2316</v>
      </c>
    </row>
    <row r="1499">
      <c r="A1499" s="1">
        <v>1497.0</v>
      </c>
      <c r="B1499" s="4" t="s">
        <v>2234</v>
      </c>
      <c r="C1499" s="5" t="str">
        <f>IFERROR(__xludf.DUMMYFUNCTION("GOOGLETRANSLATE(D:D,""auto"",""en"")"),"Fan Fan hate users in Taiwan")</f>
        <v>Fan Fan hate users in Taiwan</v>
      </c>
      <c r="D1499" s="4" t="s">
        <v>2317</v>
      </c>
      <c r="E1499" s="4">
        <v>0.0</v>
      </c>
      <c r="F1499" s="4">
        <v>48.0</v>
      </c>
      <c r="G1499" s="4" t="s">
        <v>2318</v>
      </c>
    </row>
    <row r="1500">
      <c r="A1500" s="1">
        <v>1498.0</v>
      </c>
      <c r="B1500" s="4" t="s">
        <v>2234</v>
      </c>
      <c r="C1500" s="5" t="str">
        <f>IFERROR(__xludf.DUMMYFUNCTION("GOOGLETRANSLATE(D:D,""auto"",""en"")"),"Japan confirmed three cases back charter")</f>
        <v>Japan confirmed three cases back charter</v>
      </c>
      <c r="D1500" s="4" t="s">
        <v>2319</v>
      </c>
      <c r="E1500" s="4">
        <v>0.0</v>
      </c>
      <c r="F1500" s="4">
        <v>49.0</v>
      </c>
      <c r="G1500" s="4" t="s">
        <v>2320</v>
      </c>
    </row>
    <row r="1501">
      <c r="A1501" s="1">
        <v>1499.0</v>
      </c>
      <c r="B1501" s="4" t="s">
        <v>2234</v>
      </c>
      <c r="C1501" s="5" t="str">
        <f>IFERROR(__xludf.DUMMYFUNCTION("GOOGLETRANSLATE(D:D,""auto"",""en"")"),"Beijing seems to run into the period")</f>
        <v>Beijing seems to run into the period</v>
      </c>
      <c r="D1501" s="4" t="s">
        <v>2190</v>
      </c>
      <c r="E1501" s="4">
        <v>0.0</v>
      </c>
      <c r="F1501" s="4">
        <v>50.0</v>
      </c>
      <c r="G1501" s="4" t="s">
        <v>2191</v>
      </c>
    </row>
    <row r="1502">
      <c r="A1502" s="1">
        <v>1500.0</v>
      </c>
      <c r="B1502" s="4" t="s">
        <v>2321</v>
      </c>
      <c r="C1502" s="5" t="str">
        <f>IFERROR(__xludf.DUMMYFUNCTION("GOOGLETRANSLATE(D:D,""auto"",""en"")"),"14 infected health care starting sound")</f>
        <v>14 infected health care starting sound</v>
      </c>
      <c r="D1502" s="4" t="s">
        <v>2322</v>
      </c>
      <c r="E1502" s="4">
        <v>0.0</v>
      </c>
      <c r="F1502" s="4">
        <v>1.0</v>
      </c>
      <c r="G1502" s="4" t="s">
        <v>2323</v>
      </c>
    </row>
    <row r="1503">
      <c r="A1503" s="1">
        <v>1501.0</v>
      </c>
      <c r="B1503" s="4" t="s">
        <v>2321</v>
      </c>
      <c r="C1503" s="5" t="str">
        <f>IFERROR(__xludf.DUMMYFUNCTION("GOOGLETRANSLATE(D:D,""auto"",""en"")"),"Business meeting 11 people infected")</f>
        <v>Business meeting 11 people infected</v>
      </c>
      <c r="D1503" s="4" t="s">
        <v>2283</v>
      </c>
      <c r="E1503" s="4">
        <v>0.0</v>
      </c>
      <c r="F1503" s="4">
        <v>2.0</v>
      </c>
      <c r="G1503" s="4" t="s">
        <v>2284</v>
      </c>
    </row>
    <row r="1504">
      <c r="A1504" s="1">
        <v>1502.0</v>
      </c>
      <c r="B1504" s="4" t="s">
        <v>2321</v>
      </c>
      <c r="C1504" s="5" t="str">
        <f>IFERROR(__xludf.DUMMYFUNCTION("GOOGLETRANSLATE(D:D,""auto"",""en"")"),"Zhejiang local epidemic inflection point")</f>
        <v>Zhejiang local epidemic inflection point</v>
      </c>
      <c r="D1504" s="4" t="s">
        <v>2277</v>
      </c>
      <c r="E1504" s="4">
        <v>0.0</v>
      </c>
      <c r="F1504" s="4">
        <v>3.0</v>
      </c>
      <c r="G1504" s="4" t="s">
        <v>2278</v>
      </c>
    </row>
    <row r="1505">
      <c r="A1505" s="1">
        <v>1503.0</v>
      </c>
      <c r="B1505" s="4" t="s">
        <v>2321</v>
      </c>
      <c r="C1505" s="5" t="str">
        <f>IFERROR(__xludf.DUMMYFUNCTION("GOOGLETRANSLATE(D:D,""auto"",""en"")"),"Hubei secretary of mourning for the dead")</f>
        <v>Hubei secretary of mourning for the dead</v>
      </c>
      <c r="D1505" s="4" t="s">
        <v>2324</v>
      </c>
      <c r="E1505" s="4">
        <v>0.0</v>
      </c>
      <c r="F1505" s="4">
        <v>4.0</v>
      </c>
      <c r="G1505" s="4" t="s">
        <v>2325</v>
      </c>
    </row>
    <row r="1506">
      <c r="A1506" s="1">
        <v>1504.0</v>
      </c>
      <c r="B1506" s="4" t="s">
        <v>2321</v>
      </c>
      <c r="C1506" s="5" t="str">
        <f>IFERROR(__xludf.DUMMYFUNCTION("GOOGLETRANSLATE(D:D,""auto"",""en"")"),"Wuhan transfer rumors should be tolerant eight people")</f>
        <v>Wuhan transfer rumors should be tolerant eight people</v>
      </c>
      <c r="D1506" s="4" t="s">
        <v>2326</v>
      </c>
      <c r="E1506" s="4">
        <v>0.0</v>
      </c>
      <c r="F1506" s="4">
        <v>5.0</v>
      </c>
      <c r="G1506" s="4" t="s">
        <v>2327</v>
      </c>
    </row>
    <row r="1507">
      <c r="A1507" s="1">
        <v>1505.0</v>
      </c>
      <c r="B1507" s="4" t="s">
        <v>2321</v>
      </c>
      <c r="C1507" s="5" t="str">
        <f>IFERROR(__xludf.DUMMYFUNCTION("GOOGLETRANSLATE(D:D,""auto"",""en"")"),"Net Red donate 100 million credited into account 90 million")</f>
        <v>Net Red donate 100 million credited into account 90 million</v>
      </c>
      <c r="D1507" s="4" t="s">
        <v>2285</v>
      </c>
      <c r="E1507" s="4">
        <v>0.0</v>
      </c>
      <c r="F1507" s="4">
        <v>6.0</v>
      </c>
      <c r="G1507" s="4" t="s">
        <v>2286</v>
      </c>
    </row>
    <row r="1508">
      <c r="A1508" s="1">
        <v>1506.0</v>
      </c>
      <c r="B1508" s="4" t="s">
        <v>2321</v>
      </c>
      <c r="C1508" s="5" t="str">
        <f>IFERROR(__xludf.DUMMYFUNCTION("GOOGLETRANSLATE(D:D,""auto"",""en"")"),"Official Journal conflict Vulcan Mountain")</f>
        <v>Official Journal conflict Vulcan Mountain</v>
      </c>
      <c r="D1508" s="4" t="s">
        <v>2328</v>
      </c>
      <c r="E1508" s="4">
        <v>0.0</v>
      </c>
      <c r="F1508" s="4">
        <v>7.0</v>
      </c>
      <c r="G1508" s="4" t="s">
        <v>2329</v>
      </c>
    </row>
    <row r="1509">
      <c r="A1509" s="1">
        <v>1507.0</v>
      </c>
      <c r="B1509" s="4" t="s">
        <v>2321</v>
      </c>
      <c r="C1509" s="5" t="str">
        <f>IFERROR(__xludf.DUMMYFUNCTION("GOOGLETRANSLATE(D:D,""auto"",""en"")"),"Huanggang Wei, director of health committee dismissed")</f>
        <v>Huanggang Wei, director of health committee dismissed</v>
      </c>
      <c r="D1509" s="4" t="s">
        <v>2311</v>
      </c>
      <c r="E1509" s="4">
        <v>0.0</v>
      </c>
      <c r="F1509" s="4">
        <v>8.0</v>
      </c>
      <c r="G1509" s="4" t="s">
        <v>2312</v>
      </c>
    </row>
    <row r="1510">
      <c r="A1510" s="1">
        <v>1508.0</v>
      </c>
      <c r="B1510" s="4" t="s">
        <v>2321</v>
      </c>
      <c r="C1510" s="5" t="str">
        <f>IFERROR(__xludf.DUMMYFUNCTION("GOOGLETRANSLATE(D:D,""auto"",""en"")"),"Hebei delayed return to work notice")</f>
        <v>Hebei delayed return to work notice</v>
      </c>
      <c r="D1510" s="4" t="s">
        <v>2330</v>
      </c>
      <c r="E1510" s="4">
        <v>0.0</v>
      </c>
      <c r="F1510" s="4">
        <v>9.0</v>
      </c>
      <c r="G1510" s="4" t="s">
        <v>2331</v>
      </c>
    </row>
    <row r="1511">
      <c r="A1511" s="1">
        <v>1509.0</v>
      </c>
      <c r="B1511" s="4" t="s">
        <v>2321</v>
      </c>
      <c r="C1511" s="5" t="str">
        <f>IFERROR(__xludf.DUMMYFUNCTION("GOOGLETRANSLATE(D:D,""auto"",""en"")"),"Party Secretary was stopped at the entrance to the village")</f>
        <v>Party Secretary was stopped at the entrance to the village</v>
      </c>
      <c r="D1511" s="4" t="s">
        <v>2332</v>
      </c>
      <c r="E1511" s="4">
        <v>0.0</v>
      </c>
      <c r="F1511" s="4">
        <v>10.0</v>
      </c>
      <c r="G1511" s="4" t="s">
        <v>2333</v>
      </c>
    </row>
    <row r="1512">
      <c r="A1512" s="1">
        <v>1510.0</v>
      </c>
      <c r="B1512" s="4" t="s">
        <v>2321</v>
      </c>
      <c r="C1512" s="5" t="str">
        <f>IFERROR(__xludf.DUMMYFUNCTION("GOOGLETRANSLATE(D:D,""auto"",""en"")"),"Tianjin doubts about the cause of a patient")</f>
        <v>Tianjin doubts about the cause of a patient</v>
      </c>
      <c r="D1512" s="4" t="s">
        <v>2334</v>
      </c>
      <c r="E1512" s="4">
        <v>0.0</v>
      </c>
      <c r="F1512" s="4">
        <v>11.0</v>
      </c>
      <c r="G1512" s="4" t="s">
        <v>2335</v>
      </c>
    </row>
    <row r="1513">
      <c r="A1513" s="1">
        <v>1511.0</v>
      </c>
      <c r="B1513" s="4" t="s">
        <v>2321</v>
      </c>
      <c r="C1513" s="5" t="str">
        <f>IFERROR(__xludf.DUMMYFUNCTION("GOOGLETRANSLATE(D:D,""auto"",""en"")"),"Thai Prime Minister visited after fever")</f>
        <v>Thai Prime Minister visited after fever</v>
      </c>
      <c r="D1513" s="4" t="s">
        <v>2336</v>
      </c>
      <c r="E1513" s="4">
        <v>0.0</v>
      </c>
      <c r="F1513" s="4">
        <v>12.0</v>
      </c>
      <c r="G1513" s="4" t="s">
        <v>2337</v>
      </c>
    </row>
    <row r="1514">
      <c r="A1514" s="1">
        <v>1512.0</v>
      </c>
      <c r="B1514" s="4" t="s">
        <v>2321</v>
      </c>
      <c r="C1514" s="5" t="str">
        <f>IFERROR(__xludf.DUMMYFUNCTION("GOOGLETRANSLATE(D:D,""auto"",""en"")"),"Public health emergencies")</f>
        <v>Public health emergencies</v>
      </c>
      <c r="D1514" s="4" t="s">
        <v>2338</v>
      </c>
      <c r="E1514" s="4">
        <v>0.0</v>
      </c>
      <c r="F1514" s="4">
        <v>13.0</v>
      </c>
      <c r="G1514" s="4" t="s">
        <v>2339</v>
      </c>
    </row>
    <row r="1515">
      <c r="A1515" s="1">
        <v>1513.0</v>
      </c>
      <c r="B1515" s="4" t="s">
        <v>2321</v>
      </c>
      <c r="C1515" s="5" t="str">
        <f>IFERROR(__xludf.DUMMYFUNCTION("GOOGLETRANSLATE(D:D,""auto"",""en"")"),"Zhu Wen donors Wuhan")</f>
        <v>Zhu Wen donors Wuhan</v>
      </c>
      <c r="D1515" s="4" t="s">
        <v>2340</v>
      </c>
      <c r="E1515" s="4">
        <v>0.0</v>
      </c>
      <c r="F1515" s="4">
        <v>14.0</v>
      </c>
      <c r="G1515" s="4" t="s">
        <v>2341</v>
      </c>
    </row>
    <row r="1516">
      <c r="A1516" s="1">
        <v>1514.0</v>
      </c>
      <c r="B1516" s="4" t="s">
        <v>2321</v>
      </c>
      <c r="C1516" s="5" t="str">
        <f>IFERROR(__xludf.DUMMYFUNCTION("GOOGLETRANSLATE(D:D,""auto"",""en"")"),"Ministry of Foreign Affairs to respond to WHO")</f>
        <v>Ministry of Foreign Affairs to respond to WHO</v>
      </c>
      <c r="D1516" s="4" t="s">
        <v>2342</v>
      </c>
      <c r="E1516" s="4">
        <v>0.0</v>
      </c>
      <c r="F1516" s="4">
        <v>15.0</v>
      </c>
      <c r="G1516" s="4" t="s">
        <v>2343</v>
      </c>
    </row>
    <row r="1517">
      <c r="A1517" s="1">
        <v>1515.0</v>
      </c>
      <c r="B1517" s="4" t="s">
        <v>2321</v>
      </c>
      <c r="C1517" s="5" t="str">
        <f>IFERROR(__xludf.DUMMYFUNCTION("GOOGLETRANSLATE(D:D,""auto"",""en"")"),"Liaoning is now asymptomatic cases")</f>
        <v>Liaoning is now asymptomatic cases</v>
      </c>
      <c r="D1517" s="4" t="s">
        <v>2344</v>
      </c>
      <c r="E1517" s="4">
        <v>0.0</v>
      </c>
      <c r="F1517" s="4">
        <v>16.0</v>
      </c>
      <c r="G1517" s="4" t="s">
        <v>2345</v>
      </c>
    </row>
    <row r="1518">
      <c r="A1518" s="1">
        <v>1516.0</v>
      </c>
      <c r="B1518" s="4" t="s">
        <v>2321</v>
      </c>
      <c r="C1518" s="5" t="str">
        <f>IFERROR(__xludf.DUMMYFUNCTION("GOOGLETRANSLATE(D:D,""auto"",""en"")"),"Guangzhou is still selling stolen Wildlife")</f>
        <v>Guangzhou is still selling stolen Wildlife</v>
      </c>
      <c r="D1518" s="4" t="s">
        <v>2346</v>
      </c>
      <c r="E1518" s="4">
        <v>0.0</v>
      </c>
      <c r="F1518" s="4">
        <v>17.0</v>
      </c>
      <c r="G1518" s="4" t="s">
        <v>2347</v>
      </c>
    </row>
    <row r="1519">
      <c r="A1519" s="1">
        <v>1517.0</v>
      </c>
      <c r="B1519" s="4" t="s">
        <v>2321</v>
      </c>
      <c r="C1519" s="5" t="str">
        <f>IFERROR(__xludf.DUMMYFUNCTION("GOOGLETRANSLATE(D:D,""auto"",""en"")"),"Central enterprises contribute 1.7 billion yuan")</f>
        <v>Central enterprises contribute 1.7 billion yuan</v>
      </c>
      <c r="D1519" s="4" t="s">
        <v>2348</v>
      </c>
      <c r="E1519" s="4">
        <v>0.0</v>
      </c>
      <c r="F1519" s="4">
        <v>18.0</v>
      </c>
      <c r="G1519" s="4" t="s">
        <v>2349</v>
      </c>
    </row>
    <row r="1520">
      <c r="A1520" s="1">
        <v>1518.0</v>
      </c>
      <c r="B1520" s="4" t="s">
        <v>2321</v>
      </c>
      <c r="C1520" s="5" t="str">
        <f>IFERROR(__xludf.DUMMYFUNCTION("GOOGLETRANSLATE(D:D,""auto"",""en"")"),"Gao Fu respond paper dispute")</f>
        <v>Gao Fu respond paper dispute</v>
      </c>
      <c r="D1520" s="4" t="s">
        <v>2350</v>
      </c>
      <c r="E1520" s="4">
        <v>0.0</v>
      </c>
      <c r="F1520" s="4">
        <v>19.0</v>
      </c>
      <c r="G1520" s="4" t="s">
        <v>2351</v>
      </c>
    </row>
    <row r="1521">
      <c r="A1521" s="1">
        <v>1519.0</v>
      </c>
      <c r="B1521" s="4" t="s">
        <v>2321</v>
      </c>
      <c r="C1521" s="5" t="str">
        <f>IFERROR(__xludf.DUMMYFUNCTION("GOOGLETRANSLATE(D:D,""auto"",""en"")"),"Healed those who have re-infection risk")</f>
        <v>Healed those who have re-infection risk</v>
      </c>
      <c r="D1521" s="4" t="s">
        <v>2352</v>
      </c>
      <c r="E1521" s="4">
        <v>0.0</v>
      </c>
      <c r="F1521" s="4">
        <v>20.0</v>
      </c>
      <c r="G1521" s="4" t="s">
        <v>2353</v>
      </c>
    </row>
    <row r="1522">
      <c r="A1522" s="1">
        <v>1520.0</v>
      </c>
      <c r="B1522" s="4" t="s">
        <v>2321</v>
      </c>
      <c r="C1522" s="5" t="str">
        <f>IFERROR(__xludf.DUMMYFUNCTION("GOOGLETRANSLATE(D:D,""auto"",""en"")"),"December or virus from person to person")</f>
        <v>December or virus from person to person</v>
      </c>
      <c r="D1522" s="4" t="s">
        <v>2354</v>
      </c>
      <c r="E1522" s="4">
        <v>0.0</v>
      </c>
      <c r="F1522" s="4">
        <v>21.0</v>
      </c>
      <c r="G1522" s="4" t="s">
        <v>2355</v>
      </c>
    </row>
    <row r="1523">
      <c r="A1523" s="1">
        <v>1521.0</v>
      </c>
      <c r="B1523" s="4" t="s">
        <v>2321</v>
      </c>
      <c r="C1523" s="5" t="str">
        <f>IFERROR(__xludf.DUMMYFUNCTION("GOOGLETRANSLATE(D:D,""auto"",""en"")"),"Wuhan hiding history caused by infection village doctor")</f>
        <v>Wuhan hiding history caused by infection village doctor</v>
      </c>
      <c r="D1523" s="4" t="s">
        <v>2356</v>
      </c>
      <c r="E1523" s="4">
        <v>0.0</v>
      </c>
      <c r="F1523" s="4">
        <v>22.0</v>
      </c>
      <c r="G1523" s="4" t="s">
        <v>2357</v>
      </c>
    </row>
    <row r="1524">
      <c r="A1524" s="1">
        <v>1522.0</v>
      </c>
      <c r="B1524" s="4" t="s">
        <v>2321</v>
      </c>
      <c r="C1524" s="5" t="str">
        <f>IFERROR(__xludf.DUMMYFUNCTION("GOOGLETRANSLATE(D:D,""auto"",""en"")"),"Wuhan 61 suspected infection of health care")</f>
        <v>Wuhan 61 suspected infection of health care</v>
      </c>
      <c r="D1524" s="4" t="s">
        <v>2358</v>
      </c>
      <c r="E1524" s="4">
        <v>0.0</v>
      </c>
      <c r="F1524" s="4">
        <v>23.0</v>
      </c>
      <c r="G1524" s="4" t="s">
        <v>2359</v>
      </c>
    </row>
    <row r="1525">
      <c r="A1525" s="1">
        <v>1523.0</v>
      </c>
      <c r="B1525" s="4" t="s">
        <v>2321</v>
      </c>
      <c r="C1525" s="5" t="str">
        <f>IFERROR(__xludf.DUMMYFUNCTION("GOOGLETRANSLATE(D:D,""auto"",""en"")"),"Pace four female viviparous")</f>
        <v>Pace four female viviparous</v>
      </c>
      <c r="D1525" s="4" t="s">
        <v>2360</v>
      </c>
      <c r="E1525" s="4">
        <v>0.0</v>
      </c>
      <c r="F1525" s="4">
        <v>24.0</v>
      </c>
      <c r="G1525" s="4" t="s">
        <v>2361</v>
      </c>
    </row>
    <row r="1526">
      <c r="A1526" s="1">
        <v>1524.0</v>
      </c>
      <c r="B1526" s="4" t="s">
        <v>2321</v>
      </c>
      <c r="C1526" s="5" t="str">
        <f>IFERROR(__xludf.DUMMYFUNCTION("GOOGLETRANSLATE(D:D,""auto"",""en"")"),"Wuhan Union Hospital rumor")</f>
        <v>Wuhan Union Hospital rumor</v>
      </c>
      <c r="D1526" s="4" t="s">
        <v>2362</v>
      </c>
      <c r="E1526" s="4">
        <v>0.0</v>
      </c>
      <c r="F1526" s="4">
        <v>25.0</v>
      </c>
      <c r="G1526" s="4" t="s">
        <v>2363</v>
      </c>
    </row>
    <row r="1527">
      <c r="A1527" s="1">
        <v>1525.0</v>
      </c>
      <c r="B1527" s="4" t="s">
        <v>2321</v>
      </c>
      <c r="C1527" s="5" t="str">
        <f>IFERROR(__xludf.DUMMYFUNCTION("GOOGLETRANSLATE(D:D,""auto"",""en"")"),"Beijing Enterprises February 10 to work")</f>
        <v>Beijing Enterprises February 10 to work</v>
      </c>
      <c r="D1527" s="4" t="s">
        <v>2364</v>
      </c>
      <c r="E1527" s="4">
        <v>0.0</v>
      </c>
      <c r="F1527" s="4">
        <v>26.0</v>
      </c>
      <c r="G1527" s="4" t="s">
        <v>2365</v>
      </c>
    </row>
    <row r="1528">
      <c r="A1528" s="1">
        <v>1526.0</v>
      </c>
      <c r="B1528" s="4" t="s">
        <v>2321</v>
      </c>
      <c r="C1528" s="5" t="str">
        <f>IFERROR(__xludf.DUMMYFUNCTION("GOOGLETRANSLATE(D:D,""auto"",""en"")"),"Most donations not used")</f>
        <v>Most donations not used</v>
      </c>
      <c r="D1528" s="4" t="s">
        <v>2269</v>
      </c>
      <c r="E1528" s="4">
        <v>0.0</v>
      </c>
      <c r="F1528" s="4">
        <v>27.0</v>
      </c>
      <c r="G1528" s="4" t="s">
        <v>2270</v>
      </c>
    </row>
    <row r="1529">
      <c r="A1529" s="1">
        <v>1527.0</v>
      </c>
      <c r="B1529" s="4" t="s">
        <v>2321</v>
      </c>
      <c r="C1529" s="5" t="str">
        <f>IFERROR(__xludf.DUMMYFUNCTION("GOOGLETRANSLATE(D:D,""auto"",""en"")"),"Nanyang publish the most stringent restrictions")</f>
        <v>Nanyang publish the most stringent restrictions</v>
      </c>
      <c r="D1529" s="4" t="s">
        <v>2366</v>
      </c>
      <c r="E1529" s="4">
        <v>0.0</v>
      </c>
      <c r="F1529" s="4">
        <v>28.0</v>
      </c>
      <c r="G1529" s="4" t="s">
        <v>2367</v>
      </c>
    </row>
    <row r="1530">
      <c r="A1530" s="1">
        <v>1528.0</v>
      </c>
      <c r="B1530" s="4" t="s">
        <v>2321</v>
      </c>
      <c r="C1530" s="5" t="str">
        <f>IFERROR(__xludf.DUMMYFUNCTION("GOOGLETRANSLATE(D:D,""auto"",""en"")"),"Guangdong appeal landlord rent-free")</f>
        <v>Guangdong appeal landlord rent-free</v>
      </c>
      <c r="D1530" s="4" t="s">
        <v>2368</v>
      </c>
      <c r="E1530" s="4">
        <v>0.0</v>
      </c>
      <c r="F1530" s="4">
        <v>29.0</v>
      </c>
      <c r="G1530" s="4" t="s">
        <v>2369</v>
      </c>
    </row>
    <row r="1531">
      <c r="A1531" s="1">
        <v>1529.0</v>
      </c>
      <c r="B1531" s="4" t="s">
        <v>2321</v>
      </c>
      <c r="C1531" s="5" t="str">
        <f>IFERROR(__xludf.DUMMYFUNCTION("GOOGLETRANSLATE(D:D,""auto"",""en"")"),"The doctor was expelled from the fight against SARS poor")</f>
        <v>The doctor was expelled from the fight against SARS poor</v>
      </c>
      <c r="D1531" s="4" t="s">
        <v>2370</v>
      </c>
      <c r="E1531" s="4">
        <v>0.0</v>
      </c>
      <c r="F1531" s="4">
        <v>30.0</v>
      </c>
      <c r="G1531" s="4" t="s">
        <v>2371</v>
      </c>
    </row>
    <row r="1532">
      <c r="A1532" s="1">
        <v>1530.0</v>
      </c>
      <c r="B1532" s="4" t="s">
        <v>2321</v>
      </c>
      <c r="C1532" s="5" t="str">
        <f>IFERROR(__xludf.DUMMYFUNCTION("GOOGLETRANSLATE(D:D,""auto"",""en"")"),"Jiangxi 13 medical diagnosis")</f>
        <v>Jiangxi 13 medical diagnosis</v>
      </c>
      <c r="D1532" s="4" t="s">
        <v>2372</v>
      </c>
      <c r="E1532" s="4">
        <v>0.0</v>
      </c>
      <c r="F1532" s="4">
        <v>31.0</v>
      </c>
      <c r="G1532" s="4" t="s">
        <v>2373</v>
      </c>
    </row>
    <row r="1533">
      <c r="A1533" s="1">
        <v>1531.0</v>
      </c>
      <c r="B1533" s="4" t="s">
        <v>2321</v>
      </c>
      <c r="C1533" s="5" t="str">
        <f>IFERROR(__xludf.DUMMYFUNCTION("GOOGLETRANSLATE(D:D,""auto"",""en"")"),"824 million the use of contributions")</f>
        <v>824 million the use of contributions</v>
      </c>
      <c r="D1533" s="4" t="s">
        <v>2374</v>
      </c>
      <c r="E1533" s="4">
        <v>0.0</v>
      </c>
      <c r="F1533" s="4">
        <v>32.0</v>
      </c>
      <c r="G1533" s="4" t="s">
        <v>2375</v>
      </c>
    </row>
    <row r="1534">
      <c r="A1534" s="1">
        <v>1532.0</v>
      </c>
      <c r="B1534" s="4" t="s">
        <v>2321</v>
      </c>
      <c r="C1534" s="5" t="str">
        <f>IFERROR(__xludf.DUMMYFUNCTION("GOOGLETRANSLATE(D:D,""auto"",""en"")"),"Donnie Yen new movie will be webcast")</f>
        <v>Donnie Yen new movie will be webcast</v>
      </c>
      <c r="D1534" s="4" t="s">
        <v>2376</v>
      </c>
      <c r="E1534" s="4">
        <v>0.0</v>
      </c>
      <c r="F1534" s="4">
        <v>33.0</v>
      </c>
      <c r="G1534" s="4" t="s">
        <v>2377</v>
      </c>
    </row>
    <row r="1535">
      <c r="A1535" s="1">
        <v>1533.0</v>
      </c>
      <c r="B1535" s="4" t="s">
        <v>2321</v>
      </c>
      <c r="C1535" s="5" t="str">
        <f>IFERROR(__xludf.DUMMYFUNCTION("GOOGLETRANSLATE(D:D,""auto"",""en"")"),"Recent exposure Kobe parents")</f>
        <v>Recent exposure Kobe parents</v>
      </c>
      <c r="D1535" s="4" t="s">
        <v>2378</v>
      </c>
      <c r="E1535" s="4">
        <v>0.0</v>
      </c>
      <c r="F1535" s="4">
        <v>34.0</v>
      </c>
      <c r="G1535" s="4" t="s">
        <v>2379</v>
      </c>
    </row>
    <row r="1536">
      <c r="A1536" s="1">
        <v>1534.0</v>
      </c>
      <c r="B1536" s="4" t="s">
        <v>2321</v>
      </c>
      <c r="C1536" s="5" t="str">
        <f>IFERROR(__xludf.DUMMYFUNCTION("GOOGLETRANSLATE(D:D,""auto"",""en"")"),"Koji Yano 捐赠 opening 罩")</f>
        <v>Koji Yano 捐赠 opening 罩</v>
      </c>
      <c r="D1536" s="4" t="s">
        <v>2380</v>
      </c>
      <c r="E1536" s="4">
        <v>0.0</v>
      </c>
      <c r="F1536" s="4">
        <v>35.0</v>
      </c>
      <c r="G1536" s="4" t="s">
        <v>2381</v>
      </c>
    </row>
    <row r="1537">
      <c r="A1537" s="1">
        <v>1535.0</v>
      </c>
      <c r="B1537" s="4" t="s">
        <v>2321</v>
      </c>
      <c r="C1537" s="5" t="str">
        <f>IFERROR(__xludf.DUMMYFUNCTION("GOOGLETRANSLATE(D:D,""auto"",""en"")"),"Now two passenger flights fever")</f>
        <v>Now two passenger flights fever</v>
      </c>
      <c r="D1537" s="4" t="s">
        <v>2382</v>
      </c>
      <c r="E1537" s="4">
        <v>0.0</v>
      </c>
      <c r="F1537" s="4">
        <v>36.0</v>
      </c>
      <c r="G1537" s="4" t="s">
        <v>2383</v>
      </c>
    </row>
    <row r="1538">
      <c r="A1538" s="1">
        <v>1536.0</v>
      </c>
      <c r="B1538" s="4" t="s">
        <v>2321</v>
      </c>
      <c r="C1538" s="5" t="str">
        <f>IFERROR(__xludf.DUMMYFUNCTION("GOOGLETRANSLATE(D:D,""auto"",""en"")"),"Zhejiang talk of confirmed cases increased")</f>
        <v>Zhejiang talk of confirmed cases increased</v>
      </c>
      <c r="D1538" s="4" t="s">
        <v>2261</v>
      </c>
      <c r="E1538" s="4">
        <v>0.0</v>
      </c>
      <c r="F1538" s="4">
        <v>37.0</v>
      </c>
      <c r="G1538" s="4" t="s">
        <v>2262</v>
      </c>
    </row>
    <row r="1539">
      <c r="A1539" s="1">
        <v>1537.0</v>
      </c>
      <c r="B1539" s="4" t="s">
        <v>2321</v>
      </c>
      <c r="C1539" s="5" t="str">
        <f>IFERROR(__xludf.DUMMYFUNCTION("GOOGLETRANSLATE(D:D,""auto"",""en"")"),"Kaia was traced pregnant supermodel")</f>
        <v>Kaia was traced pregnant supermodel</v>
      </c>
      <c r="D1539" s="4" t="s">
        <v>2384</v>
      </c>
      <c r="E1539" s="4">
        <v>0.0</v>
      </c>
      <c r="F1539" s="4">
        <v>38.0</v>
      </c>
      <c r="G1539" s="4" t="s">
        <v>2385</v>
      </c>
    </row>
    <row r="1540">
      <c r="A1540" s="1">
        <v>1538.0</v>
      </c>
      <c r="B1540" s="4" t="s">
        <v>2321</v>
      </c>
      <c r="C1540" s="5" t="str">
        <f>IFERROR(__xludf.DUMMYFUNCTION("GOOGLETRANSLATE(D:D,""auto"",""en"")"),"Nanning Railway Bureau outage information")</f>
        <v>Nanning Railway Bureau outage information</v>
      </c>
      <c r="D1540" s="4" t="s">
        <v>2309</v>
      </c>
      <c r="E1540" s="4">
        <v>0.0</v>
      </c>
      <c r="F1540" s="4">
        <v>39.0</v>
      </c>
      <c r="G1540" s="4" t="s">
        <v>2310</v>
      </c>
    </row>
    <row r="1541">
      <c r="A1541" s="1">
        <v>1539.0</v>
      </c>
      <c r="B1541" s="4" t="s">
        <v>2321</v>
      </c>
      <c r="C1541" s="5" t="str">
        <f>IFERROR(__xludf.DUMMYFUNCTION("GOOGLETRANSLATE(D:D,""auto"",""en"")"),"US confirmed cases of human transmission")</f>
        <v>US confirmed cases of human transmission</v>
      </c>
      <c r="D1541" s="4" t="s">
        <v>2386</v>
      </c>
      <c r="E1541" s="4">
        <v>0.0</v>
      </c>
      <c r="F1541" s="4">
        <v>40.0</v>
      </c>
      <c r="G1541" s="4" t="s">
        <v>2387</v>
      </c>
    </row>
    <row r="1542">
      <c r="A1542" s="1">
        <v>1540.0</v>
      </c>
      <c r="B1542" s="4" t="s">
        <v>2321</v>
      </c>
      <c r="C1542" s="5" t="str">
        <f>IFERROR(__xludf.DUMMYFUNCTION("GOOGLETRANSLATE(D:D,""auto"",""en"")"),"Looking Nanning eight passengers")</f>
        <v>Looking Nanning eight passengers</v>
      </c>
      <c r="D1542" s="4" t="s">
        <v>2388</v>
      </c>
      <c r="E1542" s="4">
        <v>0.0</v>
      </c>
      <c r="F1542" s="4">
        <v>41.0</v>
      </c>
      <c r="G1542" s="4" t="s">
        <v>2389</v>
      </c>
    </row>
    <row r="1543">
      <c r="A1543" s="1">
        <v>1541.0</v>
      </c>
      <c r="B1543" s="4" t="s">
        <v>2321</v>
      </c>
      <c r="C1543" s="5" t="str">
        <f>IFERROR(__xludf.DUMMYFUNCTION("GOOGLETRANSLATE(D:D,""auto"",""en"")"),"3 cell isolation unit")</f>
        <v>3 cell isolation unit</v>
      </c>
      <c r="D1543" s="4" t="s">
        <v>2301</v>
      </c>
      <c r="E1543" s="4">
        <v>0.0</v>
      </c>
      <c r="F1543" s="4">
        <v>42.0</v>
      </c>
      <c r="G1543" s="4" t="s">
        <v>2302</v>
      </c>
    </row>
    <row r="1544">
      <c r="A1544" s="1">
        <v>1542.0</v>
      </c>
      <c r="B1544" s="4" t="s">
        <v>2321</v>
      </c>
      <c r="C1544" s="5" t="str">
        <f>IFERROR(__xludf.DUMMYFUNCTION("GOOGLETRANSLATE(D:D,""auto"",""en"")"),"Wang Fei donated masks to Taiwan")</f>
        <v>Wang Fei donated masks to Taiwan</v>
      </c>
      <c r="D1544" s="4" t="s">
        <v>2247</v>
      </c>
      <c r="E1544" s="4">
        <v>0.0</v>
      </c>
      <c r="F1544" s="4">
        <v>43.0</v>
      </c>
      <c r="G1544" s="4" t="s">
        <v>2248</v>
      </c>
    </row>
    <row r="1545">
      <c r="A1545" s="1">
        <v>1543.0</v>
      </c>
      <c r="B1545" s="4" t="s">
        <v>2321</v>
      </c>
      <c r="C1545" s="5" t="str">
        <f>IFERROR(__xludf.DUMMYFUNCTION("GOOGLETRANSLATE(D:D,""auto"",""en"")"),"Wuhan Fan Bingbing donated 500 000")</f>
        <v>Wuhan Fan Bingbing donated 500 000</v>
      </c>
      <c r="D1545" s="4" t="s">
        <v>2265</v>
      </c>
      <c r="E1545" s="4">
        <v>0.0</v>
      </c>
      <c r="F1545" s="4">
        <v>44.0</v>
      </c>
      <c r="G1545" s="4" t="s">
        <v>2266</v>
      </c>
    </row>
    <row r="1546">
      <c r="A1546" s="1">
        <v>1544.0</v>
      </c>
      <c r="B1546" s="4" t="s">
        <v>2321</v>
      </c>
      <c r="C1546" s="5" t="str">
        <f>IFERROR(__xludf.DUMMYFUNCTION("GOOGLETRANSLATE(D:D,""auto"",""en"")"),"James left thigh new tattoo")</f>
        <v>James left thigh new tattoo</v>
      </c>
      <c r="D1546" s="4" t="s">
        <v>2271</v>
      </c>
      <c r="E1546" s="4">
        <v>0.0</v>
      </c>
      <c r="F1546" s="4">
        <v>45.0</v>
      </c>
      <c r="G1546" s="4" t="s">
        <v>2272</v>
      </c>
    </row>
    <row r="1547">
      <c r="A1547" s="1">
        <v>1545.0</v>
      </c>
      <c r="B1547" s="4" t="s">
        <v>2321</v>
      </c>
      <c r="C1547" s="5" t="str">
        <f>IFERROR(__xludf.DUMMYFUNCTION("GOOGLETRANSLATE(D:D,""auto"",""en"")"),"Zhou in the United States by helicopter")</f>
        <v>Zhou in the United States by helicopter</v>
      </c>
      <c r="D1547" s="4" t="s">
        <v>2255</v>
      </c>
      <c r="E1547" s="4">
        <v>0.0</v>
      </c>
      <c r="F1547" s="4">
        <v>46.0</v>
      </c>
      <c r="G1547" s="4" t="s">
        <v>2256</v>
      </c>
    </row>
    <row r="1548">
      <c r="A1548" s="1">
        <v>1546.0</v>
      </c>
      <c r="B1548" s="4" t="s">
        <v>2321</v>
      </c>
      <c r="C1548" s="5" t="str">
        <f>IFERROR(__xludf.DUMMYFUNCTION("GOOGLETRANSLATE(D:D,""auto"",""en"")"),"Professor Zhong Nanshan met with US")</f>
        <v>Professor Zhong Nanshan met with US</v>
      </c>
      <c r="D1548" s="4" t="s">
        <v>2390</v>
      </c>
      <c r="E1548" s="4">
        <v>0.0</v>
      </c>
      <c r="F1548" s="4">
        <v>47.0</v>
      </c>
      <c r="G1548" s="4" t="s">
        <v>2391</v>
      </c>
    </row>
    <row r="1549">
      <c r="A1549" s="1">
        <v>1547.0</v>
      </c>
      <c r="B1549" s="4" t="s">
        <v>2321</v>
      </c>
      <c r="C1549" s="5" t="str">
        <f>IFERROR(__xludf.DUMMYFUNCTION("GOOGLETRANSLATE(D:D,""auto"",""en"")"),"Huanggang officials are free to respond")</f>
        <v>Huanggang officials are free to respond</v>
      </c>
      <c r="D1549" s="4" t="s">
        <v>2392</v>
      </c>
      <c r="E1549" s="4">
        <v>0.0</v>
      </c>
      <c r="F1549" s="4">
        <v>48.0</v>
      </c>
      <c r="G1549" s="4" t="s">
        <v>2393</v>
      </c>
    </row>
    <row r="1550">
      <c r="A1550" s="1">
        <v>1548.0</v>
      </c>
      <c r="B1550" s="4" t="s">
        <v>2321</v>
      </c>
      <c r="C1550" s="5" t="str">
        <f>IFERROR(__xludf.DUMMYFUNCTION("GOOGLETRANSLATE(D:D,""auto"",""en"")"),"Anhui extended holiday notice")</f>
        <v>Anhui extended holiday notice</v>
      </c>
      <c r="D1550" s="4" t="s">
        <v>2241</v>
      </c>
      <c r="E1550" s="4">
        <v>0.0</v>
      </c>
      <c r="F1550" s="4">
        <v>49.0</v>
      </c>
      <c r="G1550" s="4" t="s">
        <v>2242</v>
      </c>
    </row>
    <row r="1551">
      <c r="A1551" s="1">
        <v>1549.0</v>
      </c>
      <c r="B1551" s="4" t="s">
        <v>2321</v>
      </c>
      <c r="C1551" s="5" t="str">
        <f>IFERROR(__xludf.DUMMYFUNCTION("GOOGLETRANSLATE(D:D,""auto"",""en"")"),"Three kinds of drugs inhibit virus")</f>
        <v>Three kinds of drugs inhibit virus</v>
      </c>
      <c r="D1551" s="4" t="s">
        <v>2299</v>
      </c>
      <c r="E1551" s="4">
        <v>0.0</v>
      </c>
      <c r="F1551" s="4">
        <v>50.0</v>
      </c>
      <c r="G1551" s="4" t="s">
        <v>2300</v>
      </c>
    </row>
    <row r="1552">
      <c r="A1552" s="1">
        <v>1550.0</v>
      </c>
      <c r="B1552" s="4" t="s">
        <v>2394</v>
      </c>
      <c r="C1552" s="5" t="str">
        <f>IFERROR(__xludf.DUMMYFUNCTION("GOOGLETRANSLATE(D:D,""auto"",""en"")"),"SHL oral liquid out of stock")</f>
        <v>SHL oral liquid out of stock</v>
      </c>
      <c r="D1552" s="4" t="s">
        <v>2395</v>
      </c>
      <c r="E1552" s="4">
        <v>0.0</v>
      </c>
      <c r="F1552" s="4">
        <v>1.0</v>
      </c>
      <c r="G1552" s="4" t="s">
        <v>2396</v>
      </c>
    </row>
    <row r="1553">
      <c r="A1553" s="1">
        <v>1551.0</v>
      </c>
      <c r="B1553" s="4" t="s">
        <v>2394</v>
      </c>
      <c r="C1553" s="5" t="str">
        <f>IFERROR(__xludf.DUMMYFUNCTION("GOOGLETRANSLATE(D:D,""auto"",""en"")"),"The United States declared a state of emergency")</f>
        <v>The United States declared a state of emergency</v>
      </c>
      <c r="D1553" s="4" t="s">
        <v>2397</v>
      </c>
      <c r="E1553" s="4">
        <v>0.0</v>
      </c>
      <c r="F1553" s="4">
        <v>2.0</v>
      </c>
      <c r="G1553" s="4" t="s">
        <v>2398</v>
      </c>
    </row>
    <row r="1554">
      <c r="A1554" s="1">
        <v>1552.0</v>
      </c>
      <c r="B1554" s="4" t="s">
        <v>2394</v>
      </c>
      <c r="C1554" s="5" t="str">
        <f>IFERROR(__xludf.DUMMYFUNCTION("GOOGLETRANSLATE(D:D,""auto"",""en"")"),"SHL inhibit viral exposure")</f>
        <v>SHL inhibit viral exposure</v>
      </c>
      <c r="D1554" s="4" t="s">
        <v>2399</v>
      </c>
      <c r="E1554" s="4">
        <v>0.0</v>
      </c>
      <c r="F1554" s="4">
        <v>3.0</v>
      </c>
      <c r="G1554" s="4" t="s">
        <v>2400</v>
      </c>
    </row>
    <row r="1555">
      <c r="A1555" s="1">
        <v>1553.0</v>
      </c>
      <c r="B1555" s="4" t="s">
        <v>2394</v>
      </c>
      <c r="C1555" s="5" t="str">
        <f>IFERROR(__xludf.DUMMYFUNCTION("GOOGLETRANSLATE(D:D,""auto"",""en"")"),"22-year-old nurse's hand infection")</f>
        <v>22-year-old nurse's hand infection</v>
      </c>
      <c r="D1555" s="4" t="s">
        <v>2401</v>
      </c>
      <c r="E1555" s="4">
        <v>0.0</v>
      </c>
      <c r="F1555" s="4">
        <v>4.0</v>
      </c>
      <c r="G1555" s="4" t="s">
        <v>2402</v>
      </c>
    </row>
    <row r="1556">
      <c r="A1556" s="1">
        <v>1554.0</v>
      </c>
      <c r="B1556" s="4" t="s">
        <v>2394</v>
      </c>
      <c r="C1556" s="5" t="str">
        <f>IFERROR(__xludf.DUMMYFUNCTION("GOOGLETRANSLATE(D:D,""auto"",""en"")"),"Police for the prevention and control of sacrifice")</f>
        <v>Police for the prevention and control of sacrifice</v>
      </c>
      <c r="D1556" s="4" t="s">
        <v>2403</v>
      </c>
      <c r="E1556" s="4">
        <v>0.0</v>
      </c>
      <c r="F1556" s="4">
        <v>5.0</v>
      </c>
      <c r="G1556" s="4" t="s">
        <v>2404</v>
      </c>
    </row>
    <row r="1557">
      <c r="A1557" s="1">
        <v>1555.0</v>
      </c>
      <c r="B1557" s="4" t="s">
        <v>2394</v>
      </c>
      <c r="C1557" s="5" t="str">
        <f>IFERROR(__xludf.DUMMYFUNCTION("GOOGLETRANSLATE(D:D,""auto"",""en"")"),"Wuhan Red Cross bar Security Correspondent")</f>
        <v>Wuhan Red Cross bar Security Correspondent</v>
      </c>
      <c r="D1557" s="4" t="s">
        <v>2405</v>
      </c>
      <c r="E1557" s="4">
        <v>0.0</v>
      </c>
      <c r="F1557" s="4">
        <v>6.0</v>
      </c>
      <c r="G1557" s="4" t="s">
        <v>2406</v>
      </c>
    </row>
    <row r="1558">
      <c r="A1558" s="1">
        <v>1556.0</v>
      </c>
      <c r="B1558" s="4" t="s">
        <v>2394</v>
      </c>
      <c r="C1558" s="5" t="str">
        <f>IFERROR(__xludf.DUMMYFUNCTION("GOOGLETRANSLATE(D:D,""auto"",""en"")"),"Hunan Shaoyang bird flu")</f>
        <v>Hunan Shaoyang bird flu</v>
      </c>
      <c r="D1558" s="4" t="s">
        <v>2407</v>
      </c>
      <c r="E1558" s="4">
        <v>0.0</v>
      </c>
      <c r="F1558" s="4">
        <v>7.0</v>
      </c>
      <c r="G1558" s="4" t="s">
        <v>2408</v>
      </c>
    </row>
    <row r="1559">
      <c r="A1559" s="1">
        <v>1557.0</v>
      </c>
      <c r="B1559" s="4" t="s">
        <v>2394</v>
      </c>
      <c r="C1559" s="5" t="str">
        <f>IFERROR(__xludf.DUMMYFUNCTION("GOOGLETRANSLATE(D:D,""auto"",""en"")"),"Huanggang officials are free to respond")</f>
        <v>Huanggang officials are free to respond</v>
      </c>
      <c r="D1559" s="4" t="s">
        <v>2392</v>
      </c>
      <c r="E1559" s="4">
        <v>0.0</v>
      </c>
      <c r="F1559" s="4">
        <v>8.0</v>
      </c>
      <c r="G1559" s="4" t="s">
        <v>2393</v>
      </c>
    </row>
    <row r="1560">
      <c r="A1560" s="1">
        <v>1558.0</v>
      </c>
      <c r="B1560" s="4" t="s">
        <v>2394</v>
      </c>
      <c r="C1560" s="5" t="str">
        <f>IFERROR(__xludf.DUMMYFUNCTION("GOOGLETRANSLATE(D:D,""auto"",""en"")"),"Wuhan 61 suspected infection of health care")</f>
        <v>Wuhan 61 suspected infection of health care</v>
      </c>
      <c r="D1560" s="4" t="s">
        <v>2358</v>
      </c>
      <c r="E1560" s="4">
        <v>0.0</v>
      </c>
      <c r="F1560" s="4">
        <v>9.0</v>
      </c>
      <c r="G1560" s="4" t="s">
        <v>2359</v>
      </c>
    </row>
    <row r="1561">
      <c r="A1561" s="1">
        <v>1559.0</v>
      </c>
      <c r="B1561" s="4" t="s">
        <v>2394</v>
      </c>
      <c r="C1561" s="5" t="str">
        <f>IFERROR(__xludf.DUMMYFUNCTION("GOOGLETRANSLATE(D:D,""auto"",""en"")"),"8 words on Japan supplies")</f>
        <v>8 words on Japan supplies</v>
      </c>
      <c r="D1561" s="4" t="s">
        <v>2409</v>
      </c>
      <c r="E1561" s="4">
        <v>0.0</v>
      </c>
      <c r="F1561" s="4">
        <v>10.0</v>
      </c>
      <c r="G1561" s="4" t="s">
        <v>2410</v>
      </c>
    </row>
    <row r="1562">
      <c r="A1562" s="1">
        <v>1560.0</v>
      </c>
      <c r="B1562" s="4" t="s">
        <v>2394</v>
      </c>
      <c r="C1562" s="5" t="str">
        <f>IFERROR(__xludf.DUMMYFUNCTION("GOOGLETRANSLATE(D:D,""auto"",""en"")"),"Jiangxi 13 medical diagnosis")</f>
        <v>Jiangxi 13 medical diagnosis</v>
      </c>
      <c r="D1562" s="4" t="s">
        <v>2372</v>
      </c>
      <c r="E1562" s="4">
        <v>0.0</v>
      </c>
      <c r="F1562" s="4">
        <v>11.0</v>
      </c>
      <c r="G1562" s="4" t="s">
        <v>2373</v>
      </c>
    </row>
    <row r="1563">
      <c r="A1563" s="1">
        <v>1561.0</v>
      </c>
      <c r="B1563" s="4" t="s">
        <v>2394</v>
      </c>
      <c r="C1563" s="5" t="str">
        <f>IFERROR(__xludf.DUMMYFUNCTION("GOOGLETRANSLATE(D:D,""auto"",""en"")"),"Beijing Enterprises February 10 to work")</f>
        <v>Beijing Enterprises February 10 to work</v>
      </c>
      <c r="D1563" s="4" t="s">
        <v>2364</v>
      </c>
      <c r="E1563" s="4">
        <v>0.0</v>
      </c>
      <c r="F1563" s="4">
        <v>12.0</v>
      </c>
      <c r="G1563" s="4" t="s">
        <v>2365</v>
      </c>
    </row>
    <row r="1564">
      <c r="A1564" s="1">
        <v>1562.0</v>
      </c>
      <c r="B1564" s="4" t="s">
        <v>2394</v>
      </c>
      <c r="C1564" s="5" t="str">
        <f>IFERROR(__xludf.DUMMYFUNCTION("GOOGLETRANSLATE(D:D,""auto"",""en"")"),"Pace four female viviparous")</f>
        <v>Pace four female viviparous</v>
      </c>
      <c r="D1564" s="4" t="s">
        <v>2360</v>
      </c>
      <c r="E1564" s="4">
        <v>0.0</v>
      </c>
      <c r="F1564" s="4">
        <v>13.0</v>
      </c>
      <c r="G1564" s="4" t="s">
        <v>2361</v>
      </c>
    </row>
    <row r="1565">
      <c r="A1565" s="1">
        <v>1563.0</v>
      </c>
      <c r="B1565" s="4" t="s">
        <v>2394</v>
      </c>
      <c r="C1565" s="5" t="str">
        <f>IFERROR(__xludf.DUMMYFUNCTION("GOOGLETRANSLATE(D:D,""auto"",""en"")"),"Wuhan Union Hospital rumor")</f>
        <v>Wuhan Union Hospital rumor</v>
      </c>
      <c r="D1565" s="4" t="s">
        <v>2362</v>
      </c>
      <c r="E1565" s="4">
        <v>0.0</v>
      </c>
      <c r="F1565" s="4">
        <v>14.0</v>
      </c>
      <c r="G1565" s="4" t="s">
        <v>2363</v>
      </c>
    </row>
    <row r="1566">
      <c r="A1566" s="1">
        <v>1564.0</v>
      </c>
      <c r="B1566" s="4" t="s">
        <v>2394</v>
      </c>
      <c r="C1566" s="5" t="str">
        <f>IFERROR(__xludf.DUMMYFUNCTION("GOOGLETRANSLATE(D:D,""auto"",""en"")"),"20 patients discharged from hospital group")</f>
        <v>20 patients discharged from hospital group</v>
      </c>
      <c r="D1566" s="4" t="s">
        <v>2411</v>
      </c>
      <c r="E1566" s="4">
        <v>0.0</v>
      </c>
      <c r="F1566" s="4">
        <v>15.0</v>
      </c>
      <c r="G1566" s="4" t="s">
        <v>2412</v>
      </c>
    </row>
    <row r="1567">
      <c r="A1567" s="1">
        <v>1565.0</v>
      </c>
      <c r="B1567" s="4" t="s">
        <v>2394</v>
      </c>
      <c r="C1567" s="5" t="str">
        <f>IFERROR(__xludf.DUMMYFUNCTION("GOOGLETRANSLATE(D:D,""auto"",""en"")"),"Jiangxi a patient infected 15 people")</f>
        <v>Jiangxi a patient infected 15 people</v>
      </c>
      <c r="D1567" s="4" t="s">
        <v>2413</v>
      </c>
      <c r="E1567" s="4">
        <v>0.0</v>
      </c>
      <c r="F1567" s="4">
        <v>16.0</v>
      </c>
      <c r="G1567" s="4" t="s">
        <v>2414</v>
      </c>
    </row>
    <row r="1568">
      <c r="A1568" s="1">
        <v>1566.0</v>
      </c>
      <c r="B1568" s="4" t="s">
        <v>2394</v>
      </c>
      <c r="C1568" s="5" t="str">
        <f>IFERROR(__xludf.DUMMYFUNCTION("GOOGLETRANSLATE(D:D,""auto"",""en"")"),"Huoxiangzhengqi to recommend drugs")</f>
        <v>Huoxiangzhengqi to recommend drugs</v>
      </c>
      <c r="D1568" s="4" t="s">
        <v>2415</v>
      </c>
      <c r="E1568" s="4">
        <v>0.0</v>
      </c>
      <c r="F1568" s="4">
        <v>17.0</v>
      </c>
      <c r="G1568" s="4" t="s">
        <v>2416</v>
      </c>
    </row>
    <row r="1569">
      <c r="A1569" s="1">
        <v>1567.0</v>
      </c>
      <c r="B1569" s="4" t="s">
        <v>2394</v>
      </c>
      <c r="C1569" s="5" t="str">
        <f>IFERROR(__xludf.DUMMYFUNCTION("GOOGLETRANSLATE(D:D,""auto"",""en"")"),"Britain officially off Europe")</f>
        <v>Britain officially off Europe</v>
      </c>
      <c r="D1569" s="4" t="s">
        <v>2417</v>
      </c>
      <c r="E1569" s="4">
        <v>0.0</v>
      </c>
      <c r="F1569" s="4">
        <v>18.0</v>
      </c>
      <c r="G1569" s="4" t="s">
        <v>2418</v>
      </c>
    </row>
    <row r="1570">
      <c r="A1570" s="1">
        <v>1568.0</v>
      </c>
      <c r="B1570" s="4" t="s">
        <v>2394</v>
      </c>
      <c r="C1570" s="5" t="str">
        <f>IFERROR(__xludf.DUMMYFUNCTION("GOOGLETRANSLATE(D:D,""auto"",""en"")"),"Lakers Kobe Bryant Tribute")</f>
        <v>Lakers Kobe Bryant Tribute</v>
      </c>
      <c r="D1570" s="4" t="s">
        <v>2419</v>
      </c>
      <c r="E1570" s="4">
        <v>0.0</v>
      </c>
      <c r="F1570" s="4">
        <v>19.0</v>
      </c>
      <c r="G1570" s="4" t="s">
        <v>2420</v>
      </c>
    </row>
    <row r="1571">
      <c r="A1571" s="1">
        <v>1569.0</v>
      </c>
      <c r="B1571" s="4" t="s">
        <v>2394</v>
      </c>
      <c r="C1571" s="5" t="str">
        <f>IFERROR(__xludf.DUMMYFUNCTION("GOOGLETRANSLATE(D:D,""auto"",""en"")"),"Zhong Nanshan Jifangangzhe tips")</f>
        <v>Zhong Nanshan Jifangangzhe tips</v>
      </c>
      <c r="D1571" s="4" t="s">
        <v>2421</v>
      </c>
      <c r="E1571" s="4">
        <v>0.0</v>
      </c>
      <c r="F1571" s="4">
        <v>20.0</v>
      </c>
      <c r="G1571" s="4" t="s">
        <v>2422</v>
      </c>
    </row>
    <row r="1572">
      <c r="A1572" s="1">
        <v>1570.0</v>
      </c>
      <c r="B1572" s="4" t="s">
        <v>2394</v>
      </c>
      <c r="C1572" s="5" t="str">
        <f>IFERROR(__xludf.DUMMYFUNCTION("GOOGLETRANSLATE(D:D,""auto"",""en"")"),"Apple retail stores closed mainland")</f>
        <v>Apple retail stores closed mainland</v>
      </c>
      <c r="D1572" s="4" t="s">
        <v>2423</v>
      </c>
      <c r="E1572" s="4">
        <v>0.0</v>
      </c>
      <c r="F1572" s="4">
        <v>21.0</v>
      </c>
      <c r="G1572" s="4" t="s">
        <v>2424</v>
      </c>
    </row>
    <row r="1573">
      <c r="A1573" s="1">
        <v>1571.0</v>
      </c>
      <c r="B1573" s="4" t="s">
        <v>2394</v>
      </c>
      <c r="C1573" s="5" t="str">
        <f>IFERROR(__xludf.DUMMYFUNCTION("GOOGLETRANSLATE(D:D,""auto"",""en"")"),"Swiss were fortunate coffee fell short")</f>
        <v>Swiss were fortunate coffee fell short</v>
      </c>
      <c r="D1573" s="4" t="s">
        <v>2425</v>
      </c>
      <c r="E1573" s="4">
        <v>0.0</v>
      </c>
      <c r="F1573" s="4">
        <v>22.0</v>
      </c>
      <c r="G1573" s="4" t="s">
        <v>2426</v>
      </c>
    </row>
    <row r="1574">
      <c r="A1574" s="1">
        <v>1572.0</v>
      </c>
      <c r="B1574" s="4" t="s">
        <v>2394</v>
      </c>
      <c r="C1574" s="5" t="str">
        <f>IFERROR(__xludf.DUMMYFUNCTION("GOOGLETRANSLATE(D:D,""auto"",""en"")"),"Wenzhou 25 emergency measures")</f>
        <v>Wenzhou 25 emergency measures</v>
      </c>
      <c r="D1574" s="4" t="s">
        <v>2427</v>
      </c>
      <c r="E1574" s="4">
        <v>0.0</v>
      </c>
      <c r="F1574" s="4">
        <v>23.0</v>
      </c>
      <c r="G1574" s="4" t="s">
        <v>2428</v>
      </c>
    </row>
    <row r="1575">
      <c r="A1575" s="1">
        <v>1573.0</v>
      </c>
      <c r="B1575" s="4" t="s">
        <v>2394</v>
      </c>
      <c r="C1575" s="5" t="str">
        <f>IFERROR(__xludf.DUMMYFUNCTION("GOOGLETRANSLATE(D:D,""auto"",""en"")"),"The epidemic spread to five European countries")</f>
        <v>The epidemic spread to five European countries</v>
      </c>
      <c r="D1575" s="4" t="s">
        <v>2429</v>
      </c>
      <c r="E1575" s="4">
        <v>0.0</v>
      </c>
      <c r="F1575" s="4">
        <v>24.0</v>
      </c>
      <c r="G1575" s="4" t="s">
        <v>2430</v>
      </c>
    </row>
    <row r="1576">
      <c r="A1576" s="1">
        <v>1574.0</v>
      </c>
      <c r="B1576" s="4" t="s">
        <v>2394</v>
      </c>
      <c r="C1576" s="5" t="str">
        <f>IFERROR(__xludf.DUMMYFUNCTION("GOOGLETRANSLATE(D:D,""auto"",""en"")"),"Hubei red will be accountable")</f>
        <v>Hubei red will be accountable</v>
      </c>
      <c r="D1576" s="4" t="s">
        <v>2431</v>
      </c>
      <c r="E1576" s="4">
        <v>0.0</v>
      </c>
      <c r="F1576" s="4">
        <v>25.0</v>
      </c>
      <c r="G1576" s="4" t="s">
        <v>2432</v>
      </c>
    </row>
    <row r="1577">
      <c r="A1577" s="1">
        <v>1575.0</v>
      </c>
      <c r="B1577" s="4" t="s">
        <v>2394</v>
      </c>
      <c r="C1577" s="5" t="str">
        <f>IFERROR(__xludf.DUMMYFUNCTION("GOOGLETRANSLATE(D:D,""auto"",""en"")"),"Ding Ning beat the Mima Ito")</f>
        <v>Ding Ning beat the Mima Ito</v>
      </c>
      <c r="D1577" s="4" t="s">
        <v>2433</v>
      </c>
      <c r="E1577" s="4">
        <v>0.0</v>
      </c>
      <c r="F1577" s="4">
        <v>26.0</v>
      </c>
      <c r="G1577" s="4" t="s">
        <v>2434</v>
      </c>
    </row>
    <row r="1578">
      <c r="A1578" s="1">
        <v>1576.0</v>
      </c>
      <c r="B1578" s="4" t="s">
        <v>2394</v>
      </c>
      <c r="C1578" s="5" t="str">
        <f>IFERROR(__xludf.DUMMYFUNCTION("GOOGLETRANSLATE(D:D,""auto"",""en"")"),"Sichuan Jixun with passenger train")</f>
        <v>Sichuan Jixun with passenger train</v>
      </c>
      <c r="D1578" s="4" t="s">
        <v>2435</v>
      </c>
      <c r="E1578" s="4">
        <v>0.0</v>
      </c>
      <c r="F1578" s="4">
        <v>27.0</v>
      </c>
      <c r="G1578" s="4" t="s">
        <v>2436</v>
      </c>
    </row>
    <row r="1579">
      <c r="A1579" s="1">
        <v>1577.0</v>
      </c>
      <c r="B1579" s="4" t="s">
        <v>2394</v>
      </c>
      <c r="C1579" s="5" t="str">
        <f>IFERROR(__xludf.DUMMYFUNCTION("GOOGLETRANSLATE(D:D,""auto"",""en"")"),"Han Foundation suspended by the donation")</f>
        <v>Han Foundation suspended by the donation</v>
      </c>
      <c r="D1579" s="4" t="s">
        <v>2437</v>
      </c>
      <c r="E1579" s="4">
        <v>0.0</v>
      </c>
      <c r="F1579" s="4">
        <v>28.0</v>
      </c>
      <c r="G1579" s="4" t="s">
        <v>2438</v>
      </c>
    </row>
    <row r="1580">
      <c r="A1580" s="1">
        <v>1578.0</v>
      </c>
      <c r="B1580" s="4" t="s">
        <v>2394</v>
      </c>
      <c r="C1580" s="5" t="str">
        <f>IFERROR(__xludf.DUMMYFUNCTION("GOOGLETRANSLATE(D:D,""auto"",""en"")"),"Italian state of emergency")</f>
        <v>Italian state of emergency</v>
      </c>
      <c r="D1580" s="4" t="s">
        <v>2439</v>
      </c>
      <c r="E1580" s="4">
        <v>0.0</v>
      </c>
      <c r="F1580" s="4">
        <v>29.0</v>
      </c>
      <c r="G1580" s="4" t="s">
        <v>2440</v>
      </c>
    </row>
    <row r="1581">
      <c r="A1581" s="1">
        <v>1579.0</v>
      </c>
      <c r="B1581" s="4" t="s">
        <v>2394</v>
      </c>
      <c r="C1581" s="5" t="str">
        <f>IFERROR(__xludf.DUMMYFUNCTION("GOOGLETRANSLATE(D:D,""auto"",""en"")"),"Party Secretary was stopped at the entrance to the village")</f>
        <v>Party Secretary was stopped at the entrance to the village</v>
      </c>
      <c r="D1581" s="4" t="s">
        <v>2332</v>
      </c>
      <c r="E1581" s="4">
        <v>0.0</v>
      </c>
      <c r="F1581" s="4">
        <v>30.0</v>
      </c>
      <c r="G1581" s="4" t="s">
        <v>2333</v>
      </c>
    </row>
    <row r="1582">
      <c r="A1582" s="1">
        <v>1580.0</v>
      </c>
      <c r="B1582" s="4" t="s">
        <v>2394</v>
      </c>
      <c r="C1582" s="5" t="str">
        <f>IFERROR(__xludf.DUMMYFUNCTION("GOOGLETRANSLATE(D:D,""auto"",""en"")"),"Wuhan hiding history caused by infection village doctor")</f>
        <v>Wuhan hiding history caused by infection village doctor</v>
      </c>
      <c r="D1582" s="4" t="s">
        <v>2356</v>
      </c>
      <c r="E1582" s="4">
        <v>0.0</v>
      </c>
      <c r="F1582" s="4">
        <v>31.0</v>
      </c>
      <c r="G1582" s="4" t="s">
        <v>2357</v>
      </c>
    </row>
    <row r="1583">
      <c r="A1583" s="1">
        <v>1581.0</v>
      </c>
      <c r="B1583" s="4" t="s">
        <v>2394</v>
      </c>
      <c r="C1583" s="5" t="str">
        <f>IFERROR(__xludf.DUMMYFUNCTION("GOOGLETRANSLATE(D:D,""auto"",""en"")"),"Confirmed the number of super-two hundred cities")</f>
        <v>Confirmed the number of super-two hundred cities</v>
      </c>
      <c r="D1583" s="4" t="s">
        <v>2441</v>
      </c>
      <c r="E1583" s="4">
        <v>0.0</v>
      </c>
      <c r="F1583" s="4">
        <v>32.0</v>
      </c>
      <c r="G1583" s="4" t="s">
        <v>2442</v>
      </c>
    </row>
    <row r="1584">
      <c r="A1584" s="1">
        <v>1582.0</v>
      </c>
      <c r="B1584" s="4" t="s">
        <v>2394</v>
      </c>
      <c r="C1584" s="5" t="str">
        <f>IFERROR(__xludf.DUMMYFUNCTION("GOOGLETRANSLATE(D:D,""auto"",""en"")"),"Interpretation of the epidemic was designated PHEIC")</f>
        <v>Interpretation of the epidemic was designated PHEIC</v>
      </c>
      <c r="D1584" s="4" t="s">
        <v>2443</v>
      </c>
      <c r="E1584" s="4">
        <v>0.0</v>
      </c>
      <c r="F1584" s="4">
        <v>33.0</v>
      </c>
      <c r="G1584" s="4" t="s">
        <v>2444</v>
      </c>
    </row>
    <row r="1585">
      <c r="A1585" s="1">
        <v>1583.0</v>
      </c>
      <c r="B1585" s="4" t="s">
        <v>2394</v>
      </c>
      <c r="C1585" s="5" t="str">
        <f>IFERROR(__xludf.DUMMYFUNCTION("GOOGLETRANSLATE(D:D,""auto"",""en"")"),"The new crown spread of the virus decreased force")</f>
        <v>The new crown spread of the virus decreased force</v>
      </c>
      <c r="D1585" s="4" t="s">
        <v>2281</v>
      </c>
      <c r="E1585" s="4">
        <v>0.0</v>
      </c>
      <c r="F1585" s="4">
        <v>34.0</v>
      </c>
      <c r="G1585" s="4" t="s">
        <v>2282</v>
      </c>
    </row>
    <row r="1586">
      <c r="A1586" s="1">
        <v>1584.0</v>
      </c>
      <c r="B1586" s="4" t="s">
        <v>2394</v>
      </c>
      <c r="C1586" s="5" t="str">
        <f>IFERROR(__xludf.DUMMYFUNCTION("GOOGLETRANSLATE(D:D,""auto"",""en"")"),"Ocean Spring mourn brothers lead misunderstood")</f>
        <v>Ocean Spring mourn brothers lead misunderstood</v>
      </c>
      <c r="D1586" s="4" t="s">
        <v>2445</v>
      </c>
      <c r="E1586" s="4">
        <v>0.0</v>
      </c>
      <c r="F1586" s="4">
        <v>35.0</v>
      </c>
      <c r="G1586" s="4" t="s">
        <v>2446</v>
      </c>
    </row>
    <row r="1587">
      <c r="A1587" s="1">
        <v>1585.0</v>
      </c>
      <c r="B1587" s="4" t="s">
        <v>2394</v>
      </c>
      <c r="C1587" s="5" t="str">
        <f>IFERROR(__xludf.DUMMYFUNCTION("GOOGLETRANSLATE(D:D,""auto"",""en"")"),"Cerebral palsy child mortality mayor removed from office")</f>
        <v>Cerebral palsy child mortality mayor removed from office</v>
      </c>
      <c r="D1587" s="4" t="s">
        <v>2447</v>
      </c>
      <c r="E1587" s="4">
        <v>0.0</v>
      </c>
      <c r="F1587" s="4">
        <v>36.0</v>
      </c>
      <c r="G1587" s="4" t="s">
        <v>2448</v>
      </c>
    </row>
    <row r="1588">
      <c r="A1588" s="1">
        <v>1586.0</v>
      </c>
      <c r="B1588" s="4" t="s">
        <v>2394</v>
      </c>
      <c r="C1588" s="5" t="str">
        <f>IFERROR(__xludf.DUMMYFUNCTION("GOOGLETRANSLATE(D:D,""auto"",""en"")"),"Epidemic prevention and control personnel were robbed")</f>
        <v>Epidemic prevention and control personnel were robbed</v>
      </c>
      <c r="D1588" s="4" t="s">
        <v>2449</v>
      </c>
      <c r="E1588" s="4">
        <v>0.0</v>
      </c>
      <c r="F1588" s="4">
        <v>37.0</v>
      </c>
      <c r="G1588" s="4" t="s">
        <v>2450</v>
      </c>
    </row>
    <row r="1589">
      <c r="A1589" s="1">
        <v>1587.0</v>
      </c>
      <c r="B1589" s="4" t="s">
        <v>2394</v>
      </c>
      <c r="C1589" s="5" t="str">
        <f>IFERROR(__xludf.DUMMYFUNCTION("GOOGLETRANSLATE(D:D,""auto"",""en"")"),"SHL drug response")</f>
        <v>SHL drug response</v>
      </c>
      <c r="D1589" s="4" t="s">
        <v>2451</v>
      </c>
      <c r="E1589" s="4">
        <v>0.0</v>
      </c>
      <c r="F1589" s="4">
        <v>38.0</v>
      </c>
      <c r="G1589" s="4" t="s">
        <v>2452</v>
      </c>
    </row>
    <row r="1590">
      <c r="A1590" s="1">
        <v>1588.0</v>
      </c>
      <c r="B1590" s="4" t="s">
        <v>2394</v>
      </c>
      <c r="C1590" s="5" t="str">
        <f>IFERROR(__xludf.DUMMYFUNCTION("GOOGLETRANSLATE(D:D,""auto"",""en"")"),"Gong Li painting for the new virus crown")</f>
        <v>Gong Li painting for the new virus crown</v>
      </c>
      <c r="D1590" s="4" t="s">
        <v>2453</v>
      </c>
      <c r="E1590" s="4">
        <v>0.0</v>
      </c>
      <c r="F1590" s="4">
        <v>39.0</v>
      </c>
      <c r="G1590" s="4" t="s">
        <v>2454</v>
      </c>
    </row>
    <row r="1591">
      <c r="A1591" s="1">
        <v>1589.0</v>
      </c>
      <c r="B1591" s="4" t="s">
        <v>2394</v>
      </c>
      <c r="C1591" s="5" t="str">
        <f>IFERROR(__xludf.DUMMYFUNCTION("GOOGLETRANSLATE(D:D,""auto"",""en"")"),"Song Hye Kyo solidarity Wuhan")</f>
        <v>Song Hye Kyo solidarity Wuhan</v>
      </c>
      <c r="D1591" s="4" t="s">
        <v>2455</v>
      </c>
      <c r="E1591" s="4">
        <v>0.0</v>
      </c>
      <c r="F1591" s="4">
        <v>40.0</v>
      </c>
      <c r="G1591" s="4" t="s">
        <v>2456</v>
      </c>
    </row>
    <row r="1592">
      <c r="A1592" s="1">
        <v>1590.0</v>
      </c>
      <c r="B1592" s="4" t="s">
        <v>2394</v>
      </c>
      <c r="C1592" s="5" t="str">
        <f>IFERROR(__xludf.DUMMYFUNCTION("GOOGLETRANSLATE(D:D,""auto"",""en"")"),"300 million chickens will run out of food")</f>
        <v>300 million chickens will run out of food</v>
      </c>
      <c r="D1592" s="4" t="s">
        <v>2457</v>
      </c>
      <c r="E1592" s="4">
        <v>0.0</v>
      </c>
      <c r="F1592" s="4">
        <v>41.0</v>
      </c>
      <c r="G1592" s="4" t="s">
        <v>2458</v>
      </c>
    </row>
    <row r="1593">
      <c r="A1593" s="1">
        <v>1591.0</v>
      </c>
      <c r="B1593" s="4" t="s">
        <v>2394</v>
      </c>
      <c r="C1593" s="5" t="str">
        <f>IFERROR(__xludf.DUMMYFUNCTION("GOOGLETRANSLATE(D:D,""auto"",""en"")"),"Zhu Wen donors Wuhan")</f>
        <v>Zhu Wen donors Wuhan</v>
      </c>
      <c r="D1593" s="4" t="s">
        <v>2340</v>
      </c>
      <c r="E1593" s="4">
        <v>0.0</v>
      </c>
      <c r="F1593" s="4">
        <v>42.0</v>
      </c>
      <c r="G1593" s="4" t="s">
        <v>2341</v>
      </c>
    </row>
    <row r="1594">
      <c r="A1594" s="1">
        <v>1592.0</v>
      </c>
      <c r="B1594" s="4" t="s">
        <v>2394</v>
      </c>
      <c r="C1594" s="5" t="str">
        <f>IFERROR(__xludf.DUMMYFUNCTION("GOOGLETRANSLATE(D:D,""auto"",""en"")"),"Nanyang publish the most stringent restrictions")</f>
        <v>Nanyang publish the most stringent restrictions</v>
      </c>
      <c r="D1594" s="4" t="s">
        <v>2366</v>
      </c>
      <c r="E1594" s="4">
        <v>0.0</v>
      </c>
      <c r="F1594" s="4">
        <v>43.0</v>
      </c>
      <c r="G1594" s="4" t="s">
        <v>2367</v>
      </c>
    </row>
    <row r="1595">
      <c r="A1595" s="1">
        <v>1593.0</v>
      </c>
      <c r="B1595" s="4" t="s">
        <v>2394</v>
      </c>
      <c r="C1595" s="5" t="str">
        <f>IFERROR(__xludf.DUMMYFUNCTION("GOOGLETRANSLATE(D:D,""auto"",""en"")"),"Recent exposure Kobe parents")</f>
        <v>Recent exposure Kobe parents</v>
      </c>
      <c r="D1595" s="4" t="s">
        <v>2378</v>
      </c>
      <c r="E1595" s="4">
        <v>0.0</v>
      </c>
      <c r="F1595" s="4">
        <v>44.0</v>
      </c>
      <c r="G1595" s="4" t="s">
        <v>2379</v>
      </c>
    </row>
    <row r="1596">
      <c r="A1596" s="1">
        <v>1594.0</v>
      </c>
      <c r="B1596" s="4" t="s">
        <v>2394</v>
      </c>
      <c r="C1596" s="5" t="str">
        <f>IFERROR(__xludf.DUMMYFUNCTION("GOOGLETRANSLATE(D:D,""auto"",""en"")"),"Koji Yano 捐赠 opening 罩")</f>
        <v>Koji Yano 捐赠 opening 罩</v>
      </c>
      <c r="D1596" s="4" t="s">
        <v>2380</v>
      </c>
      <c r="E1596" s="4">
        <v>0.0</v>
      </c>
      <c r="F1596" s="4">
        <v>45.0</v>
      </c>
      <c r="G1596" s="4" t="s">
        <v>2381</v>
      </c>
    </row>
    <row r="1597">
      <c r="A1597" s="1">
        <v>1595.0</v>
      </c>
      <c r="B1597" s="4" t="s">
        <v>2394</v>
      </c>
      <c r="C1597" s="5" t="str">
        <f>IFERROR(__xludf.DUMMYFUNCTION("GOOGLETRANSLATE(D:D,""auto"",""en"")"),"Official Journal conflict Vulcan Mountain")</f>
        <v>Official Journal conflict Vulcan Mountain</v>
      </c>
      <c r="D1597" s="4" t="s">
        <v>2328</v>
      </c>
      <c r="E1597" s="4">
        <v>0.0</v>
      </c>
      <c r="F1597" s="4">
        <v>46.0</v>
      </c>
      <c r="G1597" s="4" t="s">
        <v>2329</v>
      </c>
    </row>
    <row r="1598">
      <c r="A1598" s="1">
        <v>1596.0</v>
      </c>
      <c r="B1598" s="4" t="s">
        <v>2394</v>
      </c>
      <c r="C1598" s="5" t="str">
        <f>IFERROR(__xludf.DUMMYFUNCTION("GOOGLETRANSLATE(D:D,""auto"",""en"")"),"Wuhan transfer rumors should be tolerant eight people")</f>
        <v>Wuhan transfer rumors should be tolerant eight people</v>
      </c>
      <c r="D1598" s="4" t="s">
        <v>2326</v>
      </c>
      <c r="E1598" s="4">
        <v>0.0</v>
      </c>
      <c r="F1598" s="4">
        <v>47.0</v>
      </c>
      <c r="G1598" s="4" t="s">
        <v>2327</v>
      </c>
    </row>
    <row r="1599">
      <c r="A1599" s="1">
        <v>1597.0</v>
      </c>
      <c r="B1599" s="4" t="s">
        <v>2394</v>
      </c>
      <c r="C1599" s="5" t="str">
        <f>IFERROR(__xludf.DUMMYFUNCTION("GOOGLETRANSLATE(D:D,""auto"",""en"")"),"People's Daily to talk about SHL")</f>
        <v>People's Daily to talk about SHL</v>
      </c>
      <c r="D1599" s="4" t="s">
        <v>2459</v>
      </c>
      <c r="E1599" s="4">
        <v>0.0</v>
      </c>
      <c r="F1599" s="4">
        <v>48.0</v>
      </c>
      <c r="G1599" s="4" t="s">
        <v>2460</v>
      </c>
    </row>
    <row r="1600">
      <c r="A1600" s="1">
        <v>1598.0</v>
      </c>
      <c r="B1600" s="4" t="s">
        <v>2394</v>
      </c>
      <c r="C1600" s="5" t="str">
        <f>IFERROR(__xludf.DUMMYFUNCTION("GOOGLETRANSLATE(D:D,""auto"",""en"")"),"The new on-line self-test system crown")</f>
        <v>The new on-line self-test system crown</v>
      </c>
      <c r="D1600" s="4" t="s">
        <v>2461</v>
      </c>
      <c r="E1600" s="4">
        <v>0.0</v>
      </c>
      <c r="F1600" s="4">
        <v>49.0</v>
      </c>
      <c r="G1600" s="4" t="s">
        <v>2462</v>
      </c>
    </row>
    <row r="1601">
      <c r="A1601" s="1">
        <v>1599.0</v>
      </c>
      <c r="B1601" s="4" t="s">
        <v>2394</v>
      </c>
      <c r="C1601" s="5" t="str">
        <f>IFERROR(__xludf.DUMMYFUNCTION("GOOGLETRANSLATE(D:D,""auto"",""en"")"),"Vulcan Hill Hospital energized")</f>
        <v>Vulcan Hill Hospital energized</v>
      </c>
      <c r="D1601" s="4" t="s">
        <v>2463</v>
      </c>
      <c r="E1601" s="4">
        <v>0.0</v>
      </c>
      <c r="F1601" s="4">
        <v>50.0</v>
      </c>
      <c r="G1601" s="4" t="s">
        <v>2464</v>
      </c>
    </row>
    <row r="1602">
      <c r="A1602" s="1">
        <v>1600.0</v>
      </c>
      <c r="B1602" s="4" t="s">
        <v>2465</v>
      </c>
      <c r="C1602" s="5" t="str">
        <f>IFERROR(__xludf.DUMMYFUNCTION("GOOGLETRANSLATE(D:D,""auto"",""en"")"),"Hubei red will be accountable")</f>
        <v>Hubei red will be accountable</v>
      </c>
      <c r="D1602" s="4" t="s">
        <v>2431</v>
      </c>
      <c r="E1602" s="4">
        <v>0.0</v>
      </c>
      <c r="F1602" s="4">
        <v>1.0</v>
      </c>
      <c r="G1602" s="4" t="s">
        <v>2432</v>
      </c>
    </row>
    <row r="1603">
      <c r="A1603" s="1">
        <v>1601.0</v>
      </c>
      <c r="B1603" s="4" t="s">
        <v>2465</v>
      </c>
      <c r="C1603" s="5" t="str">
        <f>IFERROR(__xludf.DUMMYFUNCTION("GOOGLETRANSLATE(D:D,""auto"",""en"")"),"Hunan Shaoyang bird flu")</f>
        <v>Hunan Shaoyang bird flu</v>
      </c>
      <c r="D1603" s="4" t="s">
        <v>2407</v>
      </c>
      <c r="E1603" s="4">
        <v>0.0</v>
      </c>
      <c r="F1603" s="4">
        <v>2.0</v>
      </c>
      <c r="G1603" s="4" t="s">
        <v>2408</v>
      </c>
    </row>
    <row r="1604">
      <c r="A1604" s="1">
        <v>1602.0</v>
      </c>
      <c r="B1604" s="4" t="s">
        <v>2465</v>
      </c>
      <c r="C1604" s="5" t="str">
        <f>IFERROR(__xludf.DUMMYFUNCTION("GOOGLETRANSLATE(D:D,""auto"",""en"")"),"Official Response man put a mask")</f>
        <v>Official Response man put a mask</v>
      </c>
      <c r="D1604" s="4" t="s">
        <v>2466</v>
      </c>
      <c r="E1604" s="4">
        <v>0.0</v>
      </c>
      <c r="F1604" s="4">
        <v>3.0</v>
      </c>
      <c r="G1604" s="4" t="s">
        <v>2467</v>
      </c>
    </row>
    <row r="1605">
      <c r="A1605" s="1">
        <v>1603.0</v>
      </c>
      <c r="B1605" s="4" t="s">
        <v>2465</v>
      </c>
      <c r="C1605" s="5" t="str">
        <f>IFERROR(__xludf.DUMMYFUNCTION("GOOGLETRANSLATE(D:D,""auto"",""en"")"),"Patients should be close to cremated remains")</f>
        <v>Patients should be close to cremated remains</v>
      </c>
      <c r="D1605" s="4" t="s">
        <v>2468</v>
      </c>
      <c r="E1605" s="4">
        <v>0.0</v>
      </c>
      <c r="F1605" s="4">
        <v>4.0</v>
      </c>
      <c r="G1605" s="4" t="s">
        <v>2469</v>
      </c>
    </row>
    <row r="1606">
      <c r="A1606" s="1">
        <v>1604.0</v>
      </c>
      <c r="B1606" s="4" t="s">
        <v>2465</v>
      </c>
      <c r="C1606" s="5" t="str">
        <f>IFERROR(__xludf.DUMMYFUNCTION("GOOGLETRANSLATE(D:D,""auto"",""en"")"),"Participated in the pre-diagnosed men")</f>
        <v>Participated in the pre-diagnosed men</v>
      </c>
      <c r="D1606" s="4" t="s">
        <v>2470</v>
      </c>
      <c r="E1606" s="4">
        <v>0.0</v>
      </c>
      <c r="F1606" s="4">
        <v>5.0</v>
      </c>
      <c r="G1606" s="4" t="s">
        <v>2471</v>
      </c>
    </row>
    <row r="1607">
      <c r="A1607" s="1">
        <v>1605.0</v>
      </c>
      <c r="B1607" s="4" t="s">
        <v>2465</v>
      </c>
      <c r="C1607" s="5" t="str">
        <f>IFERROR(__xludf.DUMMYFUNCTION("GOOGLETRANSLATE(D:D,""auto"",""en"")"),"Information can be found at medical masks")</f>
        <v>Information can be found at medical masks</v>
      </c>
      <c r="D1607" s="4" t="s">
        <v>2472</v>
      </c>
      <c r="E1607" s="4">
        <v>0.0</v>
      </c>
      <c r="F1607" s="4">
        <v>6.0</v>
      </c>
      <c r="G1607" s="4" t="s">
        <v>2473</v>
      </c>
    </row>
    <row r="1608">
      <c r="A1608" s="1">
        <v>1606.0</v>
      </c>
      <c r="B1608" s="4" t="s">
        <v>2465</v>
      </c>
      <c r="C1608" s="5" t="str">
        <f>IFERROR(__xludf.DUMMYFUNCTION("GOOGLETRANSLATE(D:D,""auto"",""en"")"),"Will start clinical cure")</f>
        <v>Will start clinical cure</v>
      </c>
      <c r="D1608" s="4" t="s">
        <v>2474</v>
      </c>
      <c r="E1608" s="4">
        <v>0.0</v>
      </c>
      <c r="F1608" s="4">
        <v>7.0</v>
      </c>
      <c r="G1608" s="4" t="s">
        <v>2475</v>
      </c>
    </row>
    <row r="1609">
      <c r="A1609" s="1">
        <v>1607.0</v>
      </c>
      <c r="B1609" s="4" t="s">
        <v>2465</v>
      </c>
      <c r="C1609" s="5" t="str">
        <f>IFERROR(__xludf.DUMMYFUNCTION("GOOGLETRANSLATE(D:D,""auto"",""en"")"),"Media 5 Q Hubei Red Cross")</f>
        <v>Media 5 Q Hubei Red Cross</v>
      </c>
      <c r="D1609" s="4" t="s">
        <v>2476</v>
      </c>
      <c r="E1609" s="4">
        <v>0.0</v>
      </c>
      <c r="F1609" s="4">
        <v>8.0</v>
      </c>
      <c r="G1609" s="4" t="s">
        <v>2477</v>
      </c>
    </row>
    <row r="1610">
      <c r="A1610" s="1">
        <v>1608.0</v>
      </c>
      <c r="B1610" s="4" t="s">
        <v>2465</v>
      </c>
      <c r="C1610" s="5" t="str">
        <f>IFERROR(__xludf.DUMMYFUNCTION("GOOGLETRANSLATE(D:D,""auto"",""en"")"),"The company started Flagged")</f>
        <v>The company started Flagged</v>
      </c>
      <c r="D1610" s="4" t="s">
        <v>2478</v>
      </c>
      <c r="E1610" s="4">
        <v>0.0</v>
      </c>
      <c r="F1610" s="4">
        <v>9.0</v>
      </c>
      <c r="G1610" s="4" t="s">
        <v>2479</v>
      </c>
    </row>
    <row r="1611">
      <c r="A1611" s="1">
        <v>1609.0</v>
      </c>
      <c r="B1611" s="4" t="s">
        <v>2465</v>
      </c>
      <c r="C1611" s="5" t="str">
        <f>IFERROR(__xludf.DUMMYFUNCTION("GOOGLETRANSLATE(D:D,""auto"",""en"")"),"Cough without fever do not pass 6")</f>
        <v>Cough without fever do not pass 6</v>
      </c>
      <c r="D1611" s="4" t="s">
        <v>2480</v>
      </c>
      <c r="E1611" s="4">
        <v>0.0</v>
      </c>
      <c r="F1611" s="4">
        <v>10.0</v>
      </c>
      <c r="G1611" s="4" t="s">
        <v>2481</v>
      </c>
    </row>
    <row r="1612">
      <c r="A1612" s="1">
        <v>1610.0</v>
      </c>
      <c r="B1612" s="4" t="s">
        <v>2465</v>
      </c>
      <c r="C1612" s="5" t="str">
        <f>IFERROR(__xludf.DUMMYFUNCTION("GOOGLETRANSLATE(D:D,""auto"",""en"")"),"A patient infected 10 people")</f>
        <v>A patient infected 10 people</v>
      </c>
      <c r="D1612" s="4" t="s">
        <v>2482</v>
      </c>
      <c r="E1612" s="4">
        <v>0.0</v>
      </c>
      <c r="F1612" s="4">
        <v>11.0</v>
      </c>
      <c r="G1612" s="4" t="s">
        <v>2483</v>
      </c>
    </row>
    <row r="1613">
      <c r="A1613" s="1">
        <v>1611.0</v>
      </c>
      <c r="B1613" s="4" t="s">
        <v>2465</v>
      </c>
      <c r="C1613" s="5" t="str">
        <f>IFERROR(__xludf.DUMMYFUNCTION("GOOGLETRANSLATE(D:D,""auto"",""en"")"),"Return to work around the schedule to resume classes")</f>
        <v>Return to work around the schedule to resume classes</v>
      </c>
      <c r="D1613" s="4" t="s">
        <v>2484</v>
      </c>
      <c r="E1613" s="4">
        <v>0.0</v>
      </c>
      <c r="F1613" s="4">
        <v>12.0</v>
      </c>
      <c r="G1613" s="4" t="s">
        <v>2485</v>
      </c>
    </row>
    <row r="1614">
      <c r="A1614" s="1">
        <v>1612.0</v>
      </c>
      <c r="B1614" s="4" t="s">
        <v>2465</v>
      </c>
      <c r="C1614" s="5" t="str">
        <f>IFERROR(__xludf.DUMMYFUNCTION("GOOGLETRANSLATE(D:D,""auto"",""en"")"),"8 transport aircraft arrived in Wuhan")</f>
        <v>8 transport aircraft arrived in Wuhan</v>
      </c>
      <c r="D1614" s="4" t="s">
        <v>2486</v>
      </c>
      <c r="E1614" s="4">
        <v>0.0</v>
      </c>
      <c r="F1614" s="4">
        <v>13.0</v>
      </c>
      <c r="G1614" s="4" t="s">
        <v>2487</v>
      </c>
    </row>
    <row r="1615">
      <c r="A1615" s="1">
        <v>1613.0</v>
      </c>
      <c r="B1615" s="4" t="s">
        <v>2465</v>
      </c>
      <c r="C1615" s="5" t="str">
        <f>IFERROR(__xludf.DUMMYFUNCTION("GOOGLETRANSLATE(D:D,""auto"",""en"")"),"Li Lanjuan led his unit arrived in Wuhan")</f>
        <v>Li Lanjuan led his unit arrived in Wuhan</v>
      </c>
      <c r="D1615" s="4" t="s">
        <v>2488</v>
      </c>
      <c r="E1615" s="4">
        <v>0.0</v>
      </c>
      <c r="F1615" s="4">
        <v>14.0</v>
      </c>
      <c r="G1615" s="4" t="s">
        <v>2489</v>
      </c>
    </row>
    <row r="1616">
      <c r="A1616" s="1">
        <v>1614.0</v>
      </c>
      <c r="B1616" s="4" t="s">
        <v>2465</v>
      </c>
      <c r="C1616" s="5" t="str">
        <f>IFERROR(__xludf.DUMMYFUNCTION("GOOGLETRANSLATE(D:D,""auto"",""en"")"),"Shenzhen is now transmitted cases Community")</f>
        <v>Shenzhen is now transmitted cases Community</v>
      </c>
      <c r="D1616" s="4" t="s">
        <v>2490</v>
      </c>
      <c r="E1616" s="4">
        <v>0.0</v>
      </c>
      <c r="F1616" s="4">
        <v>15.0</v>
      </c>
      <c r="G1616" s="4" t="s">
        <v>2491</v>
      </c>
    </row>
    <row r="1617">
      <c r="A1617" s="1">
        <v>1615.0</v>
      </c>
      <c r="B1617" s="4" t="s">
        <v>2465</v>
      </c>
      <c r="C1617" s="5" t="str">
        <f>IFERROR(__xludf.DUMMYFUNCTION("GOOGLETRANSLATE(D:D,""auto"",""en"")"),"Zhong Nanshan respond faecal-oral transmission")</f>
        <v>Zhong Nanshan respond faecal-oral transmission</v>
      </c>
      <c r="D1617" s="4" t="s">
        <v>2492</v>
      </c>
      <c r="E1617" s="4">
        <v>0.0</v>
      </c>
      <c r="F1617" s="4">
        <v>16.0</v>
      </c>
      <c r="G1617" s="4" t="s">
        <v>2493</v>
      </c>
    </row>
    <row r="1618">
      <c r="A1618" s="1">
        <v>1616.0</v>
      </c>
      <c r="B1618" s="4" t="s">
        <v>2465</v>
      </c>
      <c r="C1618" s="5" t="str">
        <f>IFERROR(__xludf.DUMMYFUNCTION("GOOGLETRANSLATE(D:D,""auto"",""en"")"),"The central bank will put in 1.2 trillion")</f>
        <v>The central bank will put in 1.2 trillion</v>
      </c>
      <c r="D1618" s="4" t="s">
        <v>2494</v>
      </c>
      <c r="E1618" s="4">
        <v>0.0</v>
      </c>
      <c r="F1618" s="4">
        <v>17.0</v>
      </c>
      <c r="G1618" s="4" t="s">
        <v>2495</v>
      </c>
    </row>
    <row r="1619">
      <c r="A1619" s="1">
        <v>1617.0</v>
      </c>
      <c r="B1619" s="4" t="s">
        <v>2465</v>
      </c>
      <c r="C1619" s="5" t="str">
        <f>IFERROR(__xludf.DUMMYFUNCTION("GOOGLETRANSLATE(D:D,""auto"",""en"")"),"Hubei wartime incentives")</f>
        <v>Hubei wartime incentives</v>
      </c>
      <c r="D1619" s="4" t="s">
        <v>2496</v>
      </c>
      <c r="E1619" s="4">
        <v>0.0</v>
      </c>
      <c r="F1619" s="4">
        <v>18.0</v>
      </c>
      <c r="G1619" s="4" t="s">
        <v>2497</v>
      </c>
    </row>
    <row r="1620">
      <c r="A1620" s="1">
        <v>1618.0</v>
      </c>
      <c r="B1620" s="4" t="s">
        <v>2465</v>
      </c>
      <c r="C1620" s="5" t="str">
        <f>IFERROR(__xludf.DUMMYFUNCTION("GOOGLETRANSLATE(D:D,""auto"",""en"")"),"China supports the DPRK funds")</f>
        <v>China supports the DPRK funds</v>
      </c>
      <c r="D1620" s="4" t="s">
        <v>2498</v>
      </c>
      <c r="E1620" s="4">
        <v>0.0</v>
      </c>
      <c r="F1620" s="4">
        <v>19.0</v>
      </c>
      <c r="G1620" s="4" t="s">
        <v>2499</v>
      </c>
    </row>
    <row r="1621">
      <c r="A1621" s="1">
        <v>1619.0</v>
      </c>
      <c r="B1621" s="4" t="s">
        <v>2465</v>
      </c>
      <c r="C1621" s="5" t="str">
        <f>IFERROR(__xludf.DUMMYFUNCTION("GOOGLETRANSLATE(D:D,""auto"",""en"")"),"Zhong Nanshan talk about trends in the number of confirmed")</f>
        <v>Zhong Nanshan talk about trends in the number of confirmed</v>
      </c>
      <c r="D1621" s="4" t="s">
        <v>2500</v>
      </c>
      <c r="E1621" s="4">
        <v>0.0</v>
      </c>
      <c r="F1621" s="4">
        <v>20.0</v>
      </c>
      <c r="G1621" s="4" t="s">
        <v>2501</v>
      </c>
    </row>
    <row r="1622">
      <c r="A1622" s="1">
        <v>1620.0</v>
      </c>
      <c r="B1622" s="4" t="s">
        <v>2465</v>
      </c>
      <c r="C1622" s="5" t="str">
        <f>IFERROR(__xludf.DUMMYFUNCTION("GOOGLETRANSLATE(D:D,""auto"",""en"")"),"The incubation period in succession onset patients")</f>
        <v>The incubation period in succession onset patients</v>
      </c>
      <c r="D1622" s="4" t="s">
        <v>2502</v>
      </c>
      <c r="E1622" s="4">
        <v>0.0</v>
      </c>
      <c r="F1622" s="4">
        <v>21.0</v>
      </c>
      <c r="G1622" s="4" t="s">
        <v>2503</v>
      </c>
    </row>
    <row r="1623">
      <c r="A1623" s="1">
        <v>1621.0</v>
      </c>
      <c r="B1623" s="4" t="s">
        <v>2465</v>
      </c>
      <c r="C1623" s="5" t="str">
        <f>IFERROR(__xludf.DUMMYFUNCTION("GOOGLETRANSLATE(D:D,""auto"",""en"")"),"A sudden stop of the interview")</f>
        <v>A sudden stop of the interview</v>
      </c>
      <c r="D1623" s="4" t="s">
        <v>2504</v>
      </c>
      <c r="E1623" s="4">
        <v>0.0</v>
      </c>
      <c r="F1623" s="4">
        <v>22.0</v>
      </c>
      <c r="G1623" s="4" t="s">
        <v>2505</v>
      </c>
    </row>
    <row r="1624">
      <c r="A1624" s="1">
        <v>1622.0</v>
      </c>
      <c r="B1624" s="4" t="s">
        <v>2465</v>
      </c>
      <c r="C1624" s="5" t="str">
        <f>IFERROR(__xludf.DUMMYFUNCTION("GOOGLETRANSLATE(D:D,""auto"",""en"")"),"Han then publish a list of donations")</f>
        <v>Han then publish a list of donations</v>
      </c>
      <c r="D1624" s="4" t="s">
        <v>2506</v>
      </c>
      <c r="E1624" s="4">
        <v>0.0</v>
      </c>
      <c r="F1624" s="4">
        <v>23.0</v>
      </c>
      <c r="G1624" s="4" t="s">
        <v>2507</v>
      </c>
    </row>
    <row r="1625">
      <c r="A1625" s="1">
        <v>1623.0</v>
      </c>
      <c r="B1625" s="4" t="s">
        <v>2465</v>
      </c>
      <c r="C1625" s="5" t="str">
        <f>IFERROR(__xludf.DUMMYFUNCTION("GOOGLETRANSLATE(D:D,""auto"",""en"")"),"Wuhan Red Cross donation process change")</f>
        <v>Wuhan Red Cross donation process change</v>
      </c>
      <c r="D1625" s="4" t="s">
        <v>2508</v>
      </c>
      <c r="E1625" s="4">
        <v>0.0</v>
      </c>
      <c r="F1625" s="4">
        <v>24.0</v>
      </c>
      <c r="G1625" s="4" t="s">
        <v>2509</v>
      </c>
    </row>
    <row r="1626">
      <c r="A1626" s="1">
        <v>1624.0</v>
      </c>
      <c r="B1626" s="4" t="s">
        <v>2465</v>
      </c>
      <c r="C1626" s="5" t="str">
        <f>IFERROR(__xludf.DUMMYFUNCTION("GOOGLETRANSLATE(D:D,""auto"",""en"")"),"Red will always go to Wuhan")</f>
        <v>Red will always go to Wuhan</v>
      </c>
      <c r="D1626" s="4" t="s">
        <v>2510</v>
      </c>
      <c r="E1626" s="4">
        <v>0.0</v>
      </c>
      <c r="F1626" s="4">
        <v>25.0</v>
      </c>
      <c r="G1626" s="4" t="s">
        <v>2511</v>
      </c>
    </row>
    <row r="1627">
      <c r="A1627" s="1">
        <v>1625.0</v>
      </c>
      <c r="B1627" s="4" t="s">
        <v>2465</v>
      </c>
      <c r="C1627" s="5" t="str">
        <f>IFERROR(__xludf.DUMMYFUNCTION("GOOGLETRANSLATE(D:D,""auto"",""en"")"),"Hubei holiday until 13th")</f>
        <v>Hubei holiday until 13th</v>
      </c>
      <c r="D1627" s="4" t="s">
        <v>2512</v>
      </c>
      <c r="E1627" s="4">
        <v>0.0</v>
      </c>
      <c r="F1627" s="4">
        <v>26.0</v>
      </c>
      <c r="G1627" s="4" t="s">
        <v>2513</v>
      </c>
    </row>
    <row r="1628">
      <c r="A1628" s="1">
        <v>1626.0</v>
      </c>
      <c r="B1628" s="4" t="s">
        <v>2465</v>
      </c>
      <c r="C1628" s="5" t="str">
        <f>IFERROR(__xludf.DUMMYFUNCTION("GOOGLETRANSLATE(D:D,""auto"",""en"")"),"Huang Hao Tucao Elva")</f>
        <v>Huang Hao Tucao Elva</v>
      </c>
      <c r="D1628" s="4" t="s">
        <v>2514</v>
      </c>
      <c r="E1628" s="4">
        <v>0.0</v>
      </c>
      <c r="F1628" s="4">
        <v>27.0</v>
      </c>
      <c r="G1628" s="4" t="s">
        <v>2515</v>
      </c>
    </row>
    <row r="1629">
      <c r="A1629" s="1">
        <v>1627.0</v>
      </c>
      <c r="B1629" s="4" t="s">
        <v>2465</v>
      </c>
      <c r="C1629" s="5" t="str">
        <f>IFERROR(__xludf.DUMMYFUNCTION("GOOGLETRANSLATE(D:D,""auto"",""en"")"),"Extend the highway free of tolls")</f>
        <v>Extend the highway free of tolls</v>
      </c>
      <c r="D1629" s="4" t="s">
        <v>2516</v>
      </c>
      <c r="E1629" s="4">
        <v>0.0</v>
      </c>
      <c r="F1629" s="4">
        <v>28.0</v>
      </c>
      <c r="G1629" s="4" t="s">
        <v>2517</v>
      </c>
    </row>
    <row r="1630">
      <c r="A1630" s="1">
        <v>1628.0</v>
      </c>
      <c r="B1630" s="4" t="s">
        <v>2465</v>
      </c>
      <c r="C1630" s="5" t="str">
        <f>IFERROR(__xludf.DUMMYFUNCTION("GOOGLETRANSLATE(D:D,""auto"",""en"")"),"After two negative becomes positive cases")</f>
        <v>After two negative becomes positive cases</v>
      </c>
      <c r="D1630" s="4" t="s">
        <v>2518</v>
      </c>
      <c r="E1630" s="4">
        <v>0.0</v>
      </c>
      <c r="F1630" s="4">
        <v>29.0</v>
      </c>
      <c r="G1630" s="4" t="s">
        <v>2519</v>
      </c>
    </row>
    <row r="1631">
      <c r="A1631" s="1">
        <v>1629.0</v>
      </c>
      <c r="B1631" s="4" t="s">
        <v>2465</v>
      </c>
      <c r="C1631" s="5" t="str">
        <f>IFERROR(__xludf.DUMMYFUNCTION("GOOGLETRANSLATE(D:D,""auto"",""en"")"),"Delivery will be completed Vulcan Mountain")</f>
        <v>Delivery will be completed Vulcan Mountain</v>
      </c>
      <c r="D1631" s="4" t="s">
        <v>2520</v>
      </c>
      <c r="E1631" s="4">
        <v>0.0</v>
      </c>
      <c r="F1631" s="4">
        <v>30.0</v>
      </c>
      <c r="G1631" s="4" t="s">
        <v>2521</v>
      </c>
    </row>
    <row r="1632">
      <c r="A1632" s="1">
        <v>1630.0</v>
      </c>
      <c r="B1632" s="4" t="s">
        <v>2465</v>
      </c>
      <c r="C1632" s="5" t="str">
        <f>IFERROR(__xludf.DUMMYFUNCTION("GOOGLETRANSLATE(D:D,""auto"",""en"")"),"100,000 reward was admonished doctors")</f>
        <v>100,000 reward was admonished doctors</v>
      </c>
      <c r="D1632" s="4" t="s">
        <v>2522</v>
      </c>
      <c r="E1632" s="4">
        <v>0.0</v>
      </c>
      <c r="F1632" s="4">
        <v>31.0</v>
      </c>
      <c r="G1632" s="4" t="s">
        <v>2523</v>
      </c>
    </row>
    <row r="1633">
      <c r="A1633" s="1">
        <v>1631.0</v>
      </c>
      <c r="B1633" s="4" t="s">
        <v>2465</v>
      </c>
      <c r="C1633" s="5" t="str">
        <f>IFERROR(__xludf.DUMMYFUNCTION("GOOGLETRANSLATE(D:D,""auto"",""en"")"),"300 million chickens will run out of food")</f>
        <v>300 million chickens will run out of food</v>
      </c>
      <c r="D1633" s="4" t="s">
        <v>2457</v>
      </c>
      <c r="E1633" s="4">
        <v>0.0</v>
      </c>
      <c r="F1633" s="4">
        <v>32.0</v>
      </c>
      <c r="G1633" s="4" t="s">
        <v>2458</v>
      </c>
    </row>
    <row r="1634">
      <c r="A1634" s="1">
        <v>1632.0</v>
      </c>
      <c r="B1634" s="4" t="s">
        <v>2465</v>
      </c>
      <c r="C1634" s="5" t="str">
        <f>IFERROR(__xludf.DUMMYFUNCTION("GOOGLETRANSLATE(D:D,""auto"",""en"")"),"Han Foundation suspended by the donation")</f>
        <v>Han Foundation suspended by the donation</v>
      </c>
      <c r="D1634" s="4" t="s">
        <v>2437</v>
      </c>
      <c r="E1634" s="4">
        <v>0.0</v>
      </c>
      <c r="F1634" s="4">
        <v>33.0</v>
      </c>
      <c r="G1634" s="4" t="s">
        <v>2438</v>
      </c>
    </row>
    <row r="1635">
      <c r="A1635" s="1">
        <v>1633.0</v>
      </c>
      <c r="B1635" s="4" t="s">
        <v>2465</v>
      </c>
      <c r="C1635" s="5" t="str">
        <f>IFERROR(__xludf.DUMMYFUNCTION("GOOGLETRANSLATE(D:D,""auto"",""en"")"),"Kobe Bryant jersey buyers return")</f>
        <v>Kobe Bryant jersey buyers return</v>
      </c>
      <c r="D1635" s="4" t="s">
        <v>2524</v>
      </c>
      <c r="E1635" s="4">
        <v>0.0</v>
      </c>
      <c r="F1635" s="4">
        <v>34.0</v>
      </c>
      <c r="G1635" s="4" t="s">
        <v>2525</v>
      </c>
    </row>
    <row r="1636">
      <c r="A1636" s="1">
        <v>1634.0</v>
      </c>
      <c r="B1636" s="4" t="s">
        <v>2465</v>
      </c>
      <c r="C1636" s="5" t="str">
        <f>IFERROR(__xludf.DUMMYFUNCTION("GOOGLETRANSLATE(D:D,""auto"",""en"")"),"Visit Vulcan Hill Hospital ward")</f>
        <v>Visit Vulcan Hill Hospital ward</v>
      </c>
      <c r="D1636" s="4" t="s">
        <v>2526</v>
      </c>
      <c r="E1636" s="4">
        <v>0.0</v>
      </c>
      <c r="F1636" s="4">
        <v>35.0</v>
      </c>
      <c r="G1636" s="4" t="s">
        <v>2527</v>
      </c>
    </row>
    <row r="1637">
      <c r="A1637" s="1">
        <v>1635.0</v>
      </c>
      <c r="B1637" s="4" t="s">
        <v>2465</v>
      </c>
      <c r="C1637" s="5" t="str">
        <f>IFERROR(__xludf.DUMMYFUNCTION("GOOGLETRANSLATE(D:D,""auto"",""en"")"),"Children should wear special masks")</f>
        <v>Children should wear special masks</v>
      </c>
      <c r="D1637" s="4" t="s">
        <v>2528</v>
      </c>
      <c r="E1637" s="4">
        <v>0.0</v>
      </c>
      <c r="F1637" s="4">
        <v>36.0</v>
      </c>
      <c r="G1637" s="4" t="s">
        <v>2529</v>
      </c>
    </row>
    <row r="1638">
      <c r="A1638" s="1">
        <v>1636.0</v>
      </c>
      <c r="B1638" s="4" t="s">
        <v>2465</v>
      </c>
      <c r="C1638" s="5" t="str">
        <f>IFERROR(__xludf.DUMMYFUNCTION("GOOGLETRANSLATE(D:D,""auto"",""en"")"),"The epidemic spread to eight European countries")</f>
        <v>The epidemic spread to eight European countries</v>
      </c>
      <c r="D1638" s="4" t="s">
        <v>2530</v>
      </c>
      <c r="E1638" s="4">
        <v>0.0</v>
      </c>
      <c r="F1638" s="4">
        <v>37.0</v>
      </c>
      <c r="G1638" s="4" t="s">
        <v>2531</v>
      </c>
    </row>
    <row r="1639">
      <c r="A1639" s="1">
        <v>1637.0</v>
      </c>
      <c r="B1639" s="4" t="s">
        <v>2465</v>
      </c>
      <c r="C1639" s="5" t="str">
        <f>IFERROR(__xludf.DUMMYFUNCTION("GOOGLETRANSLATE(D:D,""auto"",""en"")"),"Yu does not carry traffic control")</f>
        <v>Yu does not carry traffic control</v>
      </c>
      <c r="D1639" s="4" t="s">
        <v>2532</v>
      </c>
      <c r="E1639" s="4">
        <v>0.0</v>
      </c>
      <c r="F1639" s="4">
        <v>38.0</v>
      </c>
      <c r="G1639" s="4" t="s">
        <v>2533</v>
      </c>
    </row>
    <row r="1640">
      <c r="A1640" s="1">
        <v>1638.0</v>
      </c>
      <c r="B1640" s="4" t="s">
        <v>2465</v>
      </c>
      <c r="C1640" s="5" t="str">
        <f>IFERROR(__xludf.DUMMYFUNCTION("GOOGLETRANSLATE(D:D,""auto"",""en"")"),"Official Response to sell donated masks")</f>
        <v>Official Response to sell donated masks</v>
      </c>
      <c r="D1640" s="4" t="s">
        <v>2534</v>
      </c>
      <c r="E1640" s="4">
        <v>0.0</v>
      </c>
      <c r="F1640" s="4">
        <v>39.0</v>
      </c>
      <c r="G1640" s="4" t="s">
        <v>2535</v>
      </c>
    </row>
    <row r="1641">
      <c r="A1641" s="1">
        <v>1639.0</v>
      </c>
      <c r="B1641" s="4" t="s">
        <v>2465</v>
      </c>
      <c r="C1641" s="5" t="str">
        <f>IFERROR(__xludf.DUMMYFUNCTION("GOOGLETRANSLATE(D:D,""auto"",""en"")"),"EU transport supplies")</f>
        <v>EU transport supplies</v>
      </c>
      <c r="D1641" s="4" t="s">
        <v>2536</v>
      </c>
      <c r="E1641" s="4">
        <v>0.0</v>
      </c>
      <c r="F1641" s="4">
        <v>40.0</v>
      </c>
      <c r="G1641" s="4" t="s">
        <v>2537</v>
      </c>
    </row>
    <row r="1642">
      <c r="A1642" s="1">
        <v>1640.0</v>
      </c>
      <c r="B1642" s="4" t="s">
        <v>2465</v>
      </c>
      <c r="C1642" s="5" t="str">
        <f>IFERROR(__xludf.DUMMYFUNCTION("GOOGLETRANSLATE(D:D,""auto"",""en"")"),"People's Daily issued to remind")</f>
        <v>People's Daily issued to remind</v>
      </c>
      <c r="D1642" s="4" t="s">
        <v>2538</v>
      </c>
      <c r="E1642" s="4">
        <v>0.0</v>
      </c>
      <c r="F1642" s="4">
        <v>41.0</v>
      </c>
      <c r="G1642" s="4" t="s">
        <v>2539</v>
      </c>
    </row>
    <row r="1643">
      <c r="A1643" s="1">
        <v>1641.0</v>
      </c>
      <c r="B1643" s="4" t="s">
        <v>2465</v>
      </c>
      <c r="C1643" s="5" t="str">
        <f>IFERROR(__xludf.DUMMYFUNCTION("GOOGLETRANSLATE(D:D,""auto"",""en"")"),"22-year-old nurse's hand infection")</f>
        <v>22-year-old nurse's hand infection</v>
      </c>
      <c r="D1643" s="4" t="s">
        <v>2401</v>
      </c>
      <c r="E1643" s="4">
        <v>0.0</v>
      </c>
      <c r="F1643" s="4">
        <v>42.0</v>
      </c>
      <c r="G1643" s="4" t="s">
        <v>2402</v>
      </c>
    </row>
    <row r="1644">
      <c r="A1644" s="1">
        <v>1642.0</v>
      </c>
      <c r="B1644" s="4" t="s">
        <v>2465</v>
      </c>
      <c r="C1644" s="5" t="str">
        <f>IFERROR(__xludf.DUMMYFUNCTION("GOOGLETRANSLATE(D:D,""auto"",""en"")"),"The new on-line self-test system crown")</f>
        <v>The new on-line self-test system crown</v>
      </c>
      <c r="D1644" s="4" t="s">
        <v>2461</v>
      </c>
      <c r="E1644" s="4">
        <v>0.0</v>
      </c>
      <c r="F1644" s="4">
        <v>43.0</v>
      </c>
      <c r="G1644" s="4" t="s">
        <v>2462</v>
      </c>
    </row>
    <row r="1645">
      <c r="A1645" s="1">
        <v>1643.0</v>
      </c>
      <c r="B1645" s="4" t="s">
        <v>2465</v>
      </c>
      <c r="C1645" s="5" t="str">
        <f>IFERROR(__xludf.DUMMYFUNCTION("GOOGLETRANSLATE(D:D,""auto"",""en"")"),"Zhong Nanshan, who was interviewed Tucao")</f>
        <v>Zhong Nanshan, who was interviewed Tucao</v>
      </c>
      <c r="D1645" s="4" t="s">
        <v>2540</v>
      </c>
      <c r="E1645" s="4">
        <v>0.0</v>
      </c>
      <c r="F1645" s="4">
        <v>44.0</v>
      </c>
      <c r="G1645" s="4" t="s">
        <v>2541</v>
      </c>
    </row>
    <row r="1646">
      <c r="A1646" s="1">
        <v>1644.0</v>
      </c>
      <c r="B1646" s="4" t="s">
        <v>2465</v>
      </c>
      <c r="C1646" s="5" t="str">
        <f>IFERROR(__xludf.DUMMYFUNCTION("GOOGLETRANSLATE(D:D,""auto"",""en"")"),"James three pairs Lakers victory")</f>
        <v>James three pairs Lakers victory</v>
      </c>
      <c r="D1646" s="4" t="s">
        <v>2542</v>
      </c>
      <c r="E1646" s="4">
        <v>0.0</v>
      </c>
      <c r="F1646" s="4">
        <v>45.0</v>
      </c>
      <c r="G1646" s="4" t="s">
        <v>2543</v>
      </c>
    </row>
    <row r="1647">
      <c r="A1647" s="1">
        <v>1645.0</v>
      </c>
      <c r="B1647" s="4" t="s">
        <v>2465</v>
      </c>
      <c r="C1647" s="5" t="str">
        <f>IFERROR(__xludf.DUMMYFUNCTION("GOOGLETRANSLATE(D:D,""auto"",""en"")"),"Vulcan Hill Hospital delivery units")</f>
        <v>Vulcan Hill Hospital delivery units</v>
      </c>
      <c r="D1647" s="4" t="s">
        <v>2544</v>
      </c>
      <c r="E1647" s="4">
        <v>0.0</v>
      </c>
      <c r="F1647" s="4">
        <v>46.0</v>
      </c>
      <c r="G1647" s="4" t="s">
        <v>2545</v>
      </c>
    </row>
    <row r="1648">
      <c r="A1648" s="1">
        <v>1646.0</v>
      </c>
      <c r="B1648" s="4" t="s">
        <v>2465</v>
      </c>
      <c r="C1648" s="5" t="str">
        <f>IFERROR(__xludf.DUMMYFUNCTION("GOOGLETRANSLATE(D:D,""auto"",""en"")"),"Refuse to enforce the quarantine")</f>
        <v>Refuse to enforce the quarantine</v>
      </c>
      <c r="D1648" s="4" t="s">
        <v>2546</v>
      </c>
      <c r="E1648" s="4">
        <v>0.0</v>
      </c>
      <c r="F1648" s="4">
        <v>47.0</v>
      </c>
      <c r="G1648" s="4" t="s">
        <v>2547</v>
      </c>
    </row>
    <row r="1649">
      <c r="A1649" s="1">
        <v>1647.0</v>
      </c>
      <c r="B1649" s="4" t="s">
        <v>2465</v>
      </c>
      <c r="C1649" s="5" t="str">
        <f>IFERROR(__xludf.DUMMYFUNCTION("GOOGLETRANSLATE(D:D,""auto"",""en"")"),"The United States declared a state of emergency")</f>
        <v>The United States declared a state of emergency</v>
      </c>
      <c r="D1649" s="4" t="s">
        <v>2397</v>
      </c>
      <c r="E1649" s="4">
        <v>0.0</v>
      </c>
      <c r="F1649" s="4">
        <v>48.0</v>
      </c>
      <c r="G1649" s="4" t="s">
        <v>2398</v>
      </c>
    </row>
    <row r="1650">
      <c r="A1650" s="1">
        <v>1648.0</v>
      </c>
      <c r="B1650" s="4" t="s">
        <v>2465</v>
      </c>
      <c r="C1650" s="5" t="str">
        <f>IFERROR(__xludf.DUMMYFUNCTION("GOOGLETRANSLATE(D:D,""auto"",""en"")"),"Jiangxi a patient infected 15 people")</f>
        <v>Jiangxi a patient infected 15 people</v>
      </c>
      <c r="D1650" s="4" t="s">
        <v>2413</v>
      </c>
      <c r="E1650" s="4">
        <v>0.0</v>
      </c>
      <c r="F1650" s="4">
        <v>49.0</v>
      </c>
      <c r="G1650" s="4" t="s">
        <v>2414</v>
      </c>
    </row>
    <row r="1651">
      <c r="A1651" s="1">
        <v>1649.0</v>
      </c>
      <c r="B1651" s="4" t="s">
        <v>2465</v>
      </c>
      <c r="C1651" s="5" t="str">
        <f>IFERROR(__xludf.DUMMYFUNCTION("GOOGLETRANSLATE(D:D,""auto"",""en"")"),"Huoxiangzhengqi to recommend drugs")</f>
        <v>Huoxiangzhengqi to recommend drugs</v>
      </c>
      <c r="D1651" s="4" t="s">
        <v>2415</v>
      </c>
      <c r="E1651" s="4">
        <v>0.0</v>
      </c>
      <c r="F1651" s="4">
        <v>50.0</v>
      </c>
      <c r="G1651" s="4" t="s">
        <v>2416</v>
      </c>
    </row>
    <row r="1652">
      <c r="A1652" s="1">
        <v>1650.0</v>
      </c>
      <c r="B1652" s="4" t="s">
        <v>2548</v>
      </c>
      <c r="C1652" s="5" t="str">
        <f>IFERROR(__xludf.DUMMYFUNCTION("GOOGLETRANSLATE(D:D,""auto"",""en"")"),"Han then publish a list of donations")</f>
        <v>Han then publish a list of donations</v>
      </c>
      <c r="D1652" s="4" t="s">
        <v>2506</v>
      </c>
      <c r="E1652" s="4">
        <v>0.0</v>
      </c>
      <c r="F1652" s="4">
        <v>1.0</v>
      </c>
      <c r="G1652" s="4" t="s">
        <v>2507</v>
      </c>
    </row>
    <row r="1653">
      <c r="A1653" s="1">
        <v>1651.0</v>
      </c>
      <c r="B1653" s="4" t="s">
        <v>2548</v>
      </c>
      <c r="C1653" s="5" t="str">
        <f>IFERROR(__xludf.DUMMYFUNCTION("GOOGLETRANSLATE(D:D,""auto"",""en"")"),"A sudden stop of the interview")</f>
        <v>A sudden stop of the interview</v>
      </c>
      <c r="D1653" s="4" t="s">
        <v>2504</v>
      </c>
      <c r="E1653" s="4">
        <v>0.0</v>
      </c>
      <c r="F1653" s="4">
        <v>2.0</v>
      </c>
      <c r="G1653" s="4" t="s">
        <v>2505</v>
      </c>
    </row>
    <row r="1654">
      <c r="A1654" s="1">
        <v>1652.0</v>
      </c>
      <c r="B1654" s="4" t="s">
        <v>2548</v>
      </c>
      <c r="C1654" s="5" t="str">
        <f>IFERROR(__xludf.DUMMYFUNCTION("GOOGLETRANSLATE(D:D,""auto"",""en"")"),"Chengdu 5.1 earthquake occurred")</f>
        <v>Chengdu 5.1 earthquake occurred</v>
      </c>
      <c r="D1654" s="4" t="s">
        <v>2549</v>
      </c>
      <c r="E1654" s="4">
        <v>0.0</v>
      </c>
      <c r="F1654" s="4">
        <v>3.0</v>
      </c>
      <c r="G1654" s="4" t="s">
        <v>2550</v>
      </c>
    </row>
    <row r="1655">
      <c r="A1655" s="1">
        <v>1653.0</v>
      </c>
      <c r="B1655" s="4" t="s">
        <v>2548</v>
      </c>
      <c r="C1655" s="5" t="str">
        <f>IFERROR(__xludf.DUMMYFUNCTION("GOOGLETRANSLATE(D:D,""auto"",""en"")"),"Hubei confirmed cases broken million")</f>
        <v>Hubei confirmed cases broken million</v>
      </c>
      <c r="D1655" s="4" t="s">
        <v>2551</v>
      </c>
      <c r="E1655" s="4">
        <v>0.0</v>
      </c>
      <c r="F1655" s="4">
        <v>4.0</v>
      </c>
      <c r="G1655" s="4" t="s">
        <v>2552</v>
      </c>
    </row>
    <row r="1656">
      <c r="A1656" s="1">
        <v>1654.0</v>
      </c>
      <c r="B1656" s="4" t="s">
        <v>2548</v>
      </c>
      <c r="C1656" s="5" t="str">
        <f>IFERROR(__xludf.DUMMYFUNCTION("GOOGLETRANSLATE(D:D,""auto"",""en"")"),"Red Cross supplies private takeover")</f>
        <v>Red Cross supplies private takeover</v>
      </c>
      <c r="D1656" s="4" t="s">
        <v>2553</v>
      </c>
      <c r="E1656" s="4">
        <v>0.0</v>
      </c>
      <c r="F1656" s="4">
        <v>5.0</v>
      </c>
      <c r="G1656" s="4" t="s">
        <v>2554</v>
      </c>
    </row>
    <row r="1657">
      <c r="A1657" s="1">
        <v>1655.0</v>
      </c>
      <c r="B1657" s="4" t="s">
        <v>2548</v>
      </c>
      <c r="C1657" s="5" t="str">
        <f>IFERROR(__xludf.DUMMYFUNCTION("GOOGLETRANSLATE(D:D,""auto"",""en"")"),"Zhong Nanshan talk epidemic prevention and control")</f>
        <v>Zhong Nanshan talk epidemic prevention and control</v>
      </c>
      <c r="D1657" s="4" t="s">
        <v>2555</v>
      </c>
      <c r="E1657" s="4">
        <v>0.0</v>
      </c>
      <c r="F1657" s="4">
        <v>6.0</v>
      </c>
      <c r="G1657" s="4" t="s">
        <v>2556</v>
      </c>
    </row>
    <row r="1658">
      <c r="A1658" s="1">
        <v>1656.0</v>
      </c>
      <c r="B1658" s="4" t="s">
        <v>2548</v>
      </c>
      <c r="C1658" s="5" t="str">
        <f>IFERROR(__xludf.DUMMYFUNCTION("GOOGLETRANSLATE(D:D,""auto"",""en"")"),"Vulcan Hill Hospital admissions begin")</f>
        <v>Vulcan Hill Hospital admissions begin</v>
      </c>
      <c r="D1658" s="4" t="s">
        <v>2557</v>
      </c>
      <c r="E1658" s="4">
        <v>0.0</v>
      </c>
      <c r="F1658" s="4">
        <v>7.0</v>
      </c>
      <c r="G1658" s="4" t="s">
        <v>2558</v>
      </c>
    </row>
    <row r="1659">
      <c r="A1659" s="1">
        <v>1657.0</v>
      </c>
      <c r="B1659" s="4" t="s">
        <v>2548</v>
      </c>
      <c r="C1659" s="5" t="str">
        <f>IFERROR(__xludf.DUMMYFUNCTION("GOOGLETRANSLATE(D:D,""auto"",""en"")"),"London terrorist attack incident")</f>
        <v>London terrorist attack incident</v>
      </c>
      <c r="D1659" s="4" t="s">
        <v>2559</v>
      </c>
      <c r="E1659" s="4">
        <v>0.0</v>
      </c>
      <c r="F1659" s="4">
        <v>8.0</v>
      </c>
      <c r="G1659" s="4" t="s">
        <v>2560</v>
      </c>
    </row>
    <row r="1660">
      <c r="A1660" s="1">
        <v>1658.0</v>
      </c>
      <c r="B1660" s="4" t="s">
        <v>2548</v>
      </c>
      <c r="C1660" s="5" t="str">
        <f>IFERROR(__xludf.DUMMYFUNCTION("GOOGLETRANSLATE(D:D,""auto"",""en"")"),"Nanchong murder occurred")</f>
        <v>Nanchong murder occurred</v>
      </c>
      <c r="D1660" s="4" t="s">
        <v>2561</v>
      </c>
      <c r="E1660" s="4">
        <v>0.0</v>
      </c>
      <c r="F1660" s="4">
        <v>9.0</v>
      </c>
      <c r="G1660" s="4" t="s">
        <v>2562</v>
      </c>
    </row>
    <row r="1661">
      <c r="A1661" s="1">
        <v>1659.0</v>
      </c>
      <c r="B1661" s="4" t="s">
        <v>2548</v>
      </c>
      <c r="C1661" s="5" t="str">
        <f>IFERROR(__xludf.DUMMYFUNCTION("GOOGLETRANSLATE(D:D,""auto"",""en"")"),"Zhong Nanshan talk epidemic mortality")</f>
        <v>Zhong Nanshan talk epidemic mortality</v>
      </c>
      <c r="D1661" s="4" t="s">
        <v>2563</v>
      </c>
      <c r="E1661" s="4">
        <v>0.0</v>
      </c>
      <c r="F1661" s="4">
        <v>10.0</v>
      </c>
      <c r="G1661" s="4" t="s">
        <v>2564</v>
      </c>
    </row>
    <row r="1662">
      <c r="A1662" s="1">
        <v>1660.0</v>
      </c>
      <c r="B1662" s="4" t="s">
        <v>2548</v>
      </c>
      <c r="C1662" s="5" t="str">
        <f>IFERROR(__xludf.DUMMYFUNCTION("GOOGLETRANSLATE(D:D,""auto"",""en"")"),"Selina tears at the airport collapse")</f>
        <v>Selina tears at the airport collapse</v>
      </c>
      <c r="D1662" s="4" t="s">
        <v>2565</v>
      </c>
      <c r="E1662" s="4">
        <v>0.0</v>
      </c>
      <c r="F1662" s="4">
        <v>11.0</v>
      </c>
      <c r="G1662" s="4" t="s">
        <v>2566</v>
      </c>
    </row>
    <row r="1663">
      <c r="A1663" s="1">
        <v>1661.0</v>
      </c>
      <c r="B1663" s="4" t="s">
        <v>2548</v>
      </c>
      <c r="C1663" s="5" t="str">
        <f>IFERROR(__xludf.DUMMYFUNCTION("GOOGLETRANSLATE(D:D,""auto"",""en"")"),"The official response to Yang Man-man event")</f>
        <v>The official response to Yang Man-man event</v>
      </c>
      <c r="D1663" s="4" t="s">
        <v>2567</v>
      </c>
      <c r="E1663" s="4">
        <v>0.0</v>
      </c>
      <c r="F1663" s="4">
        <v>12.0</v>
      </c>
      <c r="G1663" s="4" t="s">
        <v>2568</v>
      </c>
    </row>
    <row r="1664">
      <c r="A1664" s="1">
        <v>1662.0</v>
      </c>
      <c r="B1664" s="4" t="s">
        <v>2548</v>
      </c>
      <c r="C1664" s="5" t="str">
        <f>IFERROR(__xludf.DUMMYFUNCTION("GOOGLETRANSLATE(D:D,""auto"",""en"")"),"Chengdu epicenter many rooms damage")</f>
        <v>Chengdu epicenter many rooms damage</v>
      </c>
      <c r="D1664" s="4" t="s">
        <v>2569</v>
      </c>
      <c r="E1664" s="4">
        <v>0.0</v>
      </c>
      <c r="F1664" s="4">
        <v>13.0</v>
      </c>
      <c r="G1664" s="4" t="s">
        <v>2570</v>
      </c>
    </row>
    <row r="1665">
      <c r="A1665" s="1">
        <v>1663.0</v>
      </c>
      <c r="B1665" s="4" t="s">
        <v>2548</v>
      </c>
      <c r="C1665" s="5" t="str">
        <f>IFERROR(__xludf.DUMMYFUNCTION("GOOGLETRANSLATE(D:D,""auto"",""en"")"),"Bryant was traced to the autopsy report")</f>
        <v>Bryant was traced to the autopsy report</v>
      </c>
      <c r="D1665" s="4" t="s">
        <v>2571</v>
      </c>
      <c r="E1665" s="4">
        <v>0.0</v>
      </c>
      <c r="F1665" s="4">
        <v>14.0</v>
      </c>
      <c r="G1665" s="4" t="s">
        <v>2572</v>
      </c>
    </row>
    <row r="1666">
      <c r="A1666" s="1">
        <v>1664.0</v>
      </c>
      <c r="B1666" s="4" t="s">
        <v>2548</v>
      </c>
      <c r="C1666" s="5" t="str">
        <f>IFERROR(__xludf.DUMMYFUNCTION("GOOGLETRANSLATE(D:D,""auto"",""en"")"),"Hainan more than clusters of disease")</f>
        <v>Hainan more than clusters of disease</v>
      </c>
      <c r="D1666" s="4" t="s">
        <v>2573</v>
      </c>
      <c r="E1666" s="4">
        <v>0.0</v>
      </c>
      <c r="F1666" s="4">
        <v>15.0</v>
      </c>
      <c r="G1666" s="4" t="s">
        <v>2574</v>
      </c>
    </row>
    <row r="1667">
      <c r="A1667" s="1">
        <v>1665.0</v>
      </c>
      <c r="B1667" s="4" t="s">
        <v>2548</v>
      </c>
      <c r="C1667" s="5" t="str">
        <f>IFERROR(__xludf.DUMMYFUNCTION("GOOGLETRANSLATE(D:D,""auto"",""en"")"),"Disposable masks can not be boiled")</f>
        <v>Disposable masks can not be boiled</v>
      </c>
      <c r="D1667" s="4" t="s">
        <v>2575</v>
      </c>
      <c r="E1667" s="4">
        <v>0.0</v>
      </c>
      <c r="F1667" s="4">
        <v>16.0</v>
      </c>
      <c r="G1667" s="4" t="s">
        <v>2576</v>
      </c>
    </row>
    <row r="1668">
      <c r="A1668" s="1">
        <v>1666.0</v>
      </c>
      <c r="B1668" s="4" t="s">
        <v>2548</v>
      </c>
      <c r="C1668" s="5" t="str">
        <f>IFERROR(__xludf.DUMMYFUNCTION("GOOGLETRANSLATE(D:D,""auto"",""en"")"),"Shanghai July infants infected")</f>
        <v>Shanghai July infants infected</v>
      </c>
      <c r="D1668" s="4" t="s">
        <v>2577</v>
      </c>
      <c r="E1668" s="4">
        <v>0.0</v>
      </c>
      <c r="F1668" s="4">
        <v>17.0</v>
      </c>
      <c r="G1668" s="4" t="s">
        <v>2578</v>
      </c>
    </row>
    <row r="1669">
      <c r="A1669" s="1">
        <v>1667.0</v>
      </c>
      <c r="B1669" s="4" t="s">
        <v>2548</v>
      </c>
      <c r="C1669" s="5" t="str">
        <f>IFERROR(__xludf.DUMMYFUNCTION("GOOGLETRANSLATE(D:D,""auto"",""en"")"),"Yoon JiangMengJie affair exposure")</f>
        <v>Yoon JiangMengJie affair exposure</v>
      </c>
      <c r="D1669" s="4" t="s">
        <v>2579</v>
      </c>
      <c r="E1669" s="4">
        <v>0.0</v>
      </c>
      <c r="F1669" s="4">
        <v>18.0</v>
      </c>
      <c r="G1669" s="4" t="s">
        <v>2580</v>
      </c>
    </row>
    <row r="1670">
      <c r="A1670" s="1">
        <v>1668.0</v>
      </c>
      <c r="B1670" s="4" t="s">
        <v>2548</v>
      </c>
      <c r="C1670" s="5" t="str">
        <f>IFERROR(__xludf.DUMMYFUNCTION("GOOGLETRANSLATE(D:D,""auto"",""en"")"),"Li Lanjuan return to school to talk about the resumption of work")</f>
        <v>Li Lanjuan return to school to talk about the resumption of work</v>
      </c>
      <c r="D1670" s="4" t="s">
        <v>2581</v>
      </c>
      <c r="E1670" s="4">
        <v>0.0</v>
      </c>
      <c r="F1670" s="4">
        <v>19.0</v>
      </c>
      <c r="G1670" s="4" t="s">
        <v>2582</v>
      </c>
    </row>
    <row r="1671">
      <c r="A1671" s="1">
        <v>1669.0</v>
      </c>
      <c r="B1671" s="4" t="s">
        <v>2548</v>
      </c>
      <c r="C1671" s="5" t="str">
        <f>IFERROR(__xludf.DUMMYFUNCTION("GOOGLETRANSLATE(D:D,""auto"",""en"")"),"The door handle measured viral nucleic acid")</f>
        <v>The door handle measured viral nucleic acid</v>
      </c>
      <c r="D1671" s="4" t="s">
        <v>2583</v>
      </c>
      <c r="E1671" s="4">
        <v>0.0</v>
      </c>
      <c r="F1671" s="4">
        <v>20.0</v>
      </c>
      <c r="G1671" s="4" t="s">
        <v>2584</v>
      </c>
    </row>
    <row r="1672">
      <c r="A1672" s="1">
        <v>1670.0</v>
      </c>
      <c r="B1672" s="4" t="s">
        <v>2548</v>
      </c>
      <c r="C1672" s="5" t="str">
        <f>IFERROR(__xludf.DUMMYFUNCTION("GOOGLETRANSLATE(D:D,""auto"",""en"")"),"Beijing from 41 clusters of cases")</f>
        <v>Beijing from 41 clusters of cases</v>
      </c>
      <c r="D1672" s="4" t="s">
        <v>2585</v>
      </c>
      <c r="E1672" s="4">
        <v>0.0</v>
      </c>
      <c r="F1672" s="4">
        <v>21.0</v>
      </c>
      <c r="G1672" s="4" t="s">
        <v>2586</v>
      </c>
    </row>
    <row r="1673">
      <c r="A1673" s="1">
        <v>1671.0</v>
      </c>
      <c r="B1673" s="4" t="s">
        <v>2548</v>
      </c>
      <c r="C1673" s="5" t="str">
        <f>IFERROR(__xludf.DUMMYFUNCTION("GOOGLETRANSLATE(D:D,""auto"",""en"")"),"Mortgage credit cards also postponed")</f>
        <v>Mortgage credit cards also postponed</v>
      </c>
      <c r="D1673" s="4" t="s">
        <v>2587</v>
      </c>
      <c r="E1673" s="4">
        <v>0.0</v>
      </c>
      <c r="F1673" s="4">
        <v>22.0</v>
      </c>
      <c r="G1673" s="4" t="s">
        <v>2588</v>
      </c>
    </row>
    <row r="1674">
      <c r="A1674" s="1">
        <v>1672.0</v>
      </c>
      <c r="B1674" s="4" t="s">
        <v>2548</v>
      </c>
      <c r="C1674" s="5" t="str">
        <f>IFERROR(__xludf.DUMMYFUNCTION("GOOGLETRANSLATE(D:D,""auto"",""en"")"),"Li Lanjuan response to the vaccine progress")</f>
        <v>Li Lanjuan response to the vaccine progress</v>
      </c>
      <c r="D1674" s="4" t="s">
        <v>2589</v>
      </c>
      <c r="E1674" s="4">
        <v>0.0</v>
      </c>
      <c r="F1674" s="4">
        <v>23.0</v>
      </c>
      <c r="G1674" s="4" t="s">
        <v>2590</v>
      </c>
    </row>
    <row r="1675">
      <c r="A1675" s="1">
        <v>1673.0</v>
      </c>
      <c r="B1675" s="4" t="s">
        <v>2548</v>
      </c>
      <c r="C1675" s="5" t="str">
        <f>IFERROR(__xludf.DUMMYFUNCTION("GOOGLETRANSLATE(D:D,""auto"",""en"")"),"Chun Sheng announced that it has married")</f>
        <v>Chun Sheng announced that it has married</v>
      </c>
      <c r="D1675" s="4" t="s">
        <v>2591</v>
      </c>
      <c r="E1675" s="4">
        <v>0.0</v>
      </c>
      <c r="F1675" s="4">
        <v>24.0</v>
      </c>
      <c r="G1675" s="4" t="s">
        <v>2592</v>
      </c>
    </row>
    <row r="1676">
      <c r="A1676" s="1">
        <v>1674.0</v>
      </c>
      <c r="B1676" s="4" t="s">
        <v>2548</v>
      </c>
      <c r="C1676" s="5" t="str">
        <f>IFERROR(__xludf.DUMMYFUNCTION("GOOGLETRANSLATE(D:D,""auto"",""en"")"),"A party of 25 people infected")</f>
        <v>A party of 25 people infected</v>
      </c>
      <c r="D1676" s="4" t="s">
        <v>2593</v>
      </c>
      <c r="E1676" s="4">
        <v>0.0</v>
      </c>
      <c r="F1676" s="4">
        <v>25.0</v>
      </c>
      <c r="G1676" s="4" t="s">
        <v>2594</v>
      </c>
    </row>
    <row r="1677">
      <c r="A1677" s="1">
        <v>1675.0</v>
      </c>
      <c r="B1677" s="4" t="s">
        <v>2548</v>
      </c>
      <c r="C1677" s="5" t="str">
        <f>IFERROR(__xludf.DUMMYFUNCTION("GOOGLETRANSLATE(D:D,""auto"",""en"")"),"Multi-national political figures solidarity with China")</f>
        <v>Multi-national political figures solidarity with China</v>
      </c>
      <c r="D1677" s="4" t="s">
        <v>2595</v>
      </c>
      <c r="E1677" s="4">
        <v>0.0</v>
      </c>
      <c r="F1677" s="4">
        <v>26.0</v>
      </c>
      <c r="G1677" s="4" t="s">
        <v>2596</v>
      </c>
    </row>
    <row r="1678">
      <c r="A1678" s="1">
        <v>1676.0</v>
      </c>
      <c r="B1678" s="4" t="s">
        <v>2548</v>
      </c>
      <c r="C1678" s="5" t="str">
        <f>IFERROR(__xludf.DUMMYFUNCTION("GOOGLETRANSLATE(D:D,""auto"",""en"")"),"Gem gem agent responded")</f>
        <v>Gem gem agent responded</v>
      </c>
      <c r="D1678" s="4" t="s">
        <v>2597</v>
      </c>
      <c r="E1678" s="4">
        <v>0.0</v>
      </c>
      <c r="F1678" s="4">
        <v>27.0</v>
      </c>
      <c r="G1678" s="4" t="s">
        <v>2598</v>
      </c>
    </row>
    <row r="1679">
      <c r="A1679" s="1">
        <v>1677.0</v>
      </c>
      <c r="B1679" s="4" t="s">
        <v>2548</v>
      </c>
      <c r="C1679" s="5" t="str">
        <f>IFERROR(__xludf.DUMMYFUNCTION("GOOGLETRANSLATE(D:D,""auto"",""en"")"),"Beijing introduced 19 measures")</f>
        <v>Beijing introduced 19 measures</v>
      </c>
      <c r="D1679" s="4" t="s">
        <v>2599</v>
      </c>
      <c r="E1679" s="4">
        <v>0.0</v>
      </c>
      <c r="F1679" s="4">
        <v>28.0</v>
      </c>
      <c r="G1679" s="4" t="s">
        <v>2600</v>
      </c>
    </row>
    <row r="1680">
      <c r="A1680" s="1">
        <v>1678.0</v>
      </c>
      <c r="B1680" s="4" t="s">
        <v>2548</v>
      </c>
      <c r="C1680" s="5" t="str">
        <f>IFERROR(__xludf.DUMMYFUNCTION("GOOGLETRANSLATE(D:D,""auto"",""en"")"),"The new crown virus can survive for 5 days")</f>
        <v>The new crown virus can survive for 5 days</v>
      </c>
      <c r="D1680" s="4" t="s">
        <v>2601</v>
      </c>
      <c r="E1680" s="4">
        <v>0.0</v>
      </c>
      <c r="F1680" s="4">
        <v>29.0</v>
      </c>
      <c r="G1680" s="4" t="s">
        <v>2602</v>
      </c>
    </row>
    <row r="1681">
      <c r="A1681" s="1">
        <v>1679.0</v>
      </c>
      <c r="B1681" s="4" t="s">
        <v>2548</v>
      </c>
      <c r="C1681" s="5" t="str">
        <f>IFERROR(__xludf.DUMMYFUNCTION("GOOGLETRANSLATE(D:D,""auto"",""en"")"),"The incubation period in succession onset patients")</f>
        <v>The incubation period in succession onset patients</v>
      </c>
      <c r="D1681" s="4" t="s">
        <v>2502</v>
      </c>
      <c r="E1681" s="4">
        <v>0.0</v>
      </c>
      <c r="F1681" s="4">
        <v>30.0</v>
      </c>
      <c r="G1681" s="4" t="s">
        <v>2503</v>
      </c>
    </row>
    <row r="1682">
      <c r="A1682" s="1">
        <v>1680.0</v>
      </c>
      <c r="B1682" s="4" t="s">
        <v>2548</v>
      </c>
      <c r="C1682" s="5" t="str">
        <f>IFERROR(__xludf.DUMMYFUNCTION("GOOGLETRANSLATE(D:D,""auto"",""en"")"),"China supports the DPRK funds")</f>
        <v>China supports the DPRK funds</v>
      </c>
      <c r="D1682" s="4" t="s">
        <v>2498</v>
      </c>
      <c r="E1682" s="4">
        <v>0.0</v>
      </c>
      <c r="F1682" s="4">
        <v>31.0</v>
      </c>
      <c r="G1682" s="4" t="s">
        <v>2499</v>
      </c>
    </row>
    <row r="1683">
      <c r="A1683" s="1">
        <v>1681.0</v>
      </c>
      <c r="B1683" s="4" t="s">
        <v>2548</v>
      </c>
      <c r="C1683" s="5" t="str">
        <f>IFERROR(__xludf.DUMMYFUNCTION("GOOGLETRANSLATE(D:D,""auto"",""en"")"),"Prevention and control of information leaked pictures")</f>
        <v>Prevention and control of information leaked pictures</v>
      </c>
      <c r="D1683" s="4" t="s">
        <v>2603</v>
      </c>
      <c r="E1683" s="4">
        <v>0.0</v>
      </c>
      <c r="F1683" s="4">
        <v>32.0</v>
      </c>
      <c r="G1683" s="4" t="s">
        <v>2604</v>
      </c>
    </row>
    <row r="1684">
      <c r="A1684" s="1">
        <v>1682.0</v>
      </c>
      <c r="B1684" s="4" t="s">
        <v>2548</v>
      </c>
      <c r="C1684" s="5" t="str">
        <f>IFERROR(__xludf.DUMMYFUNCTION("GOOGLETRANSLATE(D:D,""auto"",""en"")"),"70-year-old Damian was traced to a stroke")</f>
        <v>70-year-old Damian was traced to a stroke</v>
      </c>
      <c r="D1684" s="4" t="s">
        <v>2605</v>
      </c>
      <c r="E1684" s="4">
        <v>0.0</v>
      </c>
      <c r="F1684" s="4">
        <v>33.0</v>
      </c>
      <c r="G1684" s="4" t="s">
        <v>2606</v>
      </c>
    </row>
    <row r="1685">
      <c r="A1685" s="1">
        <v>1683.0</v>
      </c>
      <c r="B1685" s="4" t="s">
        <v>2548</v>
      </c>
      <c r="C1685" s="5" t="str">
        <f>IFERROR(__xludf.DUMMYFUNCTION("GOOGLETRANSLATE(D:D,""auto"",""en"")"),"Park Geun-hye welcome 69 birthday")</f>
        <v>Park Geun-hye welcome 69 birthday</v>
      </c>
      <c r="D1685" s="4" t="s">
        <v>2607</v>
      </c>
      <c r="E1685" s="4">
        <v>0.0</v>
      </c>
      <c r="F1685" s="4">
        <v>34.0</v>
      </c>
      <c r="G1685" s="4" t="s">
        <v>2608</v>
      </c>
    </row>
    <row r="1686">
      <c r="A1686" s="1">
        <v>1684.0</v>
      </c>
      <c r="B1686" s="4" t="s">
        <v>2548</v>
      </c>
      <c r="C1686" s="5" t="str">
        <f>IFERROR(__xludf.DUMMYFUNCTION("GOOGLETRANSLATE(D:D,""auto"",""en"")"),"Beijing epidemic investigation of new regulations")</f>
        <v>Beijing epidemic investigation of new regulations</v>
      </c>
      <c r="D1686" s="4" t="s">
        <v>2609</v>
      </c>
      <c r="E1686" s="4">
        <v>0.0</v>
      </c>
      <c r="F1686" s="4">
        <v>35.0</v>
      </c>
      <c r="G1686" s="4" t="s">
        <v>2610</v>
      </c>
    </row>
    <row r="1687">
      <c r="A1687" s="1">
        <v>1685.0</v>
      </c>
      <c r="B1687" s="4" t="s">
        <v>2548</v>
      </c>
      <c r="C1687" s="5" t="str">
        <f>IFERROR(__xludf.DUMMYFUNCTION("GOOGLETRANSLATE(D:D,""auto"",""en"")"),"14 City of Hubei traffic control")</f>
        <v>14 City of Hubei traffic control</v>
      </c>
      <c r="D1687" s="4" t="s">
        <v>2611</v>
      </c>
      <c r="E1687" s="4">
        <v>0.0</v>
      </c>
      <c r="F1687" s="4">
        <v>36.0</v>
      </c>
      <c r="G1687" s="4" t="s">
        <v>2612</v>
      </c>
    </row>
    <row r="1688">
      <c r="A1688" s="1">
        <v>1686.0</v>
      </c>
      <c r="B1688" s="4" t="s">
        <v>2548</v>
      </c>
      <c r="C1688" s="5" t="str">
        <f>IFERROR(__xludf.DUMMYFUNCTION("GOOGLETRANSLATE(D:D,""auto"",""en"")"),"Jung concert not canceled")</f>
        <v>Jung concert not canceled</v>
      </c>
      <c r="D1688" s="4" t="s">
        <v>2613</v>
      </c>
      <c r="E1688" s="4">
        <v>0.0</v>
      </c>
      <c r="F1688" s="4">
        <v>37.0</v>
      </c>
      <c r="G1688" s="4" t="s">
        <v>2614</v>
      </c>
    </row>
    <row r="1689">
      <c r="A1689" s="1">
        <v>1687.0</v>
      </c>
      <c r="B1689" s="4" t="s">
        <v>2548</v>
      </c>
      <c r="C1689" s="5" t="str">
        <f>IFERROR(__xludf.DUMMYFUNCTION("GOOGLETRANSLATE(D:D,""auto"",""en"")"),"Zhong Nanshan talk about trends in the number of confirmed")</f>
        <v>Zhong Nanshan talk about trends in the number of confirmed</v>
      </c>
      <c r="D1689" s="4" t="s">
        <v>2500</v>
      </c>
      <c r="E1689" s="4">
        <v>0.0</v>
      </c>
      <c r="F1689" s="4">
        <v>38.0</v>
      </c>
      <c r="G1689" s="4" t="s">
        <v>2501</v>
      </c>
    </row>
    <row r="1690">
      <c r="A1690" s="1">
        <v>1688.0</v>
      </c>
      <c r="B1690" s="4" t="s">
        <v>2548</v>
      </c>
      <c r="C1690" s="5" t="str">
        <f>IFERROR(__xludf.DUMMYFUNCTION("GOOGLETRANSLATE(D:D,""auto"",""en"")"),"Yang Wei left behind a Wuhan")</f>
        <v>Yang Wei left behind a Wuhan</v>
      </c>
      <c r="D1690" s="4" t="s">
        <v>2615</v>
      </c>
      <c r="E1690" s="4">
        <v>0.0</v>
      </c>
      <c r="F1690" s="4">
        <v>39.0</v>
      </c>
      <c r="G1690" s="4" t="s">
        <v>2616</v>
      </c>
    </row>
    <row r="1691">
      <c r="A1691" s="1">
        <v>1689.0</v>
      </c>
      <c r="B1691" s="4" t="s">
        <v>2548</v>
      </c>
      <c r="C1691" s="5" t="str">
        <f>IFERROR(__xludf.DUMMYFUNCTION("GOOGLETRANSLATE(D:D,""auto"",""en"")"),"Shanghai issued policy burdens")</f>
        <v>Shanghai issued policy burdens</v>
      </c>
      <c r="D1691" s="4" t="s">
        <v>2617</v>
      </c>
      <c r="E1691" s="4">
        <v>0.0</v>
      </c>
      <c r="F1691" s="4">
        <v>40.0</v>
      </c>
      <c r="G1691" s="4" t="s">
        <v>2618</v>
      </c>
    </row>
    <row r="1692">
      <c r="A1692" s="1">
        <v>1690.0</v>
      </c>
      <c r="B1692" s="4" t="s">
        <v>2548</v>
      </c>
      <c r="C1692" s="5" t="str">
        <f>IFERROR(__xludf.DUMMYFUNCTION("GOOGLETRANSLATE(D:D,""auto"",""en"")"),"Zhong Nanshan respond faecal-oral transmission")</f>
        <v>Zhong Nanshan respond faecal-oral transmission</v>
      </c>
      <c r="D1692" s="4" t="s">
        <v>2492</v>
      </c>
      <c r="E1692" s="4">
        <v>0.0</v>
      </c>
      <c r="F1692" s="4">
        <v>41.0</v>
      </c>
      <c r="G1692" s="4" t="s">
        <v>2493</v>
      </c>
    </row>
    <row r="1693">
      <c r="A1693" s="1">
        <v>1691.0</v>
      </c>
      <c r="B1693" s="4" t="s">
        <v>2548</v>
      </c>
      <c r="C1693" s="5" t="str">
        <f>IFERROR(__xludf.DUMMYFUNCTION("GOOGLETRANSLATE(D:D,""auto"",""en"")"),"The central bank will put in 1.2 trillion")</f>
        <v>The central bank will put in 1.2 trillion</v>
      </c>
      <c r="D1693" s="4" t="s">
        <v>2494</v>
      </c>
      <c r="E1693" s="4">
        <v>0.0</v>
      </c>
      <c r="F1693" s="4">
        <v>42.0</v>
      </c>
      <c r="G1693" s="4" t="s">
        <v>2495</v>
      </c>
    </row>
    <row r="1694">
      <c r="A1694" s="1">
        <v>1692.0</v>
      </c>
      <c r="B1694" s="4" t="s">
        <v>2548</v>
      </c>
      <c r="C1694" s="5" t="str">
        <f>IFERROR(__xludf.DUMMYFUNCTION("GOOGLETRANSLATE(D:D,""auto"",""en"")"),"Chinese consulate now suspicious box")</f>
        <v>Chinese consulate now suspicious box</v>
      </c>
      <c r="D1694" s="4" t="s">
        <v>2619</v>
      </c>
      <c r="E1694" s="4">
        <v>0.0</v>
      </c>
      <c r="F1694" s="4">
        <v>43.0</v>
      </c>
      <c r="G1694" s="4" t="s">
        <v>2620</v>
      </c>
    </row>
    <row r="1695">
      <c r="A1695" s="1">
        <v>1693.0</v>
      </c>
      <c r="B1695" s="4" t="s">
        <v>2548</v>
      </c>
      <c r="C1695" s="5" t="str">
        <f>IFERROR(__xludf.DUMMYFUNCTION("GOOGLETRANSLATE(D:D,""auto"",""en"")"),"The United States did not provide substantive help")</f>
        <v>The United States did not provide substantive help</v>
      </c>
      <c r="D1695" s="4" t="s">
        <v>2621</v>
      </c>
      <c r="E1695" s="4">
        <v>0.0</v>
      </c>
      <c r="F1695" s="4">
        <v>44.0</v>
      </c>
      <c r="G1695" s="4" t="s">
        <v>2622</v>
      </c>
    </row>
    <row r="1696">
      <c r="A1696" s="1">
        <v>1694.0</v>
      </c>
      <c r="B1696" s="4" t="s">
        <v>2548</v>
      </c>
      <c r="C1696" s="5" t="str">
        <f>IFERROR(__xludf.DUMMYFUNCTION("GOOGLETRANSLATE(D:D,""auto"",""en"")"),"Express to do to receive protection")</f>
        <v>Express to do to receive protection</v>
      </c>
      <c r="D1696" s="4" t="s">
        <v>2623</v>
      </c>
      <c r="E1696" s="4">
        <v>0.0</v>
      </c>
      <c r="F1696" s="4">
        <v>45.0</v>
      </c>
      <c r="G1696" s="4" t="s">
        <v>2624</v>
      </c>
    </row>
    <row r="1697">
      <c r="A1697" s="1">
        <v>1695.0</v>
      </c>
      <c r="B1697" s="4" t="s">
        <v>2548</v>
      </c>
      <c r="C1697" s="5" t="str">
        <f>IFERROR(__xludf.DUMMYFUNCTION("GOOGLETRANSLATE(D:D,""auto"",""en"")"),"Hubei wartime incentives")</f>
        <v>Hubei wartime incentives</v>
      </c>
      <c r="D1697" s="4" t="s">
        <v>2496</v>
      </c>
      <c r="E1697" s="4">
        <v>0.0</v>
      </c>
      <c r="F1697" s="4">
        <v>46.0</v>
      </c>
      <c r="G1697" s="4" t="s">
        <v>2497</v>
      </c>
    </row>
    <row r="1698">
      <c r="A1698" s="1">
        <v>1696.0</v>
      </c>
      <c r="B1698" s="4" t="s">
        <v>2548</v>
      </c>
      <c r="C1698" s="5" t="str">
        <f>IFERROR(__xludf.DUMMYFUNCTION("GOOGLETRANSLATE(D:D,""auto"",""en"")"),"Four days buried 140 000 day-old chicks")</f>
        <v>Four days buried 140 000 day-old chicks</v>
      </c>
      <c r="D1698" s="4" t="s">
        <v>2625</v>
      </c>
      <c r="E1698" s="4">
        <v>0.0</v>
      </c>
      <c r="F1698" s="4">
        <v>47.0</v>
      </c>
      <c r="G1698" s="4" t="s">
        <v>2626</v>
      </c>
    </row>
    <row r="1699">
      <c r="A1699" s="1">
        <v>1697.0</v>
      </c>
      <c r="B1699" s="4" t="s">
        <v>2548</v>
      </c>
      <c r="C1699" s="5" t="str">
        <f>IFERROR(__xludf.DUMMYFUNCTION("GOOGLETRANSLATE(D:D,""auto"",""en"")"),"Cough without fever do not pass 6")</f>
        <v>Cough without fever do not pass 6</v>
      </c>
      <c r="D1699" s="4" t="s">
        <v>2480</v>
      </c>
      <c r="E1699" s="4">
        <v>0.0</v>
      </c>
      <c r="F1699" s="4">
        <v>48.0</v>
      </c>
      <c r="G1699" s="4" t="s">
        <v>2481</v>
      </c>
    </row>
    <row r="1700">
      <c r="A1700" s="1">
        <v>1698.0</v>
      </c>
      <c r="B1700" s="4" t="s">
        <v>2548</v>
      </c>
      <c r="C1700" s="5" t="str">
        <f>IFERROR(__xludf.DUMMYFUNCTION("GOOGLETRANSLATE(D:D,""auto"",""en"")"),"Shandong 60 from clusters of disease")</f>
        <v>Shandong 60 from clusters of disease</v>
      </c>
      <c r="D1700" s="4" t="s">
        <v>2627</v>
      </c>
      <c r="E1700" s="4">
        <v>0.0</v>
      </c>
      <c r="F1700" s="4">
        <v>49.0</v>
      </c>
      <c r="G1700" s="4" t="s">
        <v>2628</v>
      </c>
    </row>
    <row r="1701">
      <c r="A1701" s="1">
        <v>1699.0</v>
      </c>
      <c r="B1701" s="4" t="s">
        <v>2548</v>
      </c>
      <c r="C1701" s="5" t="str">
        <f>IFERROR(__xludf.DUMMYFUNCTION("GOOGLETRANSLATE(D:D,""auto"",""en"")"),"A patient infected 10 people")</f>
        <v>A patient infected 10 people</v>
      </c>
      <c r="D1701" s="4" t="s">
        <v>2482</v>
      </c>
      <c r="E1701" s="4">
        <v>0.0</v>
      </c>
      <c r="F1701" s="4">
        <v>50.0</v>
      </c>
      <c r="G1701" s="4" t="s">
        <v>2483</v>
      </c>
    </row>
    <row r="1702">
      <c r="A1702" s="1">
        <v>1700.0</v>
      </c>
      <c r="B1702" s="4" t="s">
        <v>2629</v>
      </c>
      <c r="C1702" s="5" t="str">
        <f>IFERROR(__xludf.DUMMYFUNCTION("GOOGLETRANSLATE(D:D,""auto"",""en"")"),"The new crown virus can survive for 5 days")</f>
        <v>The new crown virus can survive for 5 days</v>
      </c>
      <c r="D1702" s="4" t="s">
        <v>2601</v>
      </c>
      <c r="E1702" s="4">
        <v>0.0</v>
      </c>
      <c r="F1702" s="4">
        <v>1.0</v>
      </c>
      <c r="G1702" s="4" t="s">
        <v>2602</v>
      </c>
    </row>
    <row r="1703">
      <c r="A1703" s="1">
        <v>1701.0</v>
      </c>
      <c r="B1703" s="4" t="s">
        <v>2629</v>
      </c>
      <c r="C1703" s="5" t="str">
        <f>IFERROR(__xludf.DUMMYFUNCTION("GOOGLETRANSLATE(D:D,""auto"",""en"")"),"A party of 25 people infected")</f>
        <v>A party of 25 people infected</v>
      </c>
      <c r="D1703" s="4" t="s">
        <v>2593</v>
      </c>
      <c r="E1703" s="4">
        <v>0.0</v>
      </c>
      <c r="F1703" s="4">
        <v>2.0</v>
      </c>
      <c r="G1703" s="4" t="s">
        <v>2594</v>
      </c>
    </row>
    <row r="1704">
      <c r="A1704" s="1">
        <v>1702.0</v>
      </c>
      <c r="B1704" s="4" t="s">
        <v>2629</v>
      </c>
      <c r="C1704" s="5" t="str">
        <f>IFERROR(__xludf.DUMMYFUNCTION("GOOGLETRANSLATE(D:D,""auto"",""en"")"),"Beijing introduced 19 measures")</f>
        <v>Beijing introduced 19 measures</v>
      </c>
      <c r="D1704" s="4" t="s">
        <v>2599</v>
      </c>
      <c r="E1704" s="4">
        <v>0.0</v>
      </c>
      <c r="F1704" s="4">
        <v>3.0</v>
      </c>
      <c r="G1704" s="4" t="s">
        <v>2600</v>
      </c>
    </row>
    <row r="1705">
      <c r="A1705" s="1">
        <v>1703.0</v>
      </c>
      <c r="B1705" s="4" t="s">
        <v>2629</v>
      </c>
      <c r="C1705" s="5" t="str">
        <f>IFERROR(__xludf.DUMMYFUNCTION("GOOGLETRANSLATE(D:D,""auto"",""en"")"),"Zhong Nanshan doubts epidemic prevention and control")</f>
        <v>Zhong Nanshan doubts epidemic prevention and control</v>
      </c>
      <c r="D1705" s="4" t="s">
        <v>2630</v>
      </c>
      <c r="E1705" s="4">
        <v>0.0</v>
      </c>
      <c r="F1705" s="4">
        <v>4.0</v>
      </c>
      <c r="G1705" s="4" t="s">
        <v>2631</v>
      </c>
    </row>
    <row r="1706">
      <c r="A1706" s="1">
        <v>1704.0</v>
      </c>
      <c r="B1706" s="4" t="s">
        <v>2629</v>
      </c>
      <c r="C1706" s="5" t="str">
        <f>IFERROR(__xludf.DUMMYFUNCTION("GOOGLETRANSLATE(D:D,""auto"",""en"")"),"Henan thorough investigation to conceal the epidemic")</f>
        <v>Henan thorough investigation to conceal the epidemic</v>
      </c>
      <c r="D1706" s="4" t="s">
        <v>2632</v>
      </c>
      <c r="E1706" s="4">
        <v>0.0</v>
      </c>
      <c r="F1706" s="4">
        <v>5.0</v>
      </c>
      <c r="G1706" s="4" t="s">
        <v>2633</v>
      </c>
    </row>
    <row r="1707">
      <c r="A1707" s="1">
        <v>1705.0</v>
      </c>
      <c r="B1707" s="4" t="s">
        <v>2629</v>
      </c>
      <c r="C1707" s="5" t="str">
        <f>IFERROR(__xludf.DUMMYFUNCTION("GOOGLETRANSLATE(D:D,""auto"",""en"")"),"Hebei residents travel control")</f>
        <v>Hebei residents travel control</v>
      </c>
      <c r="D1707" s="4" t="s">
        <v>2634</v>
      </c>
      <c r="E1707" s="4">
        <v>0.0</v>
      </c>
      <c r="F1707" s="4">
        <v>6.0</v>
      </c>
      <c r="G1707" s="4" t="s">
        <v>2635</v>
      </c>
    </row>
    <row r="1708">
      <c r="A1708" s="1">
        <v>1706.0</v>
      </c>
      <c r="B1708" s="4" t="s">
        <v>2629</v>
      </c>
      <c r="C1708" s="5" t="str">
        <f>IFERROR(__xludf.DUMMYFUNCTION("GOOGLETRANSLATE(D:D,""auto"",""en"")"),"Gong Yibin County, 3.9 earthquake")</f>
        <v>Gong Yibin County, 3.9 earthquake</v>
      </c>
      <c r="D1708" s="4" t="s">
        <v>2636</v>
      </c>
      <c r="E1708" s="4">
        <v>0.0</v>
      </c>
      <c r="F1708" s="4">
        <v>7.0</v>
      </c>
      <c r="G1708" s="4" t="s">
        <v>2637</v>
      </c>
    </row>
    <row r="1709">
      <c r="A1709" s="1">
        <v>1707.0</v>
      </c>
      <c r="B1709" s="4" t="s">
        <v>2629</v>
      </c>
      <c r="C1709" s="5" t="str">
        <f>IFERROR(__xludf.DUMMYFUNCTION("GOOGLETRANSLATE(D:D,""auto"",""en"")"),"Deputy mayor party is infected")</f>
        <v>Deputy mayor party is infected</v>
      </c>
      <c r="D1709" s="4" t="s">
        <v>2638</v>
      </c>
      <c r="E1709" s="4">
        <v>0.0</v>
      </c>
      <c r="F1709" s="4">
        <v>8.0</v>
      </c>
      <c r="G1709" s="4" t="s">
        <v>2639</v>
      </c>
    </row>
    <row r="1710">
      <c r="A1710" s="1">
        <v>1708.0</v>
      </c>
      <c r="B1710" s="4" t="s">
        <v>2629</v>
      </c>
      <c r="C1710" s="5" t="str">
        <f>IFERROR(__xludf.DUMMYFUNCTION("GOOGLETRANSLATE(D:D,""auto"",""en"")"),"7 province now asymptomatic infection")</f>
        <v>7 province now asymptomatic infection</v>
      </c>
      <c r="D1710" s="4" t="s">
        <v>2640</v>
      </c>
      <c r="E1710" s="4">
        <v>0.0</v>
      </c>
      <c r="F1710" s="4">
        <v>9.0</v>
      </c>
      <c r="G1710" s="4" t="s">
        <v>2641</v>
      </c>
    </row>
    <row r="1711">
      <c r="A1711" s="1">
        <v>1709.0</v>
      </c>
      <c r="B1711" s="4" t="s">
        <v>2629</v>
      </c>
      <c r="C1711" s="5" t="str">
        <f>IFERROR(__xludf.DUMMYFUNCTION("GOOGLETRANSLATE(D:D,""auto"",""en"")"),"Bryant remains have been transferred to family members")</f>
        <v>Bryant remains have been transferred to family members</v>
      </c>
      <c r="D1711" s="4" t="s">
        <v>2642</v>
      </c>
      <c r="E1711" s="4">
        <v>0.0</v>
      </c>
      <c r="F1711" s="4">
        <v>10.0</v>
      </c>
      <c r="G1711" s="4" t="s">
        <v>2643</v>
      </c>
    </row>
    <row r="1712">
      <c r="A1712" s="1">
        <v>1710.0</v>
      </c>
      <c r="B1712" s="4" t="s">
        <v>2629</v>
      </c>
      <c r="C1712" s="5" t="str">
        <f>IFERROR(__xludf.DUMMYFUNCTION("GOOGLETRANSLATE(D:D,""auto"",""en"")"),"Epidemic or inflection point will appear")</f>
        <v>Epidemic or inflection point will appear</v>
      </c>
      <c r="D1712" s="4" t="s">
        <v>2644</v>
      </c>
      <c r="E1712" s="4">
        <v>0.0</v>
      </c>
      <c r="F1712" s="4">
        <v>11.0</v>
      </c>
      <c r="G1712" s="4" t="s">
        <v>2645</v>
      </c>
    </row>
    <row r="1713">
      <c r="A1713" s="1">
        <v>1711.0</v>
      </c>
      <c r="B1713" s="4" t="s">
        <v>2629</v>
      </c>
      <c r="C1713" s="5" t="str">
        <f>IFERROR(__xludf.DUMMYFUNCTION("GOOGLETRANSLATE(D:D,""auto"",""en"")"),"Gem gem respond infringement")</f>
        <v>Gem gem respond infringement</v>
      </c>
      <c r="D1713" s="4" t="s">
        <v>2646</v>
      </c>
      <c r="E1713" s="4">
        <v>0.0</v>
      </c>
      <c r="F1713" s="4">
        <v>12.0</v>
      </c>
      <c r="G1713" s="4" t="s">
        <v>2647</v>
      </c>
    </row>
    <row r="1714">
      <c r="A1714" s="1">
        <v>1712.0</v>
      </c>
      <c r="B1714" s="4" t="s">
        <v>2629</v>
      </c>
      <c r="C1714" s="5" t="str">
        <f>IFERROR(__xludf.DUMMYFUNCTION("GOOGLETRANSLATE(D:D,""auto"",""en"")"),"Hefei Feidong 2.9 earthquake")</f>
        <v>Hefei Feidong 2.9 earthquake</v>
      </c>
      <c r="D1714" s="4" t="s">
        <v>2648</v>
      </c>
      <c r="E1714" s="4">
        <v>0.0</v>
      </c>
      <c r="F1714" s="4">
        <v>13.0</v>
      </c>
      <c r="G1714" s="4" t="s">
        <v>2649</v>
      </c>
    </row>
    <row r="1715">
      <c r="A1715" s="1">
        <v>1713.0</v>
      </c>
      <c r="B1715" s="4" t="s">
        <v>2629</v>
      </c>
      <c r="C1715" s="5" t="str">
        <f>IFERROR(__xludf.DUMMYFUNCTION("GOOGLETRANSLATE(D:D,""auto"",""en"")"),"Taxi drivers carrying hundreds of people diagnosed")</f>
        <v>Taxi drivers carrying hundreds of people diagnosed</v>
      </c>
      <c r="D1715" s="4" t="s">
        <v>2650</v>
      </c>
      <c r="E1715" s="4">
        <v>0.0</v>
      </c>
      <c r="F1715" s="4">
        <v>14.0</v>
      </c>
      <c r="G1715" s="4" t="s">
        <v>2651</v>
      </c>
    </row>
    <row r="1716">
      <c r="A1716" s="1">
        <v>1714.0</v>
      </c>
      <c r="B1716" s="4" t="s">
        <v>2629</v>
      </c>
      <c r="C1716" s="5" t="str">
        <f>IFERROR(__xludf.DUMMYFUNCTION("GOOGLETRANSLATE(D:D,""auto"",""en"")"),"Ireland eye Taiyuan issued a statement")</f>
        <v>Ireland eye Taiyuan issued a statement</v>
      </c>
      <c r="D1716" s="4" t="s">
        <v>2652</v>
      </c>
      <c r="E1716" s="4">
        <v>0.0</v>
      </c>
      <c r="F1716" s="4">
        <v>15.0</v>
      </c>
      <c r="G1716" s="4" t="s">
        <v>2653</v>
      </c>
    </row>
    <row r="1717">
      <c r="A1717" s="1">
        <v>1715.0</v>
      </c>
      <c r="B1717" s="4" t="s">
        <v>2629</v>
      </c>
      <c r="C1717" s="5" t="str">
        <f>IFERROR(__xludf.DUMMYFUNCTION("GOOGLETRANSLATE(D:D,""auto"",""en"")"),"200 million people at home to start")</f>
        <v>200 million people at home to start</v>
      </c>
      <c r="D1717" s="4" t="s">
        <v>2654</v>
      </c>
      <c r="E1717" s="4">
        <v>0.0</v>
      </c>
      <c r="F1717" s="4">
        <v>16.0</v>
      </c>
      <c r="G1717" s="4" t="s">
        <v>2655</v>
      </c>
    </row>
    <row r="1718">
      <c r="A1718" s="1">
        <v>1716.0</v>
      </c>
      <c r="B1718" s="4" t="s">
        <v>2629</v>
      </c>
      <c r="C1718" s="5" t="str">
        <f>IFERROR(__xludf.DUMMYFUNCTION("GOOGLETRANSLATE(D:D,""auto"",""en"")"),"Conspiracy theorists are talking about Wuhan Institute of Virology")</f>
        <v>Conspiracy theorists are talking about Wuhan Institute of Virology</v>
      </c>
      <c r="D1718" s="4" t="s">
        <v>2656</v>
      </c>
      <c r="E1718" s="4">
        <v>0.0</v>
      </c>
      <c r="F1718" s="4">
        <v>17.0</v>
      </c>
      <c r="G1718" s="4" t="s">
        <v>2657</v>
      </c>
    </row>
    <row r="1719">
      <c r="A1719" s="1">
        <v>1717.0</v>
      </c>
      <c r="B1719" s="4" t="s">
        <v>2629</v>
      </c>
      <c r="C1719" s="5" t="str">
        <f>IFERROR(__xludf.DUMMYFUNCTION("GOOGLETRANSLATE(D:D,""auto"",""en"")"),"The central bank reinvested 500 billion")</f>
        <v>The central bank reinvested 500 billion</v>
      </c>
      <c r="D1719" s="4" t="s">
        <v>2658</v>
      </c>
      <c r="E1719" s="4">
        <v>0.0</v>
      </c>
      <c r="F1719" s="4">
        <v>18.0</v>
      </c>
      <c r="G1719" s="4" t="s">
        <v>2659</v>
      </c>
    </row>
    <row r="1720">
      <c r="A1720" s="1">
        <v>1718.0</v>
      </c>
      <c r="B1720" s="4" t="s">
        <v>2629</v>
      </c>
      <c r="C1720" s="5" t="str">
        <f>IFERROR(__xludf.DUMMYFUNCTION("GOOGLETRANSLATE(D:D,""auto"",""en"")"),"Official detained ahead of the resumption of work")</f>
        <v>Official detained ahead of the resumption of work</v>
      </c>
      <c r="D1720" s="4" t="s">
        <v>2660</v>
      </c>
      <c r="E1720" s="4">
        <v>0.0</v>
      </c>
      <c r="F1720" s="4">
        <v>19.0</v>
      </c>
      <c r="G1720" s="4" t="s">
        <v>2661</v>
      </c>
    </row>
    <row r="1721">
      <c r="A1721" s="1">
        <v>1719.0</v>
      </c>
      <c r="B1721" s="4" t="s">
        <v>2629</v>
      </c>
      <c r="C1721" s="5" t="str">
        <f>IFERROR(__xludf.DUMMYFUNCTION("GOOGLETRANSLATE(D:D,""auto"",""en"")"),"Li Lanjuan release significant results")</f>
        <v>Li Lanjuan release significant results</v>
      </c>
      <c r="D1721" s="4" t="s">
        <v>2662</v>
      </c>
      <c r="E1721" s="4">
        <v>0.0</v>
      </c>
      <c r="F1721" s="4">
        <v>20.0</v>
      </c>
      <c r="G1721" s="4" t="s">
        <v>2663</v>
      </c>
    </row>
    <row r="1722">
      <c r="A1722" s="1">
        <v>1720.0</v>
      </c>
      <c r="B1722" s="4" t="s">
        <v>2629</v>
      </c>
      <c r="C1722" s="5" t="str">
        <f>IFERROR(__xludf.DUMMYFUNCTION("GOOGLETRANSLATE(D:D,""auto"",""en"")"),"Dean Jinyintan hospital Merits")</f>
        <v>Dean Jinyintan hospital Merits</v>
      </c>
      <c r="D1722" s="4" t="s">
        <v>2664</v>
      </c>
      <c r="E1722" s="4">
        <v>0.0</v>
      </c>
      <c r="F1722" s="4">
        <v>21.0</v>
      </c>
      <c r="G1722" s="4" t="s">
        <v>2665</v>
      </c>
    </row>
    <row r="1723">
      <c r="A1723" s="1">
        <v>1721.0</v>
      </c>
      <c r="B1723" s="4" t="s">
        <v>2629</v>
      </c>
      <c r="C1723" s="5" t="str">
        <f>IFERROR(__xludf.DUMMYFUNCTION("GOOGLETRANSLATE(D:D,""auto"",""en"")"),"Wuhan two cases of critically ill heal")</f>
        <v>Wuhan two cases of critically ill heal</v>
      </c>
      <c r="D1723" s="4" t="s">
        <v>2666</v>
      </c>
      <c r="E1723" s="4">
        <v>0.0</v>
      </c>
      <c r="F1723" s="4">
        <v>22.0</v>
      </c>
      <c r="G1723" s="4" t="s">
        <v>2667</v>
      </c>
    </row>
    <row r="1724">
      <c r="A1724" s="1">
        <v>1722.0</v>
      </c>
      <c r="B1724" s="4" t="s">
        <v>2629</v>
      </c>
      <c r="C1724" s="5" t="str">
        <f>IFERROR(__xludf.DUMMYFUNCTION("GOOGLETRANSLATE(D:D,""auto"",""en"")"),"Zhong Nanshan donate oxygen hundred units")</f>
        <v>Zhong Nanshan donate oxygen hundred units</v>
      </c>
      <c r="D1724" s="4" t="s">
        <v>2668</v>
      </c>
      <c r="E1724" s="4">
        <v>0.0</v>
      </c>
      <c r="F1724" s="4">
        <v>23.0</v>
      </c>
      <c r="G1724" s="4" t="s">
        <v>2669</v>
      </c>
    </row>
    <row r="1725">
      <c r="A1725" s="1">
        <v>1723.0</v>
      </c>
      <c r="B1725" s="4" t="s">
        <v>2629</v>
      </c>
      <c r="C1725" s="5" t="str">
        <f>IFERROR(__xludf.DUMMYFUNCTION("GOOGLETRANSLATE(D:D,""auto"",""en"")"),"Verification 1 30 Award masks")</f>
        <v>Verification 1 30 Award masks</v>
      </c>
      <c r="D1725" s="4" t="s">
        <v>2670</v>
      </c>
      <c r="E1725" s="4">
        <v>0.0</v>
      </c>
      <c r="F1725" s="4">
        <v>24.0</v>
      </c>
      <c r="G1725" s="4" t="s">
        <v>2671</v>
      </c>
    </row>
    <row r="1726">
      <c r="A1726" s="1">
        <v>1724.0</v>
      </c>
      <c r="B1726" s="4" t="s">
        <v>2629</v>
      </c>
      <c r="C1726" s="5" t="str">
        <f>IFERROR(__xludf.DUMMYFUNCTION("GOOGLETRANSLATE(D:D,""auto"",""en"")"),"Wuhan city's large Xiaosha")</f>
        <v>Wuhan city's large Xiaosha</v>
      </c>
      <c r="D1726" s="4" t="s">
        <v>2672</v>
      </c>
      <c r="E1726" s="4">
        <v>0.0</v>
      </c>
      <c r="F1726" s="4">
        <v>25.0</v>
      </c>
      <c r="G1726" s="4" t="s">
        <v>2673</v>
      </c>
    </row>
    <row r="1727">
      <c r="A1727" s="1">
        <v>1725.0</v>
      </c>
      <c r="B1727" s="4" t="s">
        <v>2629</v>
      </c>
      <c r="C1727" s="5" t="str">
        <f>IFERROR(__xludf.DUMMYFUNCTION("GOOGLETRANSLATE(D:D,""auto"",""en"")"),"Mortgage credit cards also postponed")</f>
        <v>Mortgage credit cards also postponed</v>
      </c>
      <c r="D1727" s="4" t="s">
        <v>2587</v>
      </c>
      <c r="E1727" s="4">
        <v>0.0</v>
      </c>
      <c r="F1727" s="4">
        <v>26.0</v>
      </c>
      <c r="G1727" s="4" t="s">
        <v>2588</v>
      </c>
    </row>
    <row r="1728">
      <c r="A1728" s="1">
        <v>1726.0</v>
      </c>
      <c r="B1728" s="4" t="s">
        <v>2629</v>
      </c>
      <c r="C1728" s="5" t="str">
        <f>IFERROR(__xludf.DUMMYFUNCTION("GOOGLETRANSLATE(D:D,""auto"",""en"")"),"Shanghai issued policy burdens")</f>
        <v>Shanghai issued policy burdens</v>
      </c>
      <c r="D1728" s="4" t="s">
        <v>2617</v>
      </c>
      <c r="E1728" s="4">
        <v>0.0</v>
      </c>
      <c r="F1728" s="4">
        <v>27.0</v>
      </c>
      <c r="G1728" s="4" t="s">
        <v>2618</v>
      </c>
    </row>
    <row r="1729">
      <c r="A1729" s="1">
        <v>1727.0</v>
      </c>
      <c r="B1729" s="4" t="s">
        <v>2629</v>
      </c>
      <c r="C1729" s="5" t="str">
        <f>IFERROR(__xludf.DUMMYFUNCTION("GOOGLETRANSLATE(D:D,""auto"",""en"")"),"Gem gem agent responded")</f>
        <v>Gem gem agent responded</v>
      </c>
      <c r="D1729" s="4" t="s">
        <v>2597</v>
      </c>
      <c r="E1729" s="4">
        <v>0.0</v>
      </c>
      <c r="F1729" s="4">
        <v>28.0</v>
      </c>
      <c r="G1729" s="4" t="s">
        <v>2598</v>
      </c>
    </row>
    <row r="1730">
      <c r="A1730" s="1">
        <v>1728.0</v>
      </c>
      <c r="B1730" s="4" t="s">
        <v>2629</v>
      </c>
      <c r="C1730" s="5" t="str">
        <f>IFERROR(__xludf.DUMMYFUNCTION("GOOGLETRANSLATE(D:D,""auto"",""en"")"),"Old man hide a hundred people contacts")</f>
        <v>Old man hide a hundred people contacts</v>
      </c>
      <c r="D1730" s="4" t="s">
        <v>2674</v>
      </c>
      <c r="E1730" s="4">
        <v>0.0</v>
      </c>
      <c r="F1730" s="4">
        <v>29.0</v>
      </c>
      <c r="G1730" s="4" t="s">
        <v>2675</v>
      </c>
    </row>
    <row r="1731">
      <c r="A1731" s="1">
        <v>1729.0</v>
      </c>
      <c r="B1731" s="4" t="s">
        <v>2629</v>
      </c>
      <c r="C1731" s="5" t="str">
        <f>IFERROR(__xludf.DUMMYFUNCTION("GOOGLETRANSLATE(D:D,""auto"",""en"")"),"Of the total confirmed break twenty thousand")</f>
        <v>Of the total confirmed break twenty thousand</v>
      </c>
      <c r="D1731" s="4" t="s">
        <v>2676</v>
      </c>
      <c r="E1731" s="4">
        <v>0.0</v>
      </c>
      <c r="F1731" s="4">
        <v>30.0</v>
      </c>
      <c r="G1731" s="4" t="s">
        <v>2677</v>
      </c>
    </row>
    <row r="1732">
      <c r="A1732" s="1">
        <v>1730.0</v>
      </c>
      <c r="B1732" s="4" t="s">
        <v>2629</v>
      </c>
      <c r="C1732" s="5" t="str">
        <f>IFERROR(__xludf.DUMMYFUNCTION("GOOGLETRANSLATE(D:D,""auto"",""en"")"),"Hainan now infected 3 months")</f>
        <v>Hainan now infected 3 months</v>
      </c>
      <c r="D1732" s="4" t="s">
        <v>2678</v>
      </c>
      <c r="E1732" s="4">
        <v>0.0</v>
      </c>
      <c r="F1732" s="4">
        <v>31.0</v>
      </c>
      <c r="G1732" s="4" t="s">
        <v>2679</v>
      </c>
    </row>
    <row r="1733">
      <c r="A1733" s="1">
        <v>1731.0</v>
      </c>
      <c r="B1733" s="4" t="s">
        <v>2629</v>
      </c>
      <c r="C1733" s="5" t="str">
        <f>IFERROR(__xludf.DUMMYFUNCTION("GOOGLETRANSLATE(D:D,""auto"",""en"")"),"ICU bid farewell to the old couple holding hands")</f>
        <v>ICU bid farewell to the old couple holding hands</v>
      </c>
      <c r="D1733" s="4" t="s">
        <v>2680</v>
      </c>
      <c r="E1733" s="4">
        <v>0.0</v>
      </c>
      <c r="F1733" s="4">
        <v>32.0</v>
      </c>
      <c r="G1733" s="4" t="s">
        <v>2681</v>
      </c>
    </row>
    <row r="1734">
      <c r="A1734" s="1">
        <v>1732.0</v>
      </c>
      <c r="B1734" s="4" t="s">
        <v>2629</v>
      </c>
      <c r="C1734" s="5" t="str">
        <f>IFERROR(__xludf.DUMMYFUNCTION("GOOGLETRANSLATE(D:D,""auto"",""en"")"),"Han returned to Beijing are occasional")</f>
        <v>Han returned to Beijing are occasional</v>
      </c>
      <c r="D1734" s="4" t="s">
        <v>2682</v>
      </c>
      <c r="E1734" s="4">
        <v>0.0</v>
      </c>
      <c r="F1734" s="4">
        <v>33.0</v>
      </c>
      <c r="G1734" s="4" t="s">
        <v>2683</v>
      </c>
    </row>
    <row r="1735">
      <c r="A1735" s="1">
        <v>1733.0</v>
      </c>
      <c r="B1735" s="4" t="s">
        <v>2629</v>
      </c>
      <c r="C1735" s="5" t="str">
        <f>IFERROR(__xludf.DUMMYFUNCTION("GOOGLETRANSLATE(D:D,""auto"",""en"")"),"Beijing from 41 clusters of cases")</f>
        <v>Beijing from 41 clusters of cases</v>
      </c>
      <c r="D1735" s="4" t="s">
        <v>2585</v>
      </c>
      <c r="E1735" s="4">
        <v>0.0</v>
      </c>
      <c r="F1735" s="4">
        <v>34.0</v>
      </c>
      <c r="G1735" s="4" t="s">
        <v>2586</v>
      </c>
    </row>
    <row r="1736">
      <c r="A1736" s="1">
        <v>1734.0</v>
      </c>
      <c r="B1736" s="4" t="s">
        <v>2629</v>
      </c>
      <c r="C1736" s="5" t="str">
        <f>IFERROR(__xludf.DUMMYFUNCTION("GOOGLETRANSLATE(D:D,""auto"",""en"")"),"Bryant was traced to the autopsy report")</f>
        <v>Bryant was traced to the autopsy report</v>
      </c>
      <c r="D1736" s="4" t="s">
        <v>2571</v>
      </c>
      <c r="E1736" s="4">
        <v>0.0</v>
      </c>
      <c r="F1736" s="4">
        <v>35.0</v>
      </c>
      <c r="G1736" s="4" t="s">
        <v>2572</v>
      </c>
    </row>
    <row r="1737">
      <c r="A1737" s="1">
        <v>1735.0</v>
      </c>
      <c r="B1737" s="4" t="s">
        <v>2629</v>
      </c>
      <c r="C1737" s="5" t="str">
        <f>IFERROR(__xludf.DUMMYFUNCTION("GOOGLETRANSLATE(D:D,""auto"",""en"")"),"Hangzhou, the implementation of closed-end management")</f>
        <v>Hangzhou, the implementation of closed-end management</v>
      </c>
      <c r="D1737" s="4" t="s">
        <v>2684</v>
      </c>
      <c r="E1737" s="4">
        <v>0.0</v>
      </c>
      <c r="F1737" s="4">
        <v>36.0</v>
      </c>
      <c r="G1737" s="4" t="s">
        <v>2685</v>
      </c>
    </row>
    <row r="1738">
      <c r="A1738" s="1">
        <v>1736.0</v>
      </c>
      <c r="B1738" s="4" t="s">
        <v>2629</v>
      </c>
      <c r="C1738" s="5" t="str">
        <f>IFERROR(__xludf.DUMMYFUNCTION("GOOGLETRANSLATE(D:D,""auto"",""en"")"),"Shenyang, a case many times dinner")</f>
        <v>Shenyang, a case many times dinner</v>
      </c>
      <c r="D1738" s="4" t="s">
        <v>2686</v>
      </c>
      <c r="E1738" s="4">
        <v>0.0</v>
      </c>
      <c r="F1738" s="4">
        <v>37.0</v>
      </c>
      <c r="G1738" s="4" t="s">
        <v>2687</v>
      </c>
    </row>
    <row r="1739">
      <c r="A1739" s="1">
        <v>1737.0</v>
      </c>
      <c r="B1739" s="4" t="s">
        <v>2629</v>
      </c>
      <c r="C1739" s="5" t="str">
        <f>IFERROR(__xludf.DUMMYFUNCTION("GOOGLETRANSLATE(D:D,""auto"",""en"")"),"Four days buried 140 000 day-old chicks")</f>
        <v>Four days buried 140 000 day-old chicks</v>
      </c>
      <c r="D1739" s="4" t="s">
        <v>2625</v>
      </c>
      <c r="E1739" s="4">
        <v>0.0</v>
      </c>
      <c r="F1739" s="4">
        <v>38.0</v>
      </c>
      <c r="G1739" s="4" t="s">
        <v>2626</v>
      </c>
    </row>
    <row r="1740">
      <c r="A1740" s="1">
        <v>1738.0</v>
      </c>
      <c r="B1740" s="4" t="s">
        <v>2629</v>
      </c>
      <c r="C1740" s="5" t="str">
        <f>IFERROR(__xludf.DUMMYFUNCTION("GOOGLETRANSLATE(D:D,""auto"",""en"")"),"Yiwu Railway Station as meeting")</f>
        <v>Yiwu Railway Station as meeting</v>
      </c>
      <c r="D1740" s="4" t="s">
        <v>2688</v>
      </c>
      <c r="E1740" s="4">
        <v>0.0</v>
      </c>
      <c r="F1740" s="4">
        <v>39.0</v>
      </c>
      <c r="G1740" s="4" t="s">
        <v>2689</v>
      </c>
    </row>
    <row r="1741">
      <c r="A1741" s="1">
        <v>1739.0</v>
      </c>
      <c r="B1741" s="4" t="s">
        <v>2629</v>
      </c>
      <c r="C1741" s="5" t="str">
        <f>IFERROR(__xludf.DUMMYFUNCTION("GOOGLETRANSLATE(D:D,""auto"",""en"")"),"Cure patients with non-infectious")</f>
        <v>Cure patients with non-infectious</v>
      </c>
      <c r="D1741" s="4" t="s">
        <v>2690</v>
      </c>
      <c r="E1741" s="4">
        <v>0.0</v>
      </c>
      <c r="F1741" s="4">
        <v>40.0</v>
      </c>
      <c r="G1741" s="4" t="s">
        <v>2691</v>
      </c>
    </row>
    <row r="1742">
      <c r="A1742" s="1">
        <v>1740.0</v>
      </c>
      <c r="B1742" s="4" t="s">
        <v>2629</v>
      </c>
      <c r="C1742" s="5" t="str">
        <f>IFERROR(__xludf.DUMMYFUNCTION("GOOGLETRANSLATE(D:D,""auto"",""en"")"),"Hainan more than clusters of disease")</f>
        <v>Hainan more than clusters of disease</v>
      </c>
      <c r="D1742" s="4" t="s">
        <v>2573</v>
      </c>
      <c r="E1742" s="4">
        <v>0.0</v>
      </c>
      <c r="F1742" s="4">
        <v>41.0</v>
      </c>
      <c r="G1742" s="4" t="s">
        <v>2574</v>
      </c>
    </row>
    <row r="1743">
      <c r="A1743" s="1">
        <v>1741.0</v>
      </c>
      <c r="B1743" s="4" t="s">
        <v>2629</v>
      </c>
      <c r="C1743" s="5" t="str">
        <f>IFERROR(__xludf.DUMMYFUNCTION("GOOGLETRANSLATE(D:D,""auto"",""en"")"),"Chun Sheng announced that it has married")</f>
        <v>Chun Sheng announced that it has married</v>
      </c>
      <c r="D1743" s="4" t="s">
        <v>2591</v>
      </c>
      <c r="E1743" s="4">
        <v>0.0</v>
      </c>
      <c r="F1743" s="4">
        <v>42.0</v>
      </c>
      <c r="G1743" s="4" t="s">
        <v>2592</v>
      </c>
    </row>
    <row r="1744">
      <c r="A1744" s="1">
        <v>1742.0</v>
      </c>
      <c r="B1744" s="4" t="s">
        <v>2629</v>
      </c>
      <c r="C1744" s="5" t="str">
        <f>IFERROR(__xludf.DUMMYFUNCTION("GOOGLETRANSLATE(D:D,""auto"",""en"")"),"Beijing sent a letter to the city's people")</f>
        <v>Beijing sent a letter to the city's people</v>
      </c>
      <c r="D1744" s="4" t="s">
        <v>2692</v>
      </c>
      <c r="E1744" s="4">
        <v>0.0</v>
      </c>
      <c r="F1744" s="4">
        <v>43.0</v>
      </c>
      <c r="G1744" s="4" t="s">
        <v>2693</v>
      </c>
    </row>
    <row r="1745">
      <c r="A1745" s="1">
        <v>1743.0</v>
      </c>
      <c r="B1745" s="4" t="s">
        <v>2629</v>
      </c>
      <c r="C1745" s="5" t="str">
        <f>IFERROR(__xludf.DUMMYFUNCTION("GOOGLETRANSLATE(D:D,""auto"",""en"")"),"China supports the DPRK funds")</f>
        <v>China supports the DPRK funds</v>
      </c>
      <c r="D1745" s="4" t="s">
        <v>2498</v>
      </c>
      <c r="E1745" s="4">
        <v>0.0</v>
      </c>
      <c r="F1745" s="4">
        <v>44.0</v>
      </c>
      <c r="G1745" s="4" t="s">
        <v>2499</v>
      </c>
    </row>
    <row r="1746">
      <c r="A1746" s="1">
        <v>1744.0</v>
      </c>
      <c r="B1746" s="4" t="s">
        <v>2629</v>
      </c>
      <c r="C1746" s="5" t="str">
        <f>IFERROR(__xludf.DUMMYFUNCTION("GOOGLETRANSLATE(D:D,""auto"",""en"")"),"Canteens eat like exam")</f>
        <v>Canteens eat like exam</v>
      </c>
      <c r="D1746" s="4" t="s">
        <v>2694</v>
      </c>
      <c r="E1746" s="4">
        <v>0.0</v>
      </c>
      <c r="F1746" s="4">
        <v>45.0</v>
      </c>
      <c r="G1746" s="4" t="s">
        <v>2695</v>
      </c>
    </row>
    <row r="1747">
      <c r="A1747" s="1">
        <v>1745.0</v>
      </c>
      <c r="B1747" s="4" t="s">
        <v>2629</v>
      </c>
      <c r="C1747" s="5" t="str">
        <f>IFERROR(__xludf.DUMMYFUNCTION("GOOGLETRANSLATE(D:D,""auto"",""en"")"),"Nanchong murder occurred")</f>
        <v>Nanchong murder occurred</v>
      </c>
      <c r="D1747" s="4" t="s">
        <v>2561</v>
      </c>
      <c r="E1747" s="4">
        <v>0.0</v>
      </c>
      <c r="F1747" s="4">
        <v>46.0</v>
      </c>
      <c r="G1747" s="4" t="s">
        <v>2562</v>
      </c>
    </row>
    <row r="1748">
      <c r="A1748" s="1">
        <v>1746.0</v>
      </c>
      <c r="B1748" s="4" t="s">
        <v>2629</v>
      </c>
      <c r="C1748" s="5" t="str">
        <f>IFERROR(__xludf.DUMMYFUNCTION("GOOGLETRANSLATE(D:D,""auto"",""en"")"),"Multi-national political figures solidarity with China")</f>
        <v>Multi-national political figures solidarity with China</v>
      </c>
      <c r="D1748" s="4" t="s">
        <v>2595</v>
      </c>
      <c r="E1748" s="4">
        <v>0.0</v>
      </c>
      <c r="F1748" s="4">
        <v>47.0</v>
      </c>
      <c r="G1748" s="4" t="s">
        <v>2596</v>
      </c>
    </row>
    <row r="1749">
      <c r="A1749" s="1">
        <v>1747.0</v>
      </c>
      <c r="B1749" s="4" t="s">
        <v>2629</v>
      </c>
      <c r="C1749" s="5" t="str">
        <f>IFERROR(__xludf.DUMMYFUNCTION("GOOGLETRANSLATE(D:D,""auto"",""en"")"),"Hubei confirmed cases broken million")</f>
        <v>Hubei confirmed cases broken million</v>
      </c>
      <c r="D1749" s="4" t="s">
        <v>2551</v>
      </c>
      <c r="E1749" s="4">
        <v>0.0</v>
      </c>
      <c r="F1749" s="4">
        <v>48.0</v>
      </c>
      <c r="G1749" s="4" t="s">
        <v>2552</v>
      </c>
    </row>
    <row r="1750">
      <c r="A1750" s="1">
        <v>1748.0</v>
      </c>
      <c r="B1750" s="4" t="s">
        <v>2629</v>
      </c>
      <c r="C1750" s="5" t="str">
        <f>IFERROR(__xludf.DUMMYFUNCTION("GOOGLETRANSLATE(D:D,""auto"",""en"")"),"Chengdu 5.1 earthquake occurred")</f>
        <v>Chengdu 5.1 earthquake occurred</v>
      </c>
      <c r="D1750" s="4" t="s">
        <v>2549</v>
      </c>
      <c r="E1750" s="4">
        <v>0.0</v>
      </c>
      <c r="F1750" s="4">
        <v>49.0</v>
      </c>
      <c r="G1750" s="4" t="s">
        <v>2550</v>
      </c>
    </row>
    <row r="1751">
      <c r="A1751" s="1">
        <v>1749.0</v>
      </c>
      <c r="B1751" s="4" t="s">
        <v>2629</v>
      </c>
      <c r="C1751" s="5" t="str">
        <f>IFERROR(__xludf.DUMMYFUNCTION("GOOGLETRANSLATE(D:D,""auto"",""en"")"),"Hualien County waters earthquake")</f>
        <v>Hualien County waters earthquake</v>
      </c>
      <c r="D1751" s="4" t="s">
        <v>2696</v>
      </c>
      <c r="E1751" s="4">
        <v>0.0</v>
      </c>
      <c r="F1751" s="4">
        <v>50.0</v>
      </c>
      <c r="G1751" s="4" t="s">
        <v>2697</v>
      </c>
    </row>
    <row r="1752">
      <c r="A1752" s="1">
        <v>1750.0</v>
      </c>
      <c r="B1752" s="4" t="s">
        <v>2698</v>
      </c>
      <c r="C1752" s="5" t="str">
        <f>IFERROR(__xludf.DUMMYFUNCTION("GOOGLETRANSLATE(D:D,""auto"",""en"")"),"Verification 1 30 Award masks")</f>
        <v>Verification 1 30 Award masks</v>
      </c>
      <c r="D1752" s="4" t="s">
        <v>2670</v>
      </c>
      <c r="E1752" s="4">
        <v>0.0</v>
      </c>
      <c r="F1752" s="4">
        <v>1.0</v>
      </c>
      <c r="G1752" s="4" t="s">
        <v>2671</v>
      </c>
    </row>
    <row r="1753">
      <c r="A1753" s="1">
        <v>1751.0</v>
      </c>
      <c r="B1753" s="4" t="s">
        <v>2698</v>
      </c>
      <c r="C1753" s="5" t="str">
        <f>IFERROR(__xludf.DUMMYFUNCTION("GOOGLETRANSLATE(D:D,""auto"",""en"")"),"The central bank reinvested 500 billion")</f>
        <v>The central bank reinvested 500 billion</v>
      </c>
      <c r="D1753" s="4" t="s">
        <v>2658</v>
      </c>
      <c r="E1753" s="4">
        <v>0.0</v>
      </c>
      <c r="F1753" s="4">
        <v>2.0</v>
      </c>
      <c r="G1753" s="4" t="s">
        <v>2659</v>
      </c>
    </row>
    <row r="1754">
      <c r="A1754" s="1">
        <v>1752.0</v>
      </c>
      <c r="B1754" s="4" t="s">
        <v>2698</v>
      </c>
      <c r="C1754" s="5" t="str">
        <f>IFERROR(__xludf.DUMMYFUNCTION("GOOGLETRANSLATE(D:D,""auto"",""en"")"),"Dean Jinyintan hospital Merits")</f>
        <v>Dean Jinyintan hospital Merits</v>
      </c>
      <c r="D1754" s="4" t="s">
        <v>2664</v>
      </c>
      <c r="E1754" s="4">
        <v>0.0</v>
      </c>
      <c r="F1754" s="4">
        <v>3.0</v>
      </c>
      <c r="G1754" s="4" t="s">
        <v>2665</v>
      </c>
    </row>
    <row r="1755">
      <c r="A1755" s="1">
        <v>1753.0</v>
      </c>
      <c r="B1755" s="4" t="s">
        <v>2698</v>
      </c>
      <c r="C1755" s="5" t="str">
        <f>IFERROR(__xludf.DUMMYFUNCTION("GOOGLETRANSLATE(D:D,""auto"",""en"")"),"Ate barbecue after diagnosis")</f>
        <v>Ate barbecue after diagnosis</v>
      </c>
      <c r="D1755" s="4" t="s">
        <v>2699</v>
      </c>
      <c r="E1755" s="4">
        <v>0.0</v>
      </c>
      <c r="F1755" s="4">
        <v>4.0</v>
      </c>
      <c r="G1755" s="4" t="s">
        <v>2700</v>
      </c>
    </row>
    <row r="1756">
      <c r="A1756" s="1">
        <v>1754.0</v>
      </c>
      <c r="B1756" s="4" t="s">
        <v>2698</v>
      </c>
      <c r="C1756" s="5" t="str">
        <f>IFERROR(__xludf.DUMMYFUNCTION("GOOGLETRANSLATE(D:D,""auto"",""en"")"),"1.97 million fake masks into Hunan")</f>
        <v>1.97 million fake masks into Hunan</v>
      </c>
      <c r="D1756" s="4" t="s">
        <v>2701</v>
      </c>
      <c r="E1756" s="4">
        <v>0.0</v>
      </c>
      <c r="F1756" s="4">
        <v>5.0</v>
      </c>
      <c r="G1756" s="4" t="s">
        <v>2702</v>
      </c>
    </row>
    <row r="1757">
      <c r="A1757" s="1">
        <v>1755.0</v>
      </c>
      <c r="B1757" s="4" t="s">
        <v>2698</v>
      </c>
      <c r="C1757" s="5" t="str">
        <f>IFERROR(__xludf.DUMMYFUNCTION("GOOGLETRANSLATE(D:D,""auto"",""en"")"),"Many buildings made popular Wuhan Dong")</f>
        <v>Many buildings made popular Wuhan Dong</v>
      </c>
      <c r="D1757" s="4" t="s">
        <v>2703</v>
      </c>
      <c r="E1757" s="4">
        <v>0.0</v>
      </c>
      <c r="F1757" s="4">
        <v>6.0</v>
      </c>
      <c r="G1757" s="4" t="s">
        <v>2704</v>
      </c>
    </row>
    <row r="1758">
      <c r="A1758" s="1">
        <v>1756.0</v>
      </c>
      <c r="B1758" s="4" t="s">
        <v>2698</v>
      </c>
      <c r="C1758" s="5" t="str">
        <f>IFERROR(__xludf.DUMMYFUNCTION("GOOGLETRANSLATE(D:D,""auto"",""en"")"),"Japan cruise now gathered infection")</f>
        <v>Japan cruise now gathered infection</v>
      </c>
      <c r="D1758" s="4" t="s">
        <v>2705</v>
      </c>
      <c r="E1758" s="4">
        <v>0.0</v>
      </c>
      <c r="F1758" s="4">
        <v>7.0</v>
      </c>
      <c r="G1758" s="4" t="s">
        <v>2706</v>
      </c>
    </row>
    <row r="1759">
      <c r="A1759" s="1">
        <v>1757.0</v>
      </c>
      <c r="B1759" s="4" t="s">
        <v>2698</v>
      </c>
      <c r="C1759" s="5" t="str">
        <f>IFERROR(__xludf.DUMMYFUNCTION("GOOGLETRANSLATE(D:D,""auto"",""en"")"),"Vulcan mountain into medical insurance")</f>
        <v>Vulcan mountain into medical insurance</v>
      </c>
      <c r="D1759" s="4" t="s">
        <v>2707</v>
      </c>
      <c r="E1759" s="4">
        <v>0.0</v>
      </c>
      <c r="F1759" s="4">
        <v>8.0</v>
      </c>
      <c r="G1759" s="4" t="s">
        <v>2708</v>
      </c>
    </row>
    <row r="1760">
      <c r="A1760" s="1">
        <v>1758.0</v>
      </c>
      <c r="B1760" s="4" t="s">
        <v>2698</v>
      </c>
      <c r="C1760" s="5" t="str">
        <f>IFERROR(__xludf.DUMMYFUNCTION("GOOGLETRANSLATE(D:D,""auto"",""en"")"),"Shenzhen confirmed cases were on file")</f>
        <v>Shenzhen confirmed cases were on file</v>
      </c>
      <c r="D1760" s="4" t="s">
        <v>2709</v>
      </c>
      <c r="E1760" s="4">
        <v>0.0</v>
      </c>
      <c r="F1760" s="4">
        <v>9.0</v>
      </c>
      <c r="G1760" s="4" t="s">
        <v>2710</v>
      </c>
    </row>
    <row r="1761">
      <c r="A1761" s="1">
        <v>1759.0</v>
      </c>
      <c r="B1761" s="4" t="s">
        <v>2698</v>
      </c>
      <c r="C1761" s="5" t="str">
        <f>IFERROR(__xludf.DUMMYFUNCTION("GOOGLETRANSLATE(D:D,""auto"",""en"")"),"Vulcan Mountain stay patient reports")</f>
        <v>Vulcan Mountain stay patient reports</v>
      </c>
      <c r="D1761" s="4" t="s">
        <v>2711</v>
      </c>
      <c r="E1761" s="4">
        <v>0.0</v>
      </c>
      <c r="F1761" s="4">
        <v>10.0</v>
      </c>
      <c r="G1761" s="4" t="s">
        <v>2712</v>
      </c>
    </row>
    <row r="1762">
      <c r="A1762" s="1">
        <v>1760.0</v>
      </c>
      <c r="B1762" s="4" t="s">
        <v>2698</v>
      </c>
      <c r="C1762" s="5" t="str">
        <f>IFERROR(__xludf.DUMMYFUNCTION("GOOGLETRANSLATE(D:D,""auto"",""en"")"),"Nanjing clinic fully closing the office")</f>
        <v>Nanjing clinic fully closing the office</v>
      </c>
      <c r="D1762" s="4" t="s">
        <v>2713</v>
      </c>
      <c r="E1762" s="4">
        <v>0.0</v>
      </c>
      <c r="F1762" s="4">
        <v>11.0</v>
      </c>
      <c r="G1762" s="4" t="s">
        <v>2714</v>
      </c>
    </row>
    <row r="1763">
      <c r="A1763" s="1">
        <v>1761.0</v>
      </c>
      <c r="B1763" s="4" t="s">
        <v>2698</v>
      </c>
      <c r="C1763" s="5" t="str">
        <f>IFERROR(__xludf.DUMMYFUNCTION("GOOGLETRANSLATE(D:D,""auto"",""en"")"),"Super Wuhan Ezhou mortality")</f>
        <v>Super Wuhan Ezhou mortality</v>
      </c>
      <c r="D1763" s="4" t="s">
        <v>2715</v>
      </c>
      <c r="E1763" s="4">
        <v>0.0</v>
      </c>
      <c r="F1763" s="4">
        <v>12.0</v>
      </c>
      <c r="G1763" s="4" t="s">
        <v>2716</v>
      </c>
    </row>
    <row r="1764">
      <c r="A1764" s="1">
        <v>1762.0</v>
      </c>
      <c r="B1764" s="4" t="s">
        <v>2698</v>
      </c>
      <c r="C1764" s="5" t="str">
        <f>IFERROR(__xludf.DUMMYFUNCTION("GOOGLETRANSLATE(D:D,""auto"",""en"")"),"UV-sensitive virus")</f>
        <v>UV-sensitive virus</v>
      </c>
      <c r="D1764" s="4" t="s">
        <v>2717</v>
      </c>
      <c r="E1764" s="4">
        <v>0.0</v>
      </c>
      <c r="F1764" s="4">
        <v>13.0</v>
      </c>
      <c r="G1764" s="4" t="s">
        <v>2718</v>
      </c>
    </row>
    <row r="1765">
      <c r="A1765" s="1">
        <v>1763.0</v>
      </c>
      <c r="B1765" s="4" t="s">
        <v>2698</v>
      </c>
      <c r="C1765" s="5" t="str">
        <f>IFERROR(__xludf.DUMMYFUNCTION("GOOGLETRANSLATE(D:D,""auto"",""en"")"),"2020 Central Document No.")</f>
        <v>2020 Central Document No.</v>
      </c>
      <c r="D1765" s="4" t="s">
        <v>2719</v>
      </c>
      <c r="E1765" s="4">
        <v>0.0</v>
      </c>
      <c r="F1765" s="4">
        <v>14.0</v>
      </c>
      <c r="G1765" s="4" t="s">
        <v>2720</v>
      </c>
    </row>
    <row r="1766">
      <c r="A1766" s="1">
        <v>1764.0</v>
      </c>
      <c r="B1766" s="4" t="s">
        <v>2698</v>
      </c>
      <c r="C1766" s="5" t="str">
        <f>IFERROR(__xludf.DUMMYFUNCTION("GOOGLETRANSLATE(D:D,""auto"",""en"")"),"Epidemic or inflection point will appear")</f>
        <v>Epidemic or inflection point will appear</v>
      </c>
      <c r="D1766" s="4" t="s">
        <v>2644</v>
      </c>
      <c r="E1766" s="4">
        <v>0.0</v>
      </c>
      <c r="F1766" s="4">
        <v>15.0</v>
      </c>
      <c r="G1766" s="4" t="s">
        <v>2645</v>
      </c>
    </row>
    <row r="1767">
      <c r="A1767" s="1">
        <v>1765.0</v>
      </c>
      <c r="B1767" s="4" t="s">
        <v>2698</v>
      </c>
      <c r="C1767" s="5" t="str">
        <f>IFERROR(__xludf.DUMMYFUNCTION("GOOGLETRANSLATE(D:D,""auto"",""en"")"),"Conspiracy theorists are talking about Wuhan Institute of Virology")</f>
        <v>Conspiracy theorists are talking about Wuhan Institute of Virology</v>
      </c>
      <c r="D1767" s="4" t="s">
        <v>2656</v>
      </c>
      <c r="E1767" s="4">
        <v>0.0</v>
      </c>
      <c r="F1767" s="4">
        <v>16.0</v>
      </c>
      <c r="G1767" s="4" t="s">
        <v>2657</v>
      </c>
    </row>
    <row r="1768">
      <c r="A1768" s="1">
        <v>1766.0</v>
      </c>
      <c r="B1768" s="4" t="s">
        <v>2698</v>
      </c>
      <c r="C1768" s="5" t="str">
        <f>IFERROR(__xludf.DUMMYFUNCTION("GOOGLETRANSLATE(D:D,""auto"",""en"")"),"Zhong Nanshan donate oxygen hundred units")</f>
        <v>Zhong Nanshan donate oxygen hundred units</v>
      </c>
      <c r="D1768" s="4" t="s">
        <v>2668</v>
      </c>
      <c r="E1768" s="4">
        <v>0.0</v>
      </c>
      <c r="F1768" s="4">
        <v>17.0</v>
      </c>
      <c r="G1768" s="4" t="s">
        <v>2669</v>
      </c>
    </row>
    <row r="1769">
      <c r="A1769" s="1">
        <v>1767.0</v>
      </c>
      <c r="B1769" s="4" t="s">
        <v>2698</v>
      </c>
      <c r="C1769" s="5" t="str">
        <f>IFERROR(__xludf.DUMMYFUNCTION("GOOGLETRANSLATE(D:D,""auto"",""en"")"),"Li Lanjuan sleep three hours a day")</f>
        <v>Li Lanjuan sleep three hours a day</v>
      </c>
      <c r="D1769" s="4" t="s">
        <v>2721</v>
      </c>
      <c r="E1769" s="4">
        <v>0.0</v>
      </c>
      <c r="F1769" s="4">
        <v>18.0</v>
      </c>
      <c r="G1769" s="4" t="s">
        <v>2722</v>
      </c>
    </row>
    <row r="1770">
      <c r="A1770" s="1">
        <v>1768.0</v>
      </c>
      <c r="B1770" s="4" t="s">
        <v>2698</v>
      </c>
      <c r="C1770" s="5" t="str">
        <f>IFERROR(__xludf.DUMMYFUNCTION("GOOGLETRANSLATE(D:D,""auto"",""en"")"),"Russian military aircraft flew to Wuhan")</f>
        <v>Russian military aircraft flew to Wuhan</v>
      </c>
      <c r="D1770" s="4" t="s">
        <v>2723</v>
      </c>
      <c r="E1770" s="4">
        <v>0.0</v>
      </c>
      <c r="F1770" s="4">
        <v>19.0</v>
      </c>
      <c r="G1770" s="4" t="s">
        <v>2724</v>
      </c>
    </row>
    <row r="1771">
      <c r="A1771" s="1">
        <v>1769.0</v>
      </c>
      <c r="B1771" s="4" t="s">
        <v>2698</v>
      </c>
      <c r="C1771" s="5" t="str">
        <f>IFERROR(__xludf.DUMMYFUNCTION("GOOGLETRANSLATE(D:D,""auto"",""en"")"),"Cure patients with non-infectious")</f>
        <v>Cure patients with non-infectious</v>
      </c>
      <c r="D1771" s="4" t="s">
        <v>2690</v>
      </c>
      <c r="E1771" s="4">
        <v>0.0</v>
      </c>
      <c r="F1771" s="4">
        <v>20.0</v>
      </c>
      <c r="G1771" s="4" t="s">
        <v>2691</v>
      </c>
    </row>
    <row r="1772">
      <c r="A1772" s="1">
        <v>1770.0</v>
      </c>
      <c r="B1772" s="4" t="s">
        <v>2698</v>
      </c>
      <c r="C1772" s="5" t="str">
        <f>IFERROR(__xludf.DUMMYFUNCTION("GOOGLETRANSLATE(D:D,""auto"",""en"")"),"Wuhan Institute of Virology important progress")</f>
        <v>Wuhan Institute of Virology important progress</v>
      </c>
      <c r="D1772" s="4" t="s">
        <v>2725</v>
      </c>
      <c r="E1772" s="4">
        <v>0.0</v>
      </c>
      <c r="F1772" s="4">
        <v>21.0</v>
      </c>
      <c r="G1772" s="4" t="s">
        <v>2726</v>
      </c>
    </row>
    <row r="1773">
      <c r="A1773" s="1">
        <v>1771.0</v>
      </c>
      <c r="B1773" s="4" t="s">
        <v>2698</v>
      </c>
      <c r="C1773" s="5" t="str">
        <f>IFERROR(__xludf.DUMMYFUNCTION("GOOGLETRANSLATE(D:D,""auto"",""en"")"),"Henan thorough investigation to conceal the epidemic")</f>
        <v>Henan thorough investigation to conceal the epidemic</v>
      </c>
      <c r="D1773" s="4" t="s">
        <v>2632</v>
      </c>
      <c r="E1773" s="4">
        <v>0.0</v>
      </c>
      <c r="F1773" s="4">
        <v>22.0</v>
      </c>
      <c r="G1773" s="4" t="s">
        <v>2633</v>
      </c>
    </row>
    <row r="1774">
      <c r="A1774" s="1">
        <v>1772.0</v>
      </c>
      <c r="B1774" s="4" t="s">
        <v>2698</v>
      </c>
      <c r="C1774" s="5" t="str">
        <f>IFERROR(__xludf.DUMMYFUNCTION("GOOGLETRANSLATE(D:D,""auto"",""en"")"),"Nurse lost due masks burst into tears")</f>
        <v>Nurse lost due masks burst into tears</v>
      </c>
      <c r="D1774" s="4" t="s">
        <v>2727</v>
      </c>
      <c r="E1774" s="4">
        <v>0.0</v>
      </c>
      <c r="F1774" s="4">
        <v>23.0</v>
      </c>
      <c r="G1774" s="4" t="s">
        <v>2728</v>
      </c>
    </row>
    <row r="1775">
      <c r="A1775" s="1">
        <v>1773.0</v>
      </c>
      <c r="B1775" s="4" t="s">
        <v>2698</v>
      </c>
      <c r="C1775" s="5" t="str">
        <f>IFERROR(__xludf.DUMMYFUNCTION("GOOGLETRANSLATE(D:D,""auto"",""en"")"),"Beijing introduced 19 measures")</f>
        <v>Beijing introduced 19 measures</v>
      </c>
      <c r="D1775" s="4" t="s">
        <v>2599</v>
      </c>
      <c r="E1775" s="4">
        <v>0.0</v>
      </c>
      <c r="F1775" s="4">
        <v>24.0</v>
      </c>
      <c r="G1775" s="4" t="s">
        <v>2600</v>
      </c>
    </row>
    <row r="1776">
      <c r="A1776" s="1">
        <v>1774.0</v>
      </c>
      <c r="B1776" s="4" t="s">
        <v>2698</v>
      </c>
      <c r="C1776" s="5" t="str">
        <f>IFERROR(__xludf.DUMMYFUNCTION("GOOGLETRANSLATE(D:D,""auto"",""en"")"),"Hun Sen visited China declined Wuhan")</f>
        <v>Hun Sen visited China declined Wuhan</v>
      </c>
      <c r="D1776" s="4" t="s">
        <v>2729</v>
      </c>
      <c r="E1776" s="4">
        <v>0.0</v>
      </c>
      <c r="F1776" s="4">
        <v>25.0</v>
      </c>
      <c r="G1776" s="4" t="s">
        <v>2730</v>
      </c>
    </row>
    <row r="1777">
      <c r="A1777" s="1">
        <v>1775.0</v>
      </c>
      <c r="B1777" s="4" t="s">
        <v>2698</v>
      </c>
      <c r="C1777" s="5" t="str">
        <f>IFERROR(__xludf.DUMMYFUNCTION("GOOGLETRANSLATE(D:D,""auto"",""en"")"),"Jackie Chan Yin Zhengyi Contributions")</f>
        <v>Jackie Chan Yin Zhengyi Contributions</v>
      </c>
      <c r="D1777" s="4" t="s">
        <v>2731</v>
      </c>
      <c r="E1777" s="4">
        <v>0.0</v>
      </c>
      <c r="F1777" s="4">
        <v>26.0</v>
      </c>
      <c r="G1777" s="4" t="s">
        <v>2732</v>
      </c>
    </row>
    <row r="1778">
      <c r="A1778" s="1">
        <v>1776.0</v>
      </c>
      <c r="B1778" s="4" t="s">
        <v>2698</v>
      </c>
      <c r="C1778" s="5" t="str">
        <f>IFERROR(__xludf.DUMMYFUNCTION("GOOGLETRANSLATE(D:D,""auto"",""en"")"),"Tianjin disease deaths")</f>
        <v>Tianjin disease deaths</v>
      </c>
      <c r="D1778" s="4" t="s">
        <v>2733</v>
      </c>
      <c r="E1778" s="4">
        <v>0.0</v>
      </c>
      <c r="F1778" s="4">
        <v>27.0</v>
      </c>
      <c r="G1778" s="4" t="s">
        <v>2734</v>
      </c>
    </row>
    <row r="1779">
      <c r="A1779" s="1">
        <v>1777.0</v>
      </c>
      <c r="B1779" s="4" t="s">
        <v>2698</v>
      </c>
      <c r="C1779" s="5" t="str">
        <f>IFERROR(__xludf.DUMMYFUNCTION("GOOGLETRANSLATE(D:D,""auto"",""en"")"),"Saliva wipe elevator key jingfangxingju")</f>
        <v>Saliva wipe elevator key jingfangxingju</v>
      </c>
      <c r="D1779" s="4" t="s">
        <v>2735</v>
      </c>
      <c r="E1779" s="4">
        <v>0.0</v>
      </c>
      <c r="F1779" s="4">
        <v>28.0</v>
      </c>
      <c r="G1779" s="4" t="s">
        <v>2736</v>
      </c>
    </row>
    <row r="1780">
      <c r="A1780" s="1">
        <v>1778.0</v>
      </c>
      <c r="B1780" s="4" t="s">
        <v>2698</v>
      </c>
      <c r="C1780" s="5" t="str">
        <f>IFERROR(__xludf.DUMMYFUNCTION("GOOGLETRANSLATE(D:D,""auto"",""en"")"),"7 province now asymptomatic infection")</f>
        <v>7 province now asymptomatic infection</v>
      </c>
      <c r="D1780" s="4" t="s">
        <v>2640</v>
      </c>
      <c r="E1780" s="4">
        <v>0.0</v>
      </c>
      <c r="F1780" s="4">
        <v>29.0</v>
      </c>
      <c r="G1780" s="4" t="s">
        <v>2641</v>
      </c>
    </row>
    <row r="1781">
      <c r="A1781" s="1">
        <v>1779.0</v>
      </c>
      <c r="B1781" s="4" t="s">
        <v>2698</v>
      </c>
      <c r="C1781" s="5" t="str">
        <f>IFERROR(__xludf.DUMMYFUNCTION("GOOGLETRANSLATE(D:D,""auto"",""en"")"),"Official detained ahead of the resumption of work")</f>
        <v>Official detained ahead of the resumption of work</v>
      </c>
      <c r="D1781" s="4" t="s">
        <v>2660</v>
      </c>
      <c r="E1781" s="4">
        <v>0.0</v>
      </c>
      <c r="F1781" s="4">
        <v>30.0</v>
      </c>
      <c r="G1781" s="4" t="s">
        <v>2661</v>
      </c>
    </row>
    <row r="1782">
      <c r="A1782" s="1">
        <v>1780.0</v>
      </c>
      <c r="B1782" s="4" t="s">
        <v>2698</v>
      </c>
      <c r="C1782" s="5" t="str">
        <f>IFERROR(__xludf.DUMMYFUNCTION("GOOGLETRANSLATE(D:D,""auto"",""en"")"),"Wei health committee to respond to the epidemic peak")</f>
        <v>Wei health committee to respond to the epidemic peak</v>
      </c>
      <c r="D1782" s="4" t="s">
        <v>2737</v>
      </c>
      <c r="E1782" s="4">
        <v>0.0</v>
      </c>
      <c r="F1782" s="4">
        <v>31.0</v>
      </c>
      <c r="G1782" s="4" t="s">
        <v>2738</v>
      </c>
    </row>
    <row r="1783">
      <c r="A1783" s="1">
        <v>1781.0</v>
      </c>
      <c r="B1783" s="4" t="s">
        <v>2698</v>
      </c>
      <c r="C1783" s="5" t="str">
        <f>IFERROR(__xludf.DUMMYFUNCTION("GOOGLETRANSLATE(D:D,""auto"",""en"")"),"Wuhan two cases of critically ill heal")</f>
        <v>Wuhan two cases of critically ill heal</v>
      </c>
      <c r="D1783" s="4" t="s">
        <v>2666</v>
      </c>
      <c r="E1783" s="4">
        <v>0.0</v>
      </c>
      <c r="F1783" s="4">
        <v>32.0</v>
      </c>
      <c r="G1783" s="4" t="s">
        <v>2667</v>
      </c>
    </row>
    <row r="1784">
      <c r="A1784" s="1">
        <v>1782.0</v>
      </c>
      <c r="B1784" s="4" t="s">
        <v>2698</v>
      </c>
      <c r="C1784" s="5" t="str">
        <f>IFERROR(__xludf.DUMMYFUNCTION("GOOGLETRANSLATE(D:D,""auto"",""en"")"),"Li Yutong open affair")</f>
        <v>Li Yutong open affair</v>
      </c>
      <c r="D1784" s="4" t="s">
        <v>2739</v>
      </c>
      <c r="E1784" s="4">
        <v>0.0</v>
      </c>
      <c r="F1784" s="4">
        <v>33.0</v>
      </c>
      <c r="G1784" s="4" t="s">
        <v>2740</v>
      </c>
    </row>
    <row r="1785">
      <c r="A1785" s="1">
        <v>1783.0</v>
      </c>
      <c r="B1785" s="4" t="s">
        <v>2698</v>
      </c>
      <c r="C1785" s="5" t="str">
        <f>IFERROR(__xludf.DUMMYFUNCTION("GOOGLETRANSLATE(D:D,""auto"",""en"")"),"Yueqing City, Zhejiang announced closure")</f>
        <v>Yueqing City, Zhejiang announced closure</v>
      </c>
      <c r="D1785" s="4" t="s">
        <v>2741</v>
      </c>
      <c r="E1785" s="4">
        <v>0.0</v>
      </c>
      <c r="F1785" s="4">
        <v>34.0</v>
      </c>
      <c r="G1785" s="4" t="s">
        <v>2742</v>
      </c>
    </row>
    <row r="1786">
      <c r="A1786" s="1">
        <v>1784.0</v>
      </c>
      <c r="B1786" s="4" t="s">
        <v>2698</v>
      </c>
      <c r="C1786" s="5" t="str">
        <f>IFERROR(__xludf.DUMMYFUNCTION("GOOGLETRANSLATE(D:D,""auto"",""en"")"),"New suspected continuous decline")</f>
        <v>New suspected continuous decline</v>
      </c>
      <c r="D1786" s="4" t="s">
        <v>2743</v>
      </c>
      <c r="E1786" s="4">
        <v>0.0</v>
      </c>
      <c r="F1786" s="4">
        <v>35.0</v>
      </c>
      <c r="G1786" s="4" t="s">
        <v>2744</v>
      </c>
    </row>
    <row r="1787">
      <c r="A1787" s="1">
        <v>1785.0</v>
      </c>
      <c r="B1787" s="4" t="s">
        <v>2698</v>
      </c>
      <c r="C1787" s="5" t="str">
        <f>IFERROR(__xludf.DUMMYFUNCTION("GOOGLETRANSLATE(D:D,""auto"",""en"")"),"10 most stressful city epidemic prevention")</f>
        <v>10 most stressful city epidemic prevention</v>
      </c>
      <c r="D1787" s="4" t="s">
        <v>2745</v>
      </c>
      <c r="E1787" s="4">
        <v>0.0</v>
      </c>
      <c r="F1787" s="4">
        <v>36.0</v>
      </c>
      <c r="G1787" s="4" t="s">
        <v>2746</v>
      </c>
    </row>
    <row r="1788">
      <c r="A1788" s="1">
        <v>1786.0</v>
      </c>
      <c r="B1788" s="4" t="s">
        <v>2698</v>
      </c>
      <c r="C1788" s="5" t="str">
        <f>IFERROR(__xludf.DUMMYFUNCTION("GOOGLETRANSLATE(D:D,""auto"",""en"")"),"4 to 10 patients diagnosed Tianfei")</f>
        <v>4 to 10 patients diagnosed Tianfei</v>
      </c>
      <c r="D1788" s="4" t="s">
        <v>2747</v>
      </c>
      <c r="E1788" s="4">
        <v>0.0</v>
      </c>
      <c r="F1788" s="4">
        <v>37.0</v>
      </c>
      <c r="G1788" s="4" t="s">
        <v>2748</v>
      </c>
    </row>
    <row r="1789">
      <c r="A1789" s="1">
        <v>1787.0</v>
      </c>
      <c r="B1789" s="4" t="s">
        <v>2698</v>
      </c>
      <c r="C1789" s="5" t="str">
        <f>IFERROR(__xludf.DUMMYFUNCTION("GOOGLETRANSLATE(D:D,""auto"",""en"")"),"Taxi drivers carrying hundreds of people diagnosed")</f>
        <v>Taxi drivers carrying hundreds of people diagnosed</v>
      </c>
      <c r="D1789" s="4" t="s">
        <v>2650</v>
      </c>
      <c r="E1789" s="4">
        <v>0.0</v>
      </c>
      <c r="F1789" s="4">
        <v>38.0</v>
      </c>
      <c r="G1789" s="4" t="s">
        <v>2651</v>
      </c>
    </row>
    <row r="1790">
      <c r="A1790" s="1">
        <v>1788.0</v>
      </c>
      <c r="B1790" s="4" t="s">
        <v>2698</v>
      </c>
      <c r="C1790" s="5" t="str">
        <f>IFERROR(__xludf.DUMMYFUNCTION("GOOGLETRANSLATE(D:D,""auto"",""en"")"),"Shenyang, a case many times dinner")</f>
        <v>Shenyang, a case many times dinner</v>
      </c>
      <c r="D1790" s="4" t="s">
        <v>2686</v>
      </c>
      <c r="E1790" s="4">
        <v>0.0</v>
      </c>
      <c r="F1790" s="4">
        <v>39.0</v>
      </c>
      <c r="G1790" s="4" t="s">
        <v>2687</v>
      </c>
    </row>
    <row r="1791">
      <c r="A1791" s="1">
        <v>1789.0</v>
      </c>
      <c r="B1791" s="4" t="s">
        <v>2698</v>
      </c>
      <c r="C1791" s="5" t="str">
        <f>IFERROR(__xludf.DUMMYFUNCTION("GOOGLETRANSLATE(D:D,""auto"",""en"")"),"Of the total confirmed break twenty thousand")</f>
        <v>Of the total confirmed break twenty thousand</v>
      </c>
      <c r="D1791" s="4" t="s">
        <v>2676</v>
      </c>
      <c r="E1791" s="4">
        <v>0.0</v>
      </c>
      <c r="F1791" s="4">
        <v>40.0</v>
      </c>
      <c r="G1791" s="4" t="s">
        <v>2677</v>
      </c>
    </row>
    <row r="1792">
      <c r="A1792" s="1">
        <v>1790.0</v>
      </c>
      <c r="B1792" s="4" t="s">
        <v>2698</v>
      </c>
      <c r="C1792" s="5" t="str">
        <f>IFERROR(__xludf.DUMMYFUNCTION("GOOGLETRANSLATE(D:D,""auto"",""en"")"),"People's Daily batch filling fight against SARS")</f>
        <v>People's Daily batch filling fight against SARS</v>
      </c>
      <c r="D1792" s="4" t="s">
        <v>2749</v>
      </c>
      <c r="E1792" s="4">
        <v>0.0</v>
      </c>
      <c r="F1792" s="4">
        <v>41.0</v>
      </c>
      <c r="G1792" s="4" t="s">
        <v>2750</v>
      </c>
    </row>
    <row r="1793">
      <c r="A1793" s="1">
        <v>1791.0</v>
      </c>
      <c r="B1793" s="4" t="s">
        <v>2698</v>
      </c>
      <c r="C1793" s="5" t="str">
        <f>IFERROR(__xludf.DUMMYFUNCTION("GOOGLETRANSLATE(D:D,""auto"",""en"")"),"Four thousand men actuator is isolated")</f>
        <v>Four thousand men actuator is isolated</v>
      </c>
      <c r="D1793" s="4" t="s">
        <v>2751</v>
      </c>
      <c r="E1793" s="4">
        <v>0.0</v>
      </c>
      <c r="F1793" s="4">
        <v>42.0</v>
      </c>
      <c r="G1793" s="4" t="s">
        <v>2752</v>
      </c>
    </row>
    <row r="1794">
      <c r="A1794" s="1">
        <v>1792.0</v>
      </c>
      <c r="B1794" s="4" t="s">
        <v>2698</v>
      </c>
      <c r="C1794" s="5" t="str">
        <f>IFERROR(__xludf.DUMMYFUNCTION("GOOGLETRANSLATE(D:D,""auto"",""en"")"),"Delayed start schedule provinces")</f>
        <v>Delayed start schedule provinces</v>
      </c>
      <c r="D1794" s="4" t="s">
        <v>2753</v>
      </c>
      <c r="E1794" s="4">
        <v>0.0</v>
      </c>
      <c r="F1794" s="4">
        <v>43.0</v>
      </c>
      <c r="G1794" s="4" t="s">
        <v>2754</v>
      </c>
    </row>
    <row r="1795">
      <c r="A1795" s="1">
        <v>1793.0</v>
      </c>
      <c r="B1795" s="4" t="s">
        <v>2698</v>
      </c>
      <c r="C1795" s="5" t="str">
        <f>IFERROR(__xludf.DUMMYFUNCTION("GOOGLETRANSLATE(D:D,""auto"",""en"")"),"68 people isolation caused deliberately concealed")</f>
        <v>68 people isolation caused deliberately concealed</v>
      </c>
      <c r="D1795" s="4" t="s">
        <v>2755</v>
      </c>
      <c r="E1795" s="4">
        <v>0.0</v>
      </c>
      <c r="F1795" s="4">
        <v>44.0</v>
      </c>
      <c r="G1795" s="4" t="s">
        <v>2756</v>
      </c>
    </row>
    <row r="1796">
      <c r="A1796" s="1">
        <v>1794.0</v>
      </c>
      <c r="B1796" s="4" t="s">
        <v>2698</v>
      </c>
      <c r="C1796" s="5" t="str">
        <f>IFERROR(__xludf.DUMMYFUNCTION("GOOGLETRANSLATE(D:D,""auto"",""en"")"),"Bao photograph was traced")</f>
        <v>Bao photograph was traced</v>
      </c>
      <c r="D1796" s="4" t="s">
        <v>2757</v>
      </c>
      <c r="E1796" s="4">
        <v>0.0</v>
      </c>
      <c r="F1796" s="4">
        <v>45.0</v>
      </c>
      <c r="G1796" s="4" t="s">
        <v>2758</v>
      </c>
    </row>
    <row r="1797">
      <c r="A1797" s="1">
        <v>1795.0</v>
      </c>
      <c r="B1797" s="4" t="s">
        <v>2698</v>
      </c>
      <c r="C1797" s="5" t="str">
        <f>IFERROR(__xludf.DUMMYFUNCTION("GOOGLETRANSLATE(D:D,""auto"",""en"")"),"Five drugs may be effective")</f>
        <v>Five drugs may be effective</v>
      </c>
      <c r="D1797" s="4" t="s">
        <v>2759</v>
      </c>
      <c r="E1797" s="4">
        <v>0.0</v>
      </c>
      <c r="F1797" s="4">
        <v>46.0</v>
      </c>
      <c r="G1797" s="4" t="s">
        <v>2760</v>
      </c>
    </row>
    <row r="1798">
      <c r="A1798" s="1">
        <v>1796.0</v>
      </c>
      <c r="B1798" s="4" t="s">
        <v>2698</v>
      </c>
      <c r="C1798" s="5" t="str">
        <f>IFERROR(__xludf.DUMMYFUNCTION("GOOGLETRANSLATE(D:D,""auto"",""en"")"),"Pan Yue Ming for his son birthday")</f>
        <v>Pan Yue Ming for his son birthday</v>
      </c>
      <c r="D1798" s="4" t="s">
        <v>2761</v>
      </c>
      <c r="E1798" s="4">
        <v>0.0</v>
      </c>
      <c r="F1798" s="4">
        <v>47.0</v>
      </c>
      <c r="G1798" s="4" t="s">
        <v>2762</v>
      </c>
    </row>
    <row r="1799">
      <c r="A1799" s="1">
        <v>1797.0</v>
      </c>
      <c r="B1799" s="4" t="s">
        <v>2698</v>
      </c>
      <c r="C1799" s="5" t="str">
        <f>IFERROR(__xludf.DUMMYFUNCTION("GOOGLETRANSLATE(D:D,""auto"",""en"")"),"Zhong Nanshan doubts epidemic prevention and control")</f>
        <v>Zhong Nanshan doubts epidemic prevention and control</v>
      </c>
      <c r="D1799" s="4" t="s">
        <v>2630</v>
      </c>
      <c r="E1799" s="4">
        <v>0.0</v>
      </c>
      <c r="F1799" s="4">
        <v>48.0</v>
      </c>
      <c r="G1799" s="4" t="s">
        <v>2631</v>
      </c>
    </row>
    <row r="1800">
      <c r="A1800" s="1">
        <v>1798.0</v>
      </c>
      <c r="B1800" s="4" t="s">
        <v>2698</v>
      </c>
      <c r="C1800" s="5" t="str">
        <f>IFERROR(__xludf.DUMMYFUNCTION("GOOGLETRANSLATE(D:D,""auto"",""en"")"),"Duty uncle forgot to turn off the horn")</f>
        <v>Duty uncle forgot to turn off the horn</v>
      </c>
      <c r="D1800" s="4" t="s">
        <v>2763</v>
      </c>
      <c r="E1800" s="4">
        <v>0.0</v>
      </c>
      <c r="F1800" s="4">
        <v>49.0</v>
      </c>
      <c r="G1800" s="4" t="s">
        <v>2764</v>
      </c>
    </row>
    <row r="1801">
      <c r="A1801" s="1">
        <v>1799.0</v>
      </c>
      <c r="B1801" s="4" t="s">
        <v>2698</v>
      </c>
      <c r="C1801" s="5" t="str">
        <f>IFERROR(__xludf.DUMMYFUNCTION("GOOGLETRANSLATE(D:D,""auto"",""en"")"),"Trump State of the Union")</f>
        <v>Trump State of the Union</v>
      </c>
      <c r="D1801" s="4" t="s">
        <v>2765</v>
      </c>
      <c r="E1801" s="4">
        <v>0.0</v>
      </c>
      <c r="F1801" s="4">
        <v>50.0</v>
      </c>
      <c r="G1801" s="4" t="s">
        <v>2766</v>
      </c>
    </row>
    <row r="1802">
      <c r="A1802" s="1">
        <v>1800.0</v>
      </c>
      <c r="B1802" s="4" t="s">
        <v>2767</v>
      </c>
      <c r="C1802" s="5" t="str">
        <f>IFERROR(__xludf.DUMMYFUNCTION("GOOGLETRANSLATE(D:D,""auto"",""en"")"),"Liaoning is prohibited to make the most multi-city")</f>
        <v>Liaoning is prohibited to make the most multi-city</v>
      </c>
      <c r="D1802" s="4" t="s">
        <v>2768</v>
      </c>
      <c r="E1802" s="4">
        <v>0.0</v>
      </c>
      <c r="F1802" s="4">
        <v>1.0</v>
      </c>
      <c r="G1802" s="4" t="s">
        <v>2769</v>
      </c>
    </row>
    <row r="1803">
      <c r="A1803" s="1">
        <v>1801.0</v>
      </c>
      <c r="B1803" s="4" t="s">
        <v>2767</v>
      </c>
      <c r="C1803" s="5" t="str">
        <f>IFERROR(__xludf.DUMMYFUNCTION("GOOGLETRANSLATE(D:D,""auto"",""en"")"),"Wuhan centralized quarantine 5425 people")</f>
        <v>Wuhan centralized quarantine 5425 people</v>
      </c>
      <c r="D1803" s="4" t="s">
        <v>2770</v>
      </c>
      <c r="E1803" s="4">
        <v>0.0</v>
      </c>
      <c r="F1803" s="4">
        <v>2.0</v>
      </c>
      <c r="G1803" s="4" t="s">
        <v>2771</v>
      </c>
    </row>
    <row r="1804">
      <c r="A1804" s="1">
        <v>1802.0</v>
      </c>
      <c r="B1804" s="4" t="s">
        <v>2767</v>
      </c>
      <c r="C1804" s="5" t="str">
        <f>IFERROR(__xludf.DUMMYFUNCTION("GOOGLETRANSLATE(D:D,""auto"",""en"")"),"Grocery shopping is not wearing a mask infection")</f>
        <v>Grocery shopping is not wearing a mask infection</v>
      </c>
      <c r="D1804" s="4" t="s">
        <v>2772</v>
      </c>
      <c r="E1804" s="4">
        <v>0.0</v>
      </c>
      <c r="F1804" s="4">
        <v>3.0</v>
      </c>
      <c r="G1804" s="4" t="s">
        <v>2773</v>
      </c>
    </row>
    <row r="1805">
      <c r="A1805" s="1">
        <v>1803.0</v>
      </c>
      <c r="B1805" s="4" t="s">
        <v>2767</v>
      </c>
      <c r="C1805" s="5" t="str">
        <f>IFERROR(__xludf.DUMMYFUNCTION("GOOGLETRANSLATE(D:D,""auto"",""en"")"),"New still no cure for pneumonia")</f>
        <v>New still no cure for pneumonia</v>
      </c>
      <c r="D1805" s="4" t="s">
        <v>2774</v>
      </c>
      <c r="E1805" s="4">
        <v>0.0</v>
      </c>
      <c r="F1805" s="4">
        <v>4.0</v>
      </c>
      <c r="G1805" s="4" t="s">
        <v>2775</v>
      </c>
    </row>
    <row r="1806">
      <c r="A1806" s="1">
        <v>1804.0</v>
      </c>
      <c r="B1806" s="4" t="s">
        <v>2767</v>
      </c>
      <c r="C1806" s="5" t="str">
        <f>IFERROR(__xludf.DUMMYFUNCTION("GOOGLETRANSLATE(D:D,""auto"",""en"")"),"Wuhan remaining 120 beds")</f>
        <v>Wuhan remaining 120 beds</v>
      </c>
      <c r="D1806" s="4" t="s">
        <v>2776</v>
      </c>
      <c r="E1806" s="4">
        <v>0.0</v>
      </c>
      <c r="F1806" s="4">
        <v>5.0</v>
      </c>
      <c r="G1806" s="4" t="s">
        <v>2777</v>
      </c>
    </row>
    <row r="1807">
      <c r="A1807" s="1">
        <v>1805.0</v>
      </c>
      <c r="B1807" s="4" t="s">
        <v>2767</v>
      </c>
      <c r="C1807" s="5" t="str">
        <f>IFERROR(__xludf.DUMMYFUNCTION("GOOGLETRANSLATE(D:D,""auto"",""en"")"),"Saudi outbreak of H5N8 bird flu")</f>
        <v>Saudi outbreak of H5N8 bird flu</v>
      </c>
      <c r="D1807" s="4" t="s">
        <v>2778</v>
      </c>
      <c r="E1807" s="4">
        <v>0.0</v>
      </c>
      <c r="F1807" s="4">
        <v>6.0</v>
      </c>
      <c r="G1807" s="4" t="s">
        <v>2779</v>
      </c>
    </row>
    <row r="1808">
      <c r="A1808" s="1">
        <v>1806.0</v>
      </c>
      <c r="B1808" s="4" t="s">
        <v>2767</v>
      </c>
      <c r="C1808" s="5" t="str">
        <f>IFERROR(__xludf.DUMMYFUNCTION("GOOGLETRANSLATE(D:D,""auto"",""en"")"),"US aid arrived in Wuhan")</f>
        <v>US aid arrived in Wuhan</v>
      </c>
      <c r="D1808" s="4" t="s">
        <v>2780</v>
      </c>
      <c r="E1808" s="4">
        <v>0.0</v>
      </c>
      <c r="F1808" s="4">
        <v>7.0</v>
      </c>
      <c r="G1808" s="4" t="s">
        <v>2781</v>
      </c>
    </row>
    <row r="1809">
      <c r="A1809" s="1">
        <v>1807.0</v>
      </c>
      <c r="B1809" s="4" t="s">
        <v>2767</v>
      </c>
      <c r="C1809" s="5" t="str">
        <f>IFERROR(__xludf.DUMMYFUNCTION("GOOGLETRANSLATE(D:D,""auto"",""en"")"),"Guangdong II issued orders masks")</f>
        <v>Guangdong II issued orders masks</v>
      </c>
      <c r="D1809" s="4" t="s">
        <v>2782</v>
      </c>
      <c r="E1809" s="4">
        <v>0.0</v>
      </c>
      <c r="F1809" s="4">
        <v>8.0</v>
      </c>
      <c r="G1809" s="4" t="s">
        <v>2783</v>
      </c>
    </row>
    <row r="1810">
      <c r="A1810" s="1">
        <v>1808.0</v>
      </c>
      <c r="B1810" s="4" t="s">
        <v>2767</v>
      </c>
      <c r="C1810" s="5" t="str">
        <f>IFERROR(__xludf.DUMMYFUNCTION("GOOGLETRANSLATE(D:D,""auto"",""en"")"),"Lantern Festival party to cancel the audience")</f>
        <v>Lantern Festival party to cancel the audience</v>
      </c>
      <c r="D1810" s="4" t="s">
        <v>2784</v>
      </c>
      <c r="E1810" s="4">
        <v>0.0</v>
      </c>
      <c r="F1810" s="4">
        <v>9.0</v>
      </c>
      <c r="G1810" s="4" t="s">
        <v>2785</v>
      </c>
    </row>
    <row r="1811">
      <c r="A1811" s="1">
        <v>1809.0</v>
      </c>
      <c r="B1811" s="4" t="s">
        <v>2767</v>
      </c>
      <c r="C1811" s="5" t="str">
        <f>IFERROR(__xludf.DUMMYFUNCTION("GOOGLETRANSLATE(D:D,""auto"",""en"")"),"Baibuting confirmed cases found")</f>
        <v>Baibuting confirmed cases found</v>
      </c>
      <c r="D1811" s="4" t="s">
        <v>2786</v>
      </c>
      <c r="E1811" s="4">
        <v>0.0</v>
      </c>
      <c r="F1811" s="4">
        <v>10.0</v>
      </c>
      <c r="G1811" s="4" t="s">
        <v>2787</v>
      </c>
    </row>
    <row r="1812">
      <c r="A1812" s="1">
        <v>1810.0</v>
      </c>
      <c r="B1812" s="4" t="s">
        <v>2767</v>
      </c>
      <c r="C1812" s="5" t="str">
        <f>IFERROR(__xludf.DUMMYFUNCTION("GOOGLETRANSLATE(D:D,""auto"",""en"")"),"Dali subsequent expropriation masks")</f>
        <v>Dali subsequent expropriation masks</v>
      </c>
      <c r="D1812" s="4" t="s">
        <v>2788</v>
      </c>
      <c r="E1812" s="4">
        <v>0.0</v>
      </c>
      <c r="F1812" s="4">
        <v>11.0</v>
      </c>
      <c r="G1812" s="4" t="s">
        <v>2789</v>
      </c>
    </row>
    <row r="1813">
      <c r="A1813" s="1">
        <v>1811.0</v>
      </c>
      <c r="B1813" s="4" t="s">
        <v>2767</v>
      </c>
      <c r="C1813" s="5" t="str">
        <f>IFERROR(__xludf.DUMMYFUNCTION("GOOGLETRANSLATE(D:D,""auto"",""en"")"),"New World Pingping identity exposed")</f>
        <v>New World Pingping identity exposed</v>
      </c>
      <c r="D1813" s="4" t="s">
        <v>2790</v>
      </c>
      <c r="E1813" s="4">
        <v>0.0</v>
      </c>
      <c r="F1813" s="4">
        <v>12.0</v>
      </c>
      <c r="G1813" s="4" t="s">
        <v>2791</v>
      </c>
    </row>
    <row r="1814">
      <c r="A1814" s="1">
        <v>1812.0</v>
      </c>
      <c r="B1814" s="4" t="s">
        <v>2767</v>
      </c>
      <c r="C1814" s="5" t="str">
        <f>IFERROR(__xludf.DUMMYFUNCTION("GOOGLETRANSLATE(D:D,""auto"",""en"")"),"Jiangsu delay school")</f>
        <v>Jiangsu delay school</v>
      </c>
      <c r="D1814" s="4" t="s">
        <v>2792</v>
      </c>
      <c r="E1814" s="4">
        <v>0.0</v>
      </c>
      <c r="F1814" s="4">
        <v>13.0</v>
      </c>
      <c r="G1814" s="4" t="s">
        <v>2793</v>
      </c>
    </row>
    <row r="1815">
      <c r="A1815" s="1">
        <v>1813.0</v>
      </c>
      <c r="B1815" s="4" t="s">
        <v>2767</v>
      </c>
      <c r="C1815" s="5" t="str">
        <f>IFERROR(__xludf.DUMMYFUNCTION("GOOGLETRANSLATE(D:D,""auto"",""en"")"),"Zhengzhou return to work time")</f>
        <v>Zhengzhou return to work time</v>
      </c>
      <c r="D1815" s="4" t="s">
        <v>2794</v>
      </c>
      <c r="E1815" s="4">
        <v>0.0</v>
      </c>
      <c r="F1815" s="4">
        <v>14.0</v>
      </c>
      <c r="G1815" s="4" t="s">
        <v>2795</v>
      </c>
    </row>
    <row r="1816">
      <c r="A1816" s="1">
        <v>1814.0</v>
      </c>
      <c r="B1816" s="4" t="s">
        <v>2767</v>
      </c>
      <c r="C1816" s="5" t="str">
        <f>IFERROR(__xludf.DUMMYFUNCTION("GOOGLETRANSLATE(D:D,""auto"",""en"")"),"Wuhan two hard task")</f>
        <v>Wuhan two hard task</v>
      </c>
      <c r="D1816" s="4" t="s">
        <v>2796</v>
      </c>
      <c r="E1816" s="4">
        <v>0.0</v>
      </c>
      <c r="F1816" s="4">
        <v>15.0</v>
      </c>
      <c r="G1816" s="4" t="s">
        <v>2797</v>
      </c>
    </row>
    <row r="1817">
      <c r="A1817" s="1">
        <v>1815.0</v>
      </c>
      <c r="B1817" s="4" t="s">
        <v>2767</v>
      </c>
      <c r="C1817" s="5" t="str">
        <f>IFERROR(__xludf.DUMMYFUNCTION("GOOGLETRANSLATE(D:D,""auto"",""en"")"),"One batch of pneumonia")</f>
        <v>One batch of pneumonia</v>
      </c>
      <c r="D1817" s="4" t="s">
        <v>2798</v>
      </c>
      <c r="E1817" s="4">
        <v>0.0</v>
      </c>
      <c r="F1817" s="4">
        <v>16.0</v>
      </c>
      <c r="G1817" s="4" t="s">
        <v>2799</v>
      </c>
    </row>
    <row r="1818">
      <c r="A1818" s="1">
        <v>1816.0</v>
      </c>
      <c r="B1818" s="4" t="s">
        <v>2767</v>
      </c>
      <c r="C1818" s="5" t="str">
        <f>IFERROR(__xludf.DUMMYFUNCTION("GOOGLETRANSLATE(D:D,""auto"",""en"")"),"Xiamen Airlines sister choked broadcast")</f>
        <v>Xiamen Airlines sister choked broadcast</v>
      </c>
      <c r="D1818" s="4" t="s">
        <v>2800</v>
      </c>
      <c r="E1818" s="4">
        <v>0.0</v>
      </c>
      <c r="F1818" s="4">
        <v>17.0</v>
      </c>
      <c r="G1818" s="4" t="s">
        <v>2801</v>
      </c>
    </row>
    <row r="1819">
      <c r="A1819" s="1">
        <v>1817.0</v>
      </c>
      <c r="B1819" s="4" t="s">
        <v>2767</v>
      </c>
      <c r="C1819" s="5" t="str">
        <f>IFERROR(__xludf.DUMMYFUNCTION("GOOGLETRANSLATE(D:D,""auto"",""en"")"),"Japan's first company to withdraw from China")</f>
        <v>Japan's first company to withdraw from China</v>
      </c>
      <c r="D1819" s="4" t="s">
        <v>2802</v>
      </c>
      <c r="E1819" s="4">
        <v>0.0</v>
      </c>
      <c r="F1819" s="4">
        <v>18.0</v>
      </c>
      <c r="G1819" s="4" t="s">
        <v>2803</v>
      </c>
    </row>
    <row r="1820">
      <c r="A1820" s="1">
        <v>1818.0</v>
      </c>
      <c r="B1820" s="4" t="s">
        <v>2767</v>
      </c>
      <c r="C1820" s="5" t="str">
        <f>IFERROR(__xludf.DUMMYFUNCTION("GOOGLETRANSLATE(D:D,""auto"",""en"")"),"Ali made the most stringent ban masks")</f>
        <v>Ali made the most stringent ban masks</v>
      </c>
      <c r="D1820" s="4" t="s">
        <v>2804</v>
      </c>
      <c r="E1820" s="4">
        <v>0.0</v>
      </c>
      <c r="F1820" s="4">
        <v>19.0</v>
      </c>
      <c r="G1820" s="4" t="s">
        <v>2805</v>
      </c>
    </row>
    <row r="1821">
      <c r="A1821" s="1">
        <v>1819.0</v>
      </c>
      <c r="B1821" s="4" t="s">
        <v>2767</v>
      </c>
      <c r="C1821" s="5" t="str">
        <f>IFERROR(__xludf.DUMMYFUNCTION("GOOGLETRANSLATE(D:D,""auto"",""en"")"),"Wuhan epidemic meet three challenges")</f>
        <v>Wuhan epidemic meet three challenges</v>
      </c>
      <c r="D1821" s="4" t="s">
        <v>2806</v>
      </c>
      <c r="E1821" s="4">
        <v>0.0</v>
      </c>
      <c r="F1821" s="4">
        <v>20.0</v>
      </c>
      <c r="G1821" s="4" t="s">
        <v>2807</v>
      </c>
    </row>
    <row r="1822">
      <c r="A1822" s="1">
        <v>1820.0</v>
      </c>
      <c r="B1822" s="4" t="s">
        <v>2767</v>
      </c>
      <c r="C1822" s="5" t="str">
        <f>IFERROR(__xludf.DUMMYFUNCTION("GOOGLETRANSLATE(D:D,""auto"",""en"")"),"Trump against impeachment")</f>
        <v>Trump against impeachment</v>
      </c>
      <c r="D1822" s="4" t="s">
        <v>2808</v>
      </c>
      <c r="E1822" s="4">
        <v>0.0</v>
      </c>
      <c r="F1822" s="4">
        <v>21.0</v>
      </c>
      <c r="G1822" s="4" t="s">
        <v>2809</v>
      </c>
    </row>
    <row r="1823">
      <c r="A1823" s="1">
        <v>1821.0</v>
      </c>
      <c r="B1823" s="4" t="s">
        <v>2767</v>
      </c>
      <c r="C1823" s="5" t="str">
        <f>IFERROR(__xludf.DUMMYFUNCTION("GOOGLETRANSLATE(D:D,""auto"",""en"")"),"294 people were arrested epidemic of fraud")</f>
        <v>294 people were arrested epidemic of fraud</v>
      </c>
      <c r="D1823" s="4" t="s">
        <v>2810</v>
      </c>
      <c r="E1823" s="4">
        <v>0.0</v>
      </c>
      <c r="F1823" s="4">
        <v>22.0</v>
      </c>
      <c r="G1823" s="4" t="s">
        <v>2811</v>
      </c>
    </row>
    <row r="1824">
      <c r="A1824" s="1">
        <v>1822.0</v>
      </c>
      <c r="B1824" s="4" t="s">
        <v>2767</v>
      </c>
      <c r="C1824" s="5" t="str">
        <f>IFERROR(__xludf.DUMMYFUNCTION("GOOGLETRANSLATE(D:D,""auto"",""en"")"),"Sandy Lam Kung break")</f>
        <v>Sandy Lam Kung break</v>
      </c>
      <c r="D1824" s="4" t="s">
        <v>2812</v>
      </c>
      <c r="E1824" s="4">
        <v>0.0</v>
      </c>
      <c r="F1824" s="4">
        <v>23.0</v>
      </c>
      <c r="G1824" s="4" t="s">
        <v>2813</v>
      </c>
    </row>
    <row r="1825">
      <c r="A1825" s="1">
        <v>1823.0</v>
      </c>
      <c r="B1825" s="4" t="s">
        <v>2767</v>
      </c>
      <c r="C1825" s="5" t="str">
        <f>IFERROR(__xludf.DUMMYFUNCTION("GOOGLETRANSLATE(D:D,""auto"",""en"")"),"Computer simulation epidemic trend")</f>
        <v>Computer simulation epidemic trend</v>
      </c>
      <c r="D1825" s="4" t="s">
        <v>2814</v>
      </c>
      <c r="E1825" s="4">
        <v>0.0</v>
      </c>
      <c r="F1825" s="4">
        <v>24.0</v>
      </c>
      <c r="G1825" s="4" t="s">
        <v>2815</v>
      </c>
    </row>
    <row r="1826">
      <c r="A1826" s="1">
        <v>1824.0</v>
      </c>
      <c r="B1826" s="4" t="s">
        <v>2767</v>
      </c>
      <c r="C1826" s="5" t="str">
        <f>IFERROR(__xludf.DUMMYFUNCTION("GOOGLETRANSLATE(D:D,""auto"",""en"")"),"Li donated 3 million")</f>
        <v>Li donated 3 million</v>
      </c>
      <c r="D1826" s="4" t="s">
        <v>2816</v>
      </c>
      <c r="E1826" s="4">
        <v>0.0</v>
      </c>
      <c r="F1826" s="4">
        <v>25.0</v>
      </c>
      <c r="G1826" s="4" t="s">
        <v>2817</v>
      </c>
    </row>
    <row r="1827">
      <c r="A1827" s="1">
        <v>1825.0</v>
      </c>
      <c r="B1827" s="4" t="s">
        <v>2767</v>
      </c>
      <c r="C1827" s="5" t="str">
        <f>IFERROR(__xludf.DUMMYFUNCTION("GOOGLETRANSLATE(D:D,""auto"",""en"")"),"The nurse confirmed 11 days to heal")</f>
        <v>The nurse confirmed 11 days to heal</v>
      </c>
      <c r="D1827" s="4" t="s">
        <v>2818</v>
      </c>
      <c r="E1827" s="4">
        <v>0.0</v>
      </c>
      <c r="F1827" s="4">
        <v>26.0</v>
      </c>
      <c r="G1827" s="4" t="s">
        <v>2819</v>
      </c>
    </row>
    <row r="1828">
      <c r="A1828" s="1">
        <v>1826.0</v>
      </c>
      <c r="B1828" s="4" t="s">
        <v>2767</v>
      </c>
      <c r="C1828" s="5" t="str">
        <f>IFERROR(__xludf.DUMMYFUNCTION("GOOGLETRANSLATE(D:D,""auto"",""en"")"),"Zhong Nanshan talk about the virus cure")</f>
        <v>Zhong Nanshan talk about the virus cure</v>
      </c>
      <c r="D1828" s="4" t="s">
        <v>2820</v>
      </c>
      <c r="E1828" s="4">
        <v>0.0</v>
      </c>
      <c r="F1828" s="4">
        <v>27.0</v>
      </c>
      <c r="G1828" s="4" t="s">
        <v>2821</v>
      </c>
    </row>
    <row r="1829">
      <c r="A1829" s="1">
        <v>1827.0</v>
      </c>
      <c r="B1829" s="4" t="s">
        <v>2767</v>
      </c>
      <c r="C1829" s="5" t="str">
        <f>IFERROR(__xludf.DUMMYFUNCTION("GOOGLETRANSLATE(D:D,""auto"",""en"")"),"Doctor Li Wenliang's death")</f>
        <v>Doctor Li Wenliang's death</v>
      </c>
      <c r="D1829" s="4" t="s">
        <v>2822</v>
      </c>
      <c r="E1829" s="4">
        <v>0.0</v>
      </c>
      <c r="F1829" s="4">
        <v>28.0</v>
      </c>
      <c r="G1829" s="4" t="s">
        <v>2823</v>
      </c>
    </row>
    <row r="1830">
      <c r="A1830" s="1">
        <v>1828.0</v>
      </c>
      <c r="B1830" s="4" t="s">
        <v>2767</v>
      </c>
      <c r="C1830" s="5" t="str">
        <f>IFERROR(__xludf.DUMMYFUNCTION("GOOGLETRANSLATE(D:D,""auto"",""en"")"),"784 cases of confirmed cases Details")</f>
        <v>784 cases of confirmed cases Details</v>
      </c>
      <c r="D1830" s="4" t="s">
        <v>2824</v>
      </c>
      <c r="E1830" s="4">
        <v>0.0</v>
      </c>
      <c r="F1830" s="4">
        <v>29.0</v>
      </c>
      <c r="G1830" s="4" t="s">
        <v>2825</v>
      </c>
    </row>
    <row r="1831">
      <c r="A1831" s="1">
        <v>1829.0</v>
      </c>
      <c r="B1831" s="4" t="s">
        <v>2767</v>
      </c>
      <c r="C1831" s="5" t="str">
        <f>IFERROR(__xludf.DUMMYFUNCTION("GOOGLETRANSLATE(D:D,""auto"",""en"")"),"Super Wuhan Ezhou mortality")</f>
        <v>Super Wuhan Ezhou mortality</v>
      </c>
      <c r="D1831" s="4" t="s">
        <v>2715</v>
      </c>
      <c r="E1831" s="4">
        <v>0.0</v>
      </c>
      <c r="F1831" s="4">
        <v>30.0</v>
      </c>
      <c r="G1831" s="4" t="s">
        <v>2716</v>
      </c>
    </row>
    <row r="1832">
      <c r="A1832" s="1">
        <v>1830.0</v>
      </c>
      <c r="B1832" s="4" t="s">
        <v>2767</v>
      </c>
      <c r="C1832" s="5" t="str">
        <f>IFERROR(__xludf.DUMMYFUNCTION("GOOGLETRANSLATE(D:D,""auto"",""en"")"),"2020 Central Document No.")</f>
        <v>2020 Central Document No.</v>
      </c>
      <c r="D1832" s="4" t="s">
        <v>2719</v>
      </c>
      <c r="E1832" s="4">
        <v>0.0</v>
      </c>
      <c r="F1832" s="4">
        <v>31.0</v>
      </c>
      <c r="G1832" s="4" t="s">
        <v>2720</v>
      </c>
    </row>
    <row r="1833">
      <c r="A1833" s="1">
        <v>1831.0</v>
      </c>
      <c r="B1833" s="4" t="s">
        <v>2767</v>
      </c>
      <c r="C1833" s="5" t="str">
        <f>IFERROR(__xludf.DUMMYFUNCTION("GOOGLETRANSLATE(D:D,""auto"",""en"")"),"UV-sensitive virus")</f>
        <v>UV-sensitive virus</v>
      </c>
      <c r="D1833" s="4" t="s">
        <v>2717</v>
      </c>
      <c r="E1833" s="4">
        <v>0.0</v>
      </c>
      <c r="F1833" s="4">
        <v>32.0</v>
      </c>
      <c r="G1833" s="4" t="s">
        <v>2718</v>
      </c>
    </row>
    <row r="1834">
      <c r="A1834" s="1">
        <v>1832.0</v>
      </c>
      <c r="B1834" s="4" t="s">
        <v>2767</v>
      </c>
      <c r="C1834" s="5" t="str">
        <f>IFERROR(__xludf.DUMMYFUNCTION("GOOGLETRANSLATE(D:D,""auto"",""en"")"),"Yongzhou officials confirmed mother")</f>
        <v>Yongzhou officials confirmed mother</v>
      </c>
      <c r="D1834" s="4" t="s">
        <v>2826</v>
      </c>
      <c r="E1834" s="4">
        <v>0.0</v>
      </c>
      <c r="F1834" s="4">
        <v>33.0</v>
      </c>
      <c r="G1834" s="4" t="s">
        <v>2827</v>
      </c>
    </row>
    <row r="1835">
      <c r="A1835" s="1">
        <v>1833.0</v>
      </c>
      <c r="B1835" s="4" t="s">
        <v>2767</v>
      </c>
      <c r="C1835" s="5" t="str">
        <f>IFERROR(__xludf.DUMMYFUNCTION("GOOGLETRANSLATE(D:D,""auto"",""en"")"),"Yunnan Dali criticized")</f>
        <v>Yunnan Dali criticized</v>
      </c>
      <c r="D1835" s="4" t="s">
        <v>2828</v>
      </c>
      <c r="E1835" s="4">
        <v>0.0</v>
      </c>
      <c r="F1835" s="4">
        <v>34.0</v>
      </c>
      <c r="G1835" s="4" t="s">
        <v>2829</v>
      </c>
    </row>
    <row r="1836">
      <c r="A1836" s="1">
        <v>1834.0</v>
      </c>
      <c r="B1836" s="4" t="s">
        <v>2767</v>
      </c>
      <c r="C1836" s="5" t="str">
        <f>IFERROR(__xludf.DUMMYFUNCTION("GOOGLETRANSLATE(D:D,""auto"",""en"")"),"New suspected cases, even lower")</f>
        <v>New suspected cases, even lower</v>
      </c>
      <c r="D1836" s="4" t="s">
        <v>2830</v>
      </c>
      <c r="E1836" s="4">
        <v>0.0</v>
      </c>
      <c r="F1836" s="4">
        <v>35.0</v>
      </c>
      <c r="G1836" s="4" t="s">
        <v>2831</v>
      </c>
    </row>
    <row r="1837">
      <c r="A1837" s="1">
        <v>1835.0</v>
      </c>
      <c r="B1837" s="4" t="s">
        <v>2767</v>
      </c>
      <c r="C1837" s="5" t="str">
        <f>IFERROR(__xludf.DUMMYFUNCTION("GOOGLETRANSLATE(D:D,""auto"",""en"")"),"Nanjing clinic fully closing the office")</f>
        <v>Nanjing clinic fully closing the office</v>
      </c>
      <c r="D1837" s="4" t="s">
        <v>2713</v>
      </c>
      <c r="E1837" s="4">
        <v>0.0</v>
      </c>
      <c r="F1837" s="4">
        <v>36.0</v>
      </c>
      <c r="G1837" s="4" t="s">
        <v>2714</v>
      </c>
    </row>
    <row r="1838">
      <c r="A1838" s="1">
        <v>1836.0</v>
      </c>
      <c r="B1838" s="4" t="s">
        <v>2767</v>
      </c>
      <c r="C1838" s="5" t="str">
        <f>IFERROR(__xludf.DUMMYFUNCTION("GOOGLETRANSLATE(D:D,""auto"",""en"")"),"Prevent pneumonia prescription herbal tea")</f>
        <v>Prevent pneumonia prescription herbal tea</v>
      </c>
      <c r="D1838" s="4" t="s">
        <v>2832</v>
      </c>
      <c r="E1838" s="4">
        <v>0.0</v>
      </c>
      <c r="F1838" s="4">
        <v>37.0</v>
      </c>
      <c r="G1838" s="4" t="s">
        <v>2833</v>
      </c>
    </row>
    <row r="1839">
      <c r="A1839" s="1">
        <v>1837.0</v>
      </c>
      <c r="B1839" s="4" t="s">
        <v>2767</v>
      </c>
      <c r="C1839" s="5" t="str">
        <f>IFERROR(__xludf.DUMMYFUNCTION("GOOGLETRANSLATE(D:D,""auto"",""en"")"),"Ningbo Metro to suspend operations")</f>
        <v>Ningbo Metro to suspend operations</v>
      </c>
      <c r="D1839" s="4" t="s">
        <v>2834</v>
      </c>
      <c r="E1839" s="4">
        <v>0.0</v>
      </c>
      <c r="F1839" s="4">
        <v>38.0</v>
      </c>
      <c r="G1839" s="4" t="s">
        <v>2835</v>
      </c>
    </row>
    <row r="1840">
      <c r="A1840" s="1">
        <v>1838.0</v>
      </c>
      <c r="B1840" s="4" t="s">
        <v>2767</v>
      </c>
      <c r="C1840" s="5" t="str">
        <f>IFERROR(__xludf.DUMMYFUNCTION("GOOGLETRANSLATE(D:D,""auto"",""en"")"),"Jackie Chan Yin Zhengyi Contributions")</f>
        <v>Jackie Chan Yin Zhengyi Contributions</v>
      </c>
      <c r="D1840" s="4" t="s">
        <v>2731</v>
      </c>
      <c r="E1840" s="4">
        <v>0.0</v>
      </c>
      <c r="F1840" s="4">
        <v>39.0</v>
      </c>
      <c r="G1840" s="4" t="s">
        <v>2732</v>
      </c>
    </row>
    <row r="1841">
      <c r="A1841" s="1">
        <v>1839.0</v>
      </c>
      <c r="B1841" s="4" t="s">
        <v>2767</v>
      </c>
      <c r="C1841" s="5" t="str">
        <f>IFERROR(__xludf.DUMMYFUNCTION("GOOGLETRANSLATE(D:D,""auto"",""en"")"),"Yueqing City, Zhejiang announced closure")</f>
        <v>Yueqing City, Zhejiang announced closure</v>
      </c>
      <c r="D1841" s="4" t="s">
        <v>2741</v>
      </c>
      <c r="E1841" s="4">
        <v>0.0</v>
      </c>
      <c r="F1841" s="4">
        <v>40.0</v>
      </c>
      <c r="G1841" s="4" t="s">
        <v>2742</v>
      </c>
    </row>
    <row r="1842">
      <c r="A1842" s="1">
        <v>1840.0</v>
      </c>
      <c r="B1842" s="4" t="s">
        <v>2767</v>
      </c>
      <c r="C1842" s="5" t="str">
        <f>IFERROR(__xludf.DUMMYFUNCTION("GOOGLETRANSLATE(D:D,""auto"",""en"")"),"Tianjin disease deaths")</f>
        <v>Tianjin disease deaths</v>
      </c>
      <c r="D1842" s="4" t="s">
        <v>2733</v>
      </c>
      <c r="E1842" s="4">
        <v>0.0</v>
      </c>
      <c r="F1842" s="4">
        <v>41.0</v>
      </c>
      <c r="G1842" s="4" t="s">
        <v>2734</v>
      </c>
    </row>
    <row r="1843">
      <c r="A1843" s="1">
        <v>1841.0</v>
      </c>
      <c r="B1843" s="4" t="s">
        <v>2767</v>
      </c>
      <c r="C1843" s="5" t="str">
        <f>IFERROR(__xludf.DUMMYFUNCTION("GOOGLETRANSLATE(D:D,""auto"",""en"")"),"Hun Sen visited China declined Wuhan")</f>
        <v>Hun Sen visited China declined Wuhan</v>
      </c>
      <c r="D1843" s="4" t="s">
        <v>2729</v>
      </c>
      <c r="E1843" s="4">
        <v>0.0</v>
      </c>
      <c r="F1843" s="4">
        <v>42.0</v>
      </c>
      <c r="G1843" s="4" t="s">
        <v>2730</v>
      </c>
    </row>
    <row r="1844">
      <c r="A1844" s="1">
        <v>1842.0</v>
      </c>
      <c r="B1844" s="4" t="s">
        <v>2767</v>
      </c>
      <c r="C1844" s="5" t="str">
        <f>IFERROR(__xludf.DUMMYFUNCTION("GOOGLETRANSLATE(D:D,""auto"",""en"")"),"Sa Beining to donate money")</f>
        <v>Sa Beining to donate money</v>
      </c>
      <c r="D1844" s="4" t="s">
        <v>2836</v>
      </c>
      <c r="E1844" s="4">
        <v>0.0</v>
      </c>
      <c r="F1844" s="4">
        <v>43.0</v>
      </c>
      <c r="G1844" s="4" t="s">
        <v>2837</v>
      </c>
    </row>
    <row r="1845">
      <c r="A1845" s="1">
        <v>1843.0</v>
      </c>
      <c r="B1845" s="4" t="s">
        <v>2767</v>
      </c>
      <c r="C1845" s="5" t="str">
        <f>IFERROR(__xludf.DUMMYFUNCTION("GOOGLETRANSLATE(D:D,""auto"",""en"")"),"Shenzhen will put one million masks")</f>
        <v>Shenzhen will put one million masks</v>
      </c>
      <c r="D1845" s="4" t="s">
        <v>2838</v>
      </c>
      <c r="E1845" s="4">
        <v>0.0</v>
      </c>
      <c r="F1845" s="4">
        <v>44.0</v>
      </c>
      <c r="G1845" s="4" t="s">
        <v>2839</v>
      </c>
    </row>
    <row r="1846">
      <c r="A1846" s="1">
        <v>1844.0</v>
      </c>
      <c r="B1846" s="4" t="s">
        <v>2767</v>
      </c>
      <c r="C1846" s="5" t="str">
        <f>IFERROR(__xludf.DUMMYFUNCTION("GOOGLETRANSLATE(D:D,""auto"",""en"")"),"90-year-old mother to accompany four days")</f>
        <v>90-year-old mother to accompany four days</v>
      </c>
      <c r="D1846" s="4" t="s">
        <v>2840</v>
      </c>
      <c r="E1846" s="4">
        <v>0.0</v>
      </c>
      <c r="F1846" s="4">
        <v>45.0</v>
      </c>
      <c r="G1846" s="4" t="s">
        <v>2841</v>
      </c>
    </row>
    <row r="1847">
      <c r="A1847" s="1">
        <v>1845.0</v>
      </c>
      <c r="B1847" s="4" t="s">
        <v>2767</v>
      </c>
      <c r="C1847" s="5" t="str">
        <f>IFERROR(__xludf.DUMMYFUNCTION("GOOGLETRANSLATE(D:D,""auto"",""en"")"),"Huang Minghao rumor pneumonia")</f>
        <v>Huang Minghao rumor pneumonia</v>
      </c>
      <c r="D1847" s="4" t="s">
        <v>2842</v>
      </c>
      <c r="E1847" s="4">
        <v>0.0</v>
      </c>
      <c r="F1847" s="4">
        <v>46.0</v>
      </c>
      <c r="G1847" s="4" t="s">
        <v>2843</v>
      </c>
    </row>
    <row r="1848">
      <c r="A1848" s="1">
        <v>1846.0</v>
      </c>
      <c r="B1848" s="4" t="s">
        <v>2767</v>
      </c>
      <c r="C1848" s="5" t="str">
        <f>IFERROR(__xludf.DUMMYFUNCTION("GOOGLETRANSLATE(D:D,""auto"",""en"")"),"Saliva wipe elevator key jingfangxingju")</f>
        <v>Saliva wipe elevator key jingfangxingju</v>
      </c>
      <c r="D1848" s="4" t="s">
        <v>2735</v>
      </c>
      <c r="E1848" s="4">
        <v>0.0</v>
      </c>
      <c r="F1848" s="4">
        <v>47.0</v>
      </c>
      <c r="G1848" s="4" t="s">
        <v>2736</v>
      </c>
    </row>
    <row r="1849">
      <c r="A1849" s="1">
        <v>1847.0</v>
      </c>
      <c r="B1849" s="4" t="s">
        <v>2767</v>
      </c>
      <c r="C1849" s="5" t="str">
        <f>IFERROR(__xludf.DUMMYFUNCTION("GOOGLETRANSLATE(D:D,""auto"",""en"")"),"10 most stressful city epidemic prevention")</f>
        <v>10 most stressful city epidemic prevention</v>
      </c>
      <c r="D1849" s="4" t="s">
        <v>2745</v>
      </c>
      <c r="E1849" s="4">
        <v>0.0</v>
      </c>
      <c r="F1849" s="4">
        <v>48.0</v>
      </c>
      <c r="G1849" s="4" t="s">
        <v>2746</v>
      </c>
    </row>
    <row r="1850">
      <c r="A1850" s="1">
        <v>1848.0</v>
      </c>
      <c r="B1850" s="4" t="s">
        <v>2767</v>
      </c>
      <c r="C1850" s="5" t="str">
        <f>IFERROR(__xludf.DUMMYFUNCTION("GOOGLETRANSLATE(D:D,""auto"",""en"")"),"The couple did not wear a mask diagnosed")</f>
        <v>The couple did not wear a mask diagnosed</v>
      </c>
      <c r="D1850" s="4" t="s">
        <v>2844</v>
      </c>
      <c r="E1850" s="4">
        <v>0.0</v>
      </c>
      <c r="F1850" s="4">
        <v>49.0</v>
      </c>
      <c r="G1850" s="4" t="s">
        <v>2845</v>
      </c>
    </row>
    <row r="1851">
      <c r="A1851" s="1">
        <v>1849.0</v>
      </c>
      <c r="B1851" s="4" t="s">
        <v>2767</v>
      </c>
      <c r="C1851" s="5" t="str">
        <f>IFERROR(__xludf.DUMMYFUNCTION("GOOGLETRANSLATE(D:D,""auto"",""en"")"),"120,000 retrograde Wuhan")</f>
        <v>120,000 retrograde Wuhan</v>
      </c>
      <c r="D1851" s="4" t="s">
        <v>2846</v>
      </c>
      <c r="E1851" s="4">
        <v>0.0</v>
      </c>
      <c r="F1851" s="4">
        <v>50.0</v>
      </c>
      <c r="G1851" s="4" t="s">
        <v>2847</v>
      </c>
    </row>
    <row r="1852">
      <c r="A1852" s="1">
        <v>1850.0</v>
      </c>
      <c r="B1852" s="4" t="s">
        <v>2848</v>
      </c>
      <c r="C1852" s="5" t="str">
        <f>IFERROR(__xludf.DUMMYFUNCTION("GOOGLETRANSLATE(D:D,""auto"",""en"")"),"Li donated 3 million")</f>
        <v>Li donated 3 million</v>
      </c>
      <c r="D1852" s="4" t="s">
        <v>2816</v>
      </c>
      <c r="E1852" s="4">
        <v>0.0</v>
      </c>
      <c r="F1852" s="4">
        <v>1.0</v>
      </c>
      <c r="G1852" s="4" t="s">
        <v>2817</v>
      </c>
    </row>
    <row r="1853">
      <c r="A1853" s="1">
        <v>1851.0</v>
      </c>
      <c r="B1853" s="4" t="s">
        <v>2848</v>
      </c>
      <c r="C1853" s="5" t="str">
        <f>IFERROR(__xludf.DUMMYFUNCTION("GOOGLETRANSLATE(D:D,""auto"",""en"")"),"20 people were stealing feast isolation")</f>
        <v>20 people were stealing feast isolation</v>
      </c>
      <c r="D1853" s="4" t="s">
        <v>2849</v>
      </c>
      <c r="E1853" s="4">
        <v>0.0</v>
      </c>
      <c r="F1853" s="4">
        <v>2.0</v>
      </c>
      <c r="G1853" s="4" t="s">
        <v>2850</v>
      </c>
    </row>
    <row r="1854">
      <c r="A1854" s="1">
        <v>1852.0</v>
      </c>
      <c r="B1854" s="4" t="s">
        <v>2848</v>
      </c>
      <c r="C1854" s="5" t="str">
        <f>IFERROR(__xludf.DUMMYFUNCTION("GOOGLETRANSLATE(D:D,""auto"",""en"")"),"The new crown pneumonia 30 truth")</f>
        <v>The new crown pneumonia 30 truth</v>
      </c>
      <c r="D1854" s="4" t="s">
        <v>2851</v>
      </c>
      <c r="E1854" s="4">
        <v>0.0</v>
      </c>
      <c r="F1854" s="4">
        <v>3.0</v>
      </c>
      <c r="G1854" s="4" t="s">
        <v>2852</v>
      </c>
    </row>
    <row r="1855">
      <c r="A1855" s="1">
        <v>1853.0</v>
      </c>
      <c r="B1855" s="4" t="s">
        <v>2848</v>
      </c>
      <c r="C1855" s="5" t="str">
        <f>IFERROR(__xludf.DUMMYFUNCTION("GOOGLETRANSLATE(D:D,""auto"",""en"")"),"Zhong Nanshan talk about the virus cure")</f>
        <v>Zhong Nanshan talk about the virus cure</v>
      </c>
      <c r="D1855" s="4" t="s">
        <v>2820</v>
      </c>
      <c r="E1855" s="4">
        <v>0.0</v>
      </c>
      <c r="F1855" s="4">
        <v>4.0</v>
      </c>
      <c r="G1855" s="4" t="s">
        <v>2821</v>
      </c>
    </row>
    <row r="1856">
      <c r="A1856" s="1">
        <v>1854.0</v>
      </c>
      <c r="B1856" s="4" t="s">
        <v>2848</v>
      </c>
      <c r="C1856" s="5" t="str">
        <f>IFERROR(__xludf.DUMMYFUNCTION("GOOGLETRANSLATE(D:D,""auto"",""en"")"),"Vice Governor response network for help")</f>
        <v>Vice Governor response network for help</v>
      </c>
      <c r="D1856" s="4" t="s">
        <v>2853</v>
      </c>
      <c r="E1856" s="4">
        <v>0.0</v>
      </c>
      <c r="F1856" s="4">
        <v>5.0</v>
      </c>
      <c r="G1856" s="4" t="s">
        <v>2854</v>
      </c>
    </row>
    <row r="1857">
      <c r="A1857" s="1">
        <v>1855.0</v>
      </c>
      <c r="B1857" s="4" t="s">
        <v>2848</v>
      </c>
      <c r="C1857" s="5" t="str">
        <f>IFERROR(__xludf.DUMMYFUNCTION("GOOGLETRANSLATE(D:D,""auto"",""en"")"),"Wuhan million CCTV commentary dinner")</f>
        <v>Wuhan million CCTV commentary dinner</v>
      </c>
      <c r="D1857" s="4" t="s">
        <v>2855</v>
      </c>
      <c r="E1857" s="4">
        <v>0.0</v>
      </c>
      <c r="F1857" s="4">
        <v>6.0</v>
      </c>
      <c r="G1857" s="4" t="s">
        <v>2856</v>
      </c>
    </row>
    <row r="1858">
      <c r="A1858" s="1">
        <v>1856.0</v>
      </c>
      <c r="B1858" s="4" t="s">
        <v>2848</v>
      </c>
      <c r="C1858" s="5" t="str">
        <f>IFERROR(__xludf.DUMMYFUNCTION("GOOGLETRANSLATE(D:D,""auto"",""en"")"),"The nurse confirmed 11 days to heal")</f>
        <v>The nurse confirmed 11 days to heal</v>
      </c>
      <c r="D1858" s="4" t="s">
        <v>2818</v>
      </c>
      <c r="E1858" s="4">
        <v>0.0</v>
      </c>
      <c r="F1858" s="4">
        <v>7.0</v>
      </c>
      <c r="G1858" s="4" t="s">
        <v>2819</v>
      </c>
    </row>
    <row r="1859">
      <c r="A1859" s="1">
        <v>1857.0</v>
      </c>
      <c r="B1859" s="4" t="s">
        <v>2848</v>
      </c>
      <c r="C1859" s="5" t="str">
        <f>IFERROR(__xludf.DUMMYFUNCTION("GOOGLETRANSLATE(D:D,""auto"",""en"")"),"A patient isolation actuator 973")</f>
        <v>A patient isolation actuator 973</v>
      </c>
      <c r="D1859" s="4" t="s">
        <v>2857</v>
      </c>
      <c r="E1859" s="4">
        <v>0.0</v>
      </c>
      <c r="F1859" s="4">
        <v>8.0</v>
      </c>
      <c r="G1859" s="4" t="s">
        <v>2858</v>
      </c>
    </row>
    <row r="1860">
      <c r="A1860" s="1">
        <v>1858.0</v>
      </c>
      <c r="B1860" s="4" t="s">
        <v>2848</v>
      </c>
      <c r="C1860" s="5" t="str">
        <f>IFERROR(__xludf.DUMMYFUNCTION("GOOGLETRANSLATE(D:D,""auto"",""en"")"),"Doctor Li Wenliang's death")</f>
        <v>Doctor Li Wenliang's death</v>
      </c>
      <c r="D1860" s="4" t="s">
        <v>2822</v>
      </c>
      <c r="E1860" s="4">
        <v>0.0</v>
      </c>
      <c r="F1860" s="4">
        <v>9.0</v>
      </c>
      <c r="G1860" s="4" t="s">
        <v>2823</v>
      </c>
    </row>
    <row r="1861">
      <c r="A1861" s="1">
        <v>1859.0</v>
      </c>
      <c r="B1861" s="4" t="s">
        <v>2848</v>
      </c>
      <c r="C1861" s="5" t="str">
        <f>IFERROR(__xludf.DUMMYFUNCTION("GOOGLETRANSLATE(D:D,""auto"",""en"")"),"High incidence of epidemic temporarily for Beijing")</f>
        <v>High incidence of epidemic temporarily for Beijing</v>
      </c>
      <c r="D1861" s="4" t="s">
        <v>2859</v>
      </c>
      <c r="E1861" s="4">
        <v>0.0</v>
      </c>
      <c r="F1861" s="4">
        <v>10.0</v>
      </c>
      <c r="G1861" s="4" t="s">
        <v>2860</v>
      </c>
    </row>
    <row r="1862">
      <c r="A1862" s="1">
        <v>1860.0</v>
      </c>
      <c r="B1862" s="4" t="s">
        <v>2848</v>
      </c>
      <c r="C1862" s="5" t="str">
        <f>IFERROR(__xludf.DUMMYFUNCTION("GOOGLETRANSLATE(D:D,""auto"",""en"")"),"City Hall to pay tribute to Li Wenliang")</f>
        <v>City Hall to pay tribute to Li Wenliang</v>
      </c>
      <c r="D1862" s="4" t="s">
        <v>2861</v>
      </c>
      <c r="E1862" s="4">
        <v>0.0</v>
      </c>
      <c r="F1862" s="4">
        <v>11.0</v>
      </c>
      <c r="G1862" s="4" t="s">
        <v>2862</v>
      </c>
    </row>
    <row r="1863">
      <c r="A1863" s="1">
        <v>1861.0</v>
      </c>
      <c r="B1863" s="4" t="s">
        <v>2848</v>
      </c>
      <c r="C1863" s="5" t="str">
        <f>IFERROR(__xludf.DUMMYFUNCTION("GOOGLETRANSLATE(D:D,""auto"",""en"")"),"The doctor explained infected 15 seconds")</f>
        <v>The doctor explained infected 15 seconds</v>
      </c>
      <c r="D1863" s="4" t="s">
        <v>2863</v>
      </c>
      <c r="E1863" s="4">
        <v>0.0</v>
      </c>
      <c r="F1863" s="4">
        <v>12.0</v>
      </c>
      <c r="G1863" s="4" t="s">
        <v>2864</v>
      </c>
    </row>
    <row r="1864">
      <c r="A1864" s="1">
        <v>1862.0</v>
      </c>
      <c r="B1864" s="4" t="s">
        <v>2848</v>
      </c>
      <c r="C1864" s="5" t="str">
        <f>IFERROR(__xludf.DUMMYFUNCTION("GOOGLETRANSLATE(D:D,""auto"",""en"")"),"Queuing up to buy the infected duck")</f>
        <v>Queuing up to buy the infected duck</v>
      </c>
      <c r="D1864" s="4" t="s">
        <v>2865</v>
      </c>
      <c r="E1864" s="4">
        <v>0.0</v>
      </c>
      <c r="F1864" s="4">
        <v>13.0</v>
      </c>
      <c r="G1864" s="4" t="s">
        <v>2866</v>
      </c>
    </row>
    <row r="1865">
      <c r="A1865" s="1">
        <v>1863.0</v>
      </c>
      <c r="B1865" s="4" t="s">
        <v>2848</v>
      </c>
      <c r="C1865" s="5" t="str">
        <f>IFERROR(__xludf.DUMMYFUNCTION("GOOGLETRANSLATE(D:D,""auto"",""en"")"),"Measuring temperature refused to hold the baby was removed from office")</f>
        <v>Measuring temperature refused to hold the baby was removed from office</v>
      </c>
      <c r="D1865" s="4" t="s">
        <v>2867</v>
      </c>
      <c r="E1865" s="4">
        <v>0.0</v>
      </c>
      <c r="F1865" s="4">
        <v>14.0</v>
      </c>
      <c r="G1865" s="4" t="s">
        <v>2868</v>
      </c>
    </row>
    <row r="1866">
      <c r="A1866" s="1">
        <v>1864.0</v>
      </c>
      <c r="B1866" s="4" t="s">
        <v>2848</v>
      </c>
      <c r="C1866" s="5" t="str">
        <f>IFERROR(__xludf.DUMMYFUNCTION("GOOGLETRANSLATE(D:D,""auto"",""en"")"),"Shanghai from 45 clusters of disease")</f>
        <v>Shanghai from 45 clusters of disease</v>
      </c>
      <c r="D1866" s="4" t="s">
        <v>2869</v>
      </c>
      <c r="E1866" s="4">
        <v>0.0</v>
      </c>
      <c r="F1866" s="4">
        <v>15.0</v>
      </c>
      <c r="G1866" s="4" t="s">
        <v>2870</v>
      </c>
    </row>
    <row r="1867">
      <c r="A1867" s="1">
        <v>1865.0</v>
      </c>
      <c r="B1867" s="4" t="s">
        <v>2848</v>
      </c>
      <c r="C1867" s="5" t="str">
        <f>IFERROR(__xludf.DUMMYFUNCTION("GOOGLETRANSLATE(D:D,""auto"",""en"")"),"Or intermediate hosts pangolin")</f>
        <v>Or intermediate hosts pangolin</v>
      </c>
      <c r="D1867" s="4" t="s">
        <v>2871</v>
      </c>
      <c r="E1867" s="4">
        <v>0.0</v>
      </c>
      <c r="F1867" s="4">
        <v>16.0</v>
      </c>
      <c r="G1867" s="4" t="s">
        <v>2872</v>
      </c>
    </row>
    <row r="1868">
      <c r="A1868" s="1">
        <v>1866.0</v>
      </c>
      <c r="B1868" s="4" t="s">
        <v>2848</v>
      </c>
      <c r="C1868" s="5" t="str">
        <f>IFERROR(__xludf.DUMMYFUNCTION("GOOGLETRANSLATE(D:D,""auto"",""en"")"),"The central bank cut interest rates in response to RRR")</f>
        <v>The central bank cut interest rates in response to RRR</v>
      </c>
      <c r="D1868" s="4" t="s">
        <v>2873</v>
      </c>
      <c r="E1868" s="4">
        <v>0.0</v>
      </c>
      <c r="F1868" s="4">
        <v>17.0</v>
      </c>
      <c r="G1868" s="4" t="s">
        <v>2874</v>
      </c>
    </row>
    <row r="1869">
      <c r="A1869" s="1">
        <v>1867.0</v>
      </c>
      <c r="B1869" s="4" t="s">
        <v>2848</v>
      </c>
      <c r="C1869" s="5" t="str">
        <f>IFERROR(__xludf.DUMMYFUNCTION("GOOGLETRANSLATE(D:D,""auto"",""en"")"),"A pack a provincial city in Hubei support")</f>
        <v>A pack a provincial city in Hubei support</v>
      </c>
      <c r="D1869" s="4" t="s">
        <v>2875</v>
      </c>
      <c r="E1869" s="4">
        <v>0.0</v>
      </c>
      <c r="F1869" s="4">
        <v>18.0</v>
      </c>
      <c r="G1869" s="4" t="s">
        <v>2876</v>
      </c>
    </row>
    <row r="1870">
      <c r="A1870" s="1">
        <v>1868.0</v>
      </c>
      <c r="B1870" s="4" t="s">
        <v>2848</v>
      </c>
      <c r="C1870" s="5" t="str">
        <f>IFERROR(__xludf.DUMMYFUNCTION("GOOGLETRANSLATE(D:D,""auto"",""en"")"),"Li Wenliang comprehensive survey of events")</f>
        <v>Li Wenliang comprehensive survey of events</v>
      </c>
      <c r="D1870" s="4" t="s">
        <v>2877</v>
      </c>
      <c r="E1870" s="4">
        <v>0.0</v>
      </c>
      <c r="F1870" s="4">
        <v>19.0</v>
      </c>
      <c r="G1870" s="4" t="s">
        <v>2878</v>
      </c>
    </row>
    <row r="1871">
      <c r="A1871" s="1">
        <v>1869.0</v>
      </c>
      <c r="B1871" s="4" t="s">
        <v>2848</v>
      </c>
      <c r="C1871" s="5" t="str">
        <f>IFERROR(__xludf.DUMMYFUNCTION("GOOGLETRANSLATE(D:D,""auto"",""en"")"),"Zhou Jie donate two kilograms of rice")</f>
        <v>Zhou Jie donate two kilograms of rice</v>
      </c>
      <c r="D1871" s="4" t="s">
        <v>2879</v>
      </c>
      <c r="E1871" s="4">
        <v>0.0</v>
      </c>
      <c r="F1871" s="4">
        <v>20.0</v>
      </c>
      <c r="G1871" s="4" t="s">
        <v>2880</v>
      </c>
    </row>
    <row r="1872">
      <c r="A1872" s="1">
        <v>1870.0</v>
      </c>
      <c r="B1872" s="4" t="s">
        <v>2848</v>
      </c>
      <c r="C1872" s="5" t="str">
        <f>IFERROR(__xludf.DUMMYFUNCTION("GOOGLETRANSLATE(D:D,""auto"",""en"")"),"Confidential report forwarded punished")</f>
        <v>Confidential report forwarded punished</v>
      </c>
      <c r="D1872" s="4" t="s">
        <v>2881</v>
      </c>
      <c r="E1872" s="4">
        <v>0.0</v>
      </c>
      <c r="F1872" s="4">
        <v>21.0</v>
      </c>
      <c r="G1872" s="4" t="s">
        <v>2882</v>
      </c>
    </row>
    <row r="1873">
      <c r="A1873" s="1">
        <v>1871.0</v>
      </c>
      <c r="B1873" s="4" t="s">
        <v>2848</v>
      </c>
      <c r="C1873" s="5" t="str">
        <f>IFERROR(__xludf.DUMMYFUNCTION("GOOGLETRANSLATE(D:D,""auto"",""en"")"),"Raytheon mountain with a transfer window to send medicine")</f>
        <v>Raytheon mountain with a transfer window to send medicine</v>
      </c>
      <c r="D1873" s="4" t="s">
        <v>2883</v>
      </c>
      <c r="E1873" s="4">
        <v>0.0</v>
      </c>
      <c r="F1873" s="4">
        <v>22.0</v>
      </c>
      <c r="G1873" s="4" t="s">
        <v>2884</v>
      </c>
    </row>
    <row r="1874">
      <c r="A1874" s="1">
        <v>1872.0</v>
      </c>
      <c r="B1874" s="4" t="s">
        <v>2848</v>
      </c>
      <c r="C1874" s="5" t="str">
        <f>IFERROR(__xludf.DUMMYFUNCTION("GOOGLETRANSLATE(D:D,""auto"",""en"")"),"Epidemic turning point has not yet come")</f>
        <v>Epidemic turning point has not yet come</v>
      </c>
      <c r="D1874" s="4" t="s">
        <v>2885</v>
      </c>
      <c r="E1874" s="4">
        <v>0.0</v>
      </c>
      <c r="F1874" s="4">
        <v>23.0</v>
      </c>
      <c r="G1874" s="4" t="s">
        <v>2886</v>
      </c>
    </row>
    <row r="1875">
      <c r="A1875" s="1">
        <v>1873.0</v>
      </c>
      <c r="B1875" s="4" t="s">
        <v>2848</v>
      </c>
      <c r="C1875" s="5" t="str">
        <f>IFERROR(__xludf.DUMMYFUNCTION("GOOGLETRANSLATE(D:D,""auto"",""en"")"),"Guangdong school is not the end of February")</f>
        <v>Guangdong school is not the end of February</v>
      </c>
      <c r="D1875" s="4" t="s">
        <v>2887</v>
      </c>
      <c r="E1875" s="4">
        <v>0.0</v>
      </c>
      <c r="F1875" s="4">
        <v>24.0</v>
      </c>
      <c r="G1875" s="4" t="s">
        <v>2888</v>
      </c>
    </row>
    <row r="1876">
      <c r="A1876" s="1">
        <v>1874.0</v>
      </c>
      <c r="B1876" s="4" t="s">
        <v>2848</v>
      </c>
      <c r="C1876" s="5" t="str">
        <f>IFERROR(__xludf.DUMMYFUNCTION("GOOGLETRANSLATE(D:D,""auto"",""en"")"),"Li Wenliang was identified as work-related injuries")</f>
        <v>Li Wenliang was identified as work-related injuries</v>
      </c>
      <c r="D1876" s="4" t="s">
        <v>2889</v>
      </c>
      <c r="E1876" s="4">
        <v>0.0</v>
      </c>
      <c r="F1876" s="4">
        <v>25.0</v>
      </c>
      <c r="G1876" s="4" t="s">
        <v>2890</v>
      </c>
    </row>
    <row r="1877">
      <c r="A1877" s="1">
        <v>1875.0</v>
      </c>
      <c r="B1877" s="4" t="s">
        <v>2848</v>
      </c>
      <c r="C1877" s="5" t="str">
        <f>IFERROR(__xludf.DUMMYFUNCTION("GOOGLETRANSLATE(D:D,""auto"",""en"")"),"Three generations of six people infected")</f>
        <v>Three generations of six people infected</v>
      </c>
      <c r="D1877" s="4" t="s">
        <v>2891</v>
      </c>
      <c r="E1877" s="4">
        <v>0.0</v>
      </c>
      <c r="F1877" s="4">
        <v>26.0</v>
      </c>
      <c r="G1877" s="4" t="s">
        <v>2892</v>
      </c>
    </row>
    <row r="1878">
      <c r="A1878" s="1">
        <v>1876.0</v>
      </c>
      <c r="B1878" s="4" t="s">
        <v>2848</v>
      </c>
      <c r="C1878" s="5" t="str">
        <f>IFERROR(__xludf.DUMMYFUNCTION("GOOGLETRANSLATE(D:D,""auto"",""en"")"),"Wuhan citizens mourn Li Wenliang")</f>
        <v>Wuhan citizens mourn Li Wenliang</v>
      </c>
      <c r="D1878" s="4" t="s">
        <v>2893</v>
      </c>
      <c r="E1878" s="4">
        <v>0.0</v>
      </c>
      <c r="F1878" s="4">
        <v>27.0</v>
      </c>
      <c r="G1878" s="4" t="s">
        <v>2894</v>
      </c>
    </row>
    <row r="1879">
      <c r="A1879" s="1">
        <v>1877.0</v>
      </c>
      <c r="B1879" s="4" t="s">
        <v>2848</v>
      </c>
      <c r="C1879" s="5" t="str">
        <f>IFERROR(__xludf.DUMMYFUNCTION("GOOGLETRANSLATE(D:D,""auto"",""en"")"),"294 people were arrested epidemic of fraud")</f>
        <v>294 people were arrested epidemic of fraud</v>
      </c>
      <c r="D1879" s="4" t="s">
        <v>2810</v>
      </c>
      <c r="E1879" s="4">
        <v>0.0</v>
      </c>
      <c r="F1879" s="4">
        <v>28.0</v>
      </c>
      <c r="G1879" s="4" t="s">
        <v>2811</v>
      </c>
    </row>
    <row r="1880">
      <c r="A1880" s="1">
        <v>1878.0</v>
      </c>
      <c r="B1880" s="4" t="s">
        <v>2848</v>
      </c>
      <c r="C1880" s="5" t="str">
        <f>IFERROR(__xludf.DUMMYFUNCTION("GOOGLETRANSLATE(D:D,""auto"",""en"")"),"Wuhan epidemic meet three challenges")</f>
        <v>Wuhan epidemic meet three challenges</v>
      </c>
      <c r="D1880" s="4" t="s">
        <v>2806</v>
      </c>
      <c r="E1880" s="4">
        <v>0.0</v>
      </c>
      <c r="F1880" s="4">
        <v>29.0</v>
      </c>
      <c r="G1880" s="4" t="s">
        <v>2807</v>
      </c>
    </row>
    <row r="1881">
      <c r="A1881" s="1">
        <v>1879.0</v>
      </c>
      <c r="B1881" s="4" t="s">
        <v>2848</v>
      </c>
      <c r="C1881" s="5" t="str">
        <f>IFERROR(__xludf.DUMMYFUNCTION("GOOGLETRANSLATE(D:D,""auto"",""en"")"),"Heihe City 3.8 earthquake")</f>
        <v>Heihe City 3.8 earthquake</v>
      </c>
      <c r="D1881" s="4" t="s">
        <v>2895</v>
      </c>
      <c r="E1881" s="4">
        <v>0.0</v>
      </c>
      <c r="F1881" s="4">
        <v>30.0</v>
      </c>
      <c r="G1881" s="4" t="s">
        <v>2896</v>
      </c>
    </row>
    <row r="1882">
      <c r="A1882" s="1">
        <v>1880.0</v>
      </c>
      <c r="B1882" s="4" t="s">
        <v>2848</v>
      </c>
      <c r="C1882" s="5" t="str">
        <f>IFERROR(__xludf.DUMMYFUNCTION("GOOGLETRANSLATE(D:D,""auto"",""en"")"),"Bryant memorial service arrangements finalized")</f>
        <v>Bryant memorial service arrangements finalized</v>
      </c>
      <c r="D1882" s="4" t="s">
        <v>2897</v>
      </c>
      <c r="E1882" s="4">
        <v>0.0</v>
      </c>
      <c r="F1882" s="4">
        <v>31.0</v>
      </c>
      <c r="G1882" s="4" t="s">
        <v>2898</v>
      </c>
    </row>
    <row r="1883">
      <c r="A1883" s="1">
        <v>1881.0</v>
      </c>
      <c r="B1883" s="4" t="s">
        <v>2848</v>
      </c>
      <c r="C1883" s="5" t="str">
        <f>IFERROR(__xludf.DUMMYFUNCTION("GOOGLETRANSLATE(D:D,""auto"",""en"")"),"Philippines 6.1 earthquake")</f>
        <v>Philippines 6.1 earthquake</v>
      </c>
      <c r="D1883" s="4" t="s">
        <v>2899</v>
      </c>
      <c r="E1883" s="4">
        <v>0.0</v>
      </c>
      <c r="F1883" s="4">
        <v>32.0</v>
      </c>
      <c r="G1883" s="4" t="s">
        <v>2900</v>
      </c>
    </row>
    <row r="1884">
      <c r="A1884" s="1">
        <v>1882.0</v>
      </c>
      <c r="B1884" s="4" t="s">
        <v>2848</v>
      </c>
      <c r="C1884" s="5" t="str">
        <f>IFERROR(__xludf.DUMMYFUNCTION("GOOGLETRANSLATE(D:D,""auto"",""en"")"),"One batch of pneumonia")</f>
        <v>One batch of pneumonia</v>
      </c>
      <c r="D1884" s="4" t="s">
        <v>2798</v>
      </c>
      <c r="E1884" s="4">
        <v>0.0</v>
      </c>
      <c r="F1884" s="4">
        <v>33.0</v>
      </c>
      <c r="G1884" s="4" t="s">
        <v>2799</v>
      </c>
    </row>
    <row r="1885">
      <c r="A1885" s="1">
        <v>1883.0</v>
      </c>
      <c r="B1885" s="4" t="s">
        <v>2848</v>
      </c>
      <c r="C1885" s="5" t="str">
        <f>IFERROR(__xludf.DUMMYFUNCTION("GOOGLETRANSLATE(D:D,""auto"",""en"")"),"Computer simulation epidemic trend")</f>
        <v>Computer simulation epidemic trend</v>
      </c>
      <c r="D1885" s="4" t="s">
        <v>2814</v>
      </c>
      <c r="E1885" s="4">
        <v>0.0</v>
      </c>
      <c r="F1885" s="4">
        <v>34.0</v>
      </c>
      <c r="G1885" s="4" t="s">
        <v>2815</v>
      </c>
    </row>
    <row r="1886">
      <c r="A1886" s="1">
        <v>1884.0</v>
      </c>
      <c r="B1886" s="4" t="s">
        <v>2848</v>
      </c>
      <c r="C1886" s="5" t="str">
        <f>IFERROR(__xludf.DUMMYFUNCTION("GOOGLETRANSLATE(D:D,""auto"",""en"")"),"Nintendo issued an apology")</f>
        <v>Nintendo issued an apology</v>
      </c>
      <c r="D1886" s="4" t="s">
        <v>2901</v>
      </c>
      <c r="E1886" s="4">
        <v>0.0</v>
      </c>
      <c r="F1886" s="4">
        <v>35.0</v>
      </c>
      <c r="G1886" s="4" t="s">
        <v>2902</v>
      </c>
    </row>
    <row r="1887">
      <c r="A1887" s="1">
        <v>1885.0</v>
      </c>
      <c r="B1887" s="4" t="s">
        <v>2848</v>
      </c>
      <c r="C1887" s="5" t="str">
        <f>IFERROR(__xludf.DUMMYFUNCTION("GOOGLETRANSLATE(D:D,""auto"",""en"")"),"Ali made the most stringent ban masks")</f>
        <v>Ali made the most stringent ban masks</v>
      </c>
      <c r="D1887" s="4" t="s">
        <v>2804</v>
      </c>
      <c r="E1887" s="4">
        <v>0.0</v>
      </c>
      <c r="F1887" s="4">
        <v>36.0</v>
      </c>
      <c r="G1887" s="4" t="s">
        <v>2805</v>
      </c>
    </row>
    <row r="1888">
      <c r="A1888" s="1">
        <v>1886.0</v>
      </c>
      <c r="B1888" s="4" t="s">
        <v>2848</v>
      </c>
      <c r="C1888" s="5" t="str">
        <f>IFERROR(__xludf.DUMMYFUNCTION("GOOGLETRANSLATE(D:D,""auto"",""en"")"),"Sun Yuchen Buffett total meal")</f>
        <v>Sun Yuchen Buffett total meal</v>
      </c>
      <c r="D1888" s="4" t="s">
        <v>2903</v>
      </c>
      <c r="E1888" s="4">
        <v>0.0</v>
      </c>
      <c r="F1888" s="4">
        <v>37.0</v>
      </c>
      <c r="G1888" s="4" t="s">
        <v>2904</v>
      </c>
    </row>
    <row r="1889">
      <c r="A1889" s="1">
        <v>1887.0</v>
      </c>
      <c r="B1889" s="4" t="s">
        <v>2848</v>
      </c>
      <c r="C1889" s="5" t="str">
        <f>IFERROR(__xludf.DUMMYFUNCTION("GOOGLETRANSLATE(D:D,""auto"",""en"")"),"President Hu Shao either Raytheon Hill")</f>
        <v>President Hu Shao either Raytheon Hill</v>
      </c>
      <c r="D1889" s="4" t="s">
        <v>2905</v>
      </c>
      <c r="E1889" s="4">
        <v>0.0</v>
      </c>
      <c r="F1889" s="4">
        <v>38.0</v>
      </c>
      <c r="G1889" s="4" t="s">
        <v>2906</v>
      </c>
    </row>
    <row r="1890">
      <c r="A1890" s="1">
        <v>1888.0</v>
      </c>
      <c r="B1890" s="4" t="s">
        <v>2848</v>
      </c>
      <c r="C1890" s="5" t="str">
        <f>IFERROR(__xludf.DUMMYFUNCTION("GOOGLETRANSLATE(D:D,""auto"",""en"")"),"WHO declined to talk about the number of infection")</f>
        <v>WHO declined to talk about the number of infection</v>
      </c>
      <c r="D1890" s="4" t="s">
        <v>2907</v>
      </c>
      <c r="E1890" s="4">
        <v>0.0</v>
      </c>
      <c r="F1890" s="4">
        <v>39.0</v>
      </c>
      <c r="G1890" s="4" t="s">
        <v>2908</v>
      </c>
    </row>
    <row r="1891">
      <c r="A1891" s="1">
        <v>1889.0</v>
      </c>
      <c r="B1891" s="4" t="s">
        <v>2848</v>
      </c>
      <c r="C1891" s="5" t="str">
        <f>IFERROR(__xludf.DUMMYFUNCTION("GOOGLETRANSLATE(D:D,""auto"",""en"")"),"Sandy Lam Kung break")</f>
        <v>Sandy Lam Kung break</v>
      </c>
      <c r="D1891" s="4" t="s">
        <v>2812</v>
      </c>
      <c r="E1891" s="4">
        <v>0.0</v>
      </c>
      <c r="F1891" s="4">
        <v>40.0</v>
      </c>
      <c r="G1891" s="4" t="s">
        <v>2813</v>
      </c>
    </row>
    <row r="1892">
      <c r="A1892" s="1">
        <v>1890.0</v>
      </c>
      <c r="B1892" s="4" t="s">
        <v>2848</v>
      </c>
      <c r="C1892" s="5" t="str">
        <f>IFERROR(__xludf.DUMMYFUNCTION("GOOGLETRANSLATE(D:D,""auto"",""en"")"),"Zhengzhou return to work time")</f>
        <v>Zhengzhou return to work time</v>
      </c>
      <c r="D1892" s="4" t="s">
        <v>2794</v>
      </c>
      <c r="E1892" s="4">
        <v>0.0</v>
      </c>
      <c r="F1892" s="4">
        <v>41.0</v>
      </c>
      <c r="G1892" s="4" t="s">
        <v>2795</v>
      </c>
    </row>
    <row r="1893">
      <c r="A1893" s="1">
        <v>1891.0</v>
      </c>
      <c r="B1893" s="4" t="s">
        <v>2848</v>
      </c>
      <c r="C1893" s="5" t="str">
        <f>IFERROR(__xludf.DUMMYFUNCTION("GOOGLETRANSLATE(D:D,""auto"",""en"")"),"National decline in new cases")</f>
        <v>National decline in new cases</v>
      </c>
      <c r="D1893" s="4" t="s">
        <v>2909</v>
      </c>
      <c r="E1893" s="4">
        <v>0.0</v>
      </c>
      <c r="F1893" s="4">
        <v>42.0</v>
      </c>
      <c r="G1893" s="4" t="s">
        <v>2910</v>
      </c>
    </row>
    <row r="1894">
      <c r="A1894" s="1">
        <v>1892.0</v>
      </c>
      <c r="B1894" s="4" t="s">
        <v>2848</v>
      </c>
      <c r="C1894" s="5" t="str">
        <f>IFERROR(__xludf.DUMMYFUNCTION("GOOGLETRANSLATE(D:D,""auto"",""en"")"),"Exposure Sicong rain date")</f>
        <v>Exposure Sicong rain date</v>
      </c>
      <c r="D1894" s="4" t="s">
        <v>2911</v>
      </c>
      <c r="E1894" s="4">
        <v>0.0</v>
      </c>
      <c r="F1894" s="4">
        <v>43.0</v>
      </c>
      <c r="G1894" s="4" t="s">
        <v>2912</v>
      </c>
    </row>
    <row r="1895">
      <c r="A1895" s="1">
        <v>1893.0</v>
      </c>
      <c r="B1895" s="4" t="s">
        <v>2848</v>
      </c>
      <c r="C1895" s="5" t="str">
        <f>IFERROR(__xludf.DUMMYFUNCTION("GOOGLETRANSLATE(D:D,""auto"",""en"")"),"Patients infected people playing mahjong")</f>
        <v>Patients infected people playing mahjong</v>
      </c>
      <c r="D1895" s="4" t="s">
        <v>2913</v>
      </c>
      <c r="E1895" s="4">
        <v>0.0</v>
      </c>
      <c r="F1895" s="4">
        <v>44.0</v>
      </c>
      <c r="G1895" s="4" t="s">
        <v>2914</v>
      </c>
    </row>
    <row r="1896">
      <c r="A1896" s="1">
        <v>1894.0</v>
      </c>
      <c r="B1896" s="4" t="s">
        <v>2848</v>
      </c>
      <c r="C1896" s="5" t="str">
        <f>IFERROR(__xludf.DUMMYFUNCTION("GOOGLETRANSLATE(D:D,""auto"",""en"")"),"Xiamen Airlines sister choked broadcast")</f>
        <v>Xiamen Airlines sister choked broadcast</v>
      </c>
      <c r="D1896" s="4" t="s">
        <v>2800</v>
      </c>
      <c r="E1896" s="4">
        <v>0.0</v>
      </c>
      <c r="F1896" s="4">
        <v>45.0</v>
      </c>
      <c r="G1896" s="4" t="s">
        <v>2801</v>
      </c>
    </row>
    <row r="1897">
      <c r="A1897" s="1">
        <v>1895.0</v>
      </c>
      <c r="B1897" s="4" t="s">
        <v>2848</v>
      </c>
      <c r="C1897" s="5" t="str">
        <f>IFERROR(__xludf.DUMMYFUNCTION("GOOGLETRANSLATE(D:D,""auto"",""en"")"),"Japan's first company to withdraw from China")</f>
        <v>Japan's first company to withdraw from China</v>
      </c>
      <c r="D1897" s="4" t="s">
        <v>2802</v>
      </c>
      <c r="E1897" s="4">
        <v>0.0</v>
      </c>
      <c r="F1897" s="4">
        <v>46.0</v>
      </c>
      <c r="G1897" s="4" t="s">
        <v>2803</v>
      </c>
    </row>
    <row r="1898">
      <c r="A1898" s="1">
        <v>1896.0</v>
      </c>
      <c r="B1898" s="4" t="s">
        <v>2848</v>
      </c>
      <c r="C1898" s="5" t="str">
        <f>IFERROR(__xludf.DUMMYFUNCTION("GOOGLETRANSLATE(D:D,""auto"",""en"")"),"US aid arrived in Wuhan")</f>
        <v>US aid arrived in Wuhan</v>
      </c>
      <c r="D1898" s="4" t="s">
        <v>2780</v>
      </c>
      <c r="E1898" s="4">
        <v>0.0</v>
      </c>
      <c r="F1898" s="4">
        <v>47.0</v>
      </c>
      <c r="G1898" s="4" t="s">
        <v>2781</v>
      </c>
    </row>
    <row r="1899">
      <c r="A1899" s="1">
        <v>1897.0</v>
      </c>
      <c r="B1899" s="4" t="s">
        <v>2848</v>
      </c>
      <c r="C1899" s="5" t="str">
        <f>IFERROR(__xludf.DUMMYFUNCTION("GOOGLETRANSLATE(D:D,""auto"",""en"")"),"Foxconn masks")</f>
        <v>Foxconn masks</v>
      </c>
      <c r="D1899" s="4" t="s">
        <v>2915</v>
      </c>
      <c r="E1899" s="4">
        <v>0.0</v>
      </c>
      <c r="F1899" s="4">
        <v>48.0</v>
      </c>
      <c r="G1899" s="4" t="s">
        <v>2916</v>
      </c>
    </row>
    <row r="1900">
      <c r="A1900" s="1">
        <v>1898.0</v>
      </c>
      <c r="B1900" s="4" t="s">
        <v>2848</v>
      </c>
      <c r="C1900" s="5" t="str">
        <f>IFERROR(__xludf.DUMMYFUNCTION("GOOGLETRANSLATE(D:D,""auto"",""en"")"),"784 cases of confirmed cases Details")</f>
        <v>784 cases of confirmed cases Details</v>
      </c>
      <c r="D1900" s="4" t="s">
        <v>2824</v>
      </c>
      <c r="E1900" s="4">
        <v>0.0</v>
      </c>
      <c r="F1900" s="4">
        <v>49.0</v>
      </c>
      <c r="G1900" s="4" t="s">
        <v>2825</v>
      </c>
    </row>
    <row r="1901">
      <c r="A1901" s="1">
        <v>1899.0</v>
      </c>
      <c r="B1901" s="4" t="s">
        <v>2848</v>
      </c>
      <c r="C1901" s="5" t="str">
        <f>IFERROR(__xludf.DUMMYFUNCTION("GOOGLETRANSLATE(D:D,""auto"",""en"")"),"WHO cherish the memory of Li Wenliang")</f>
        <v>WHO cherish the memory of Li Wenliang</v>
      </c>
      <c r="D1901" s="4" t="s">
        <v>2917</v>
      </c>
      <c r="E1901" s="4">
        <v>0.0</v>
      </c>
      <c r="F1901" s="4">
        <v>50.0</v>
      </c>
      <c r="G1901" s="4" t="s">
        <v>2918</v>
      </c>
    </row>
    <row r="1902">
      <c r="A1902" s="1">
        <v>1900.0</v>
      </c>
      <c r="B1902" s="4" t="s">
        <v>2919</v>
      </c>
      <c r="C1902" s="5" t="str">
        <f>IFERROR(__xludf.DUMMYFUNCTION("GOOGLETRANSLATE(D:D,""auto"",""en"")"),"Li Wenliang was identified as work-related injuries")</f>
        <v>Li Wenliang was identified as work-related injuries</v>
      </c>
      <c r="D1902" s="4" t="s">
        <v>2889</v>
      </c>
      <c r="E1902" s="4">
        <v>0.0</v>
      </c>
      <c r="F1902" s="4">
        <v>1.0</v>
      </c>
      <c r="G1902" s="4" t="s">
        <v>2890</v>
      </c>
    </row>
    <row r="1903">
      <c r="A1903" s="1">
        <v>1901.0</v>
      </c>
      <c r="B1903" s="4" t="s">
        <v>2919</v>
      </c>
      <c r="C1903" s="5" t="str">
        <f>IFERROR(__xludf.DUMMYFUNCTION("GOOGLETRANSLATE(D:D,""auto"",""en"")"),"Three generations of six people infected")</f>
        <v>Three generations of six people infected</v>
      </c>
      <c r="D1903" s="4" t="s">
        <v>2891</v>
      </c>
      <c r="E1903" s="4">
        <v>0.0</v>
      </c>
      <c r="F1903" s="4">
        <v>2.0</v>
      </c>
      <c r="G1903" s="4" t="s">
        <v>2892</v>
      </c>
    </row>
    <row r="1904">
      <c r="A1904" s="1">
        <v>1902.0</v>
      </c>
      <c r="B1904" s="4" t="s">
        <v>2919</v>
      </c>
      <c r="C1904" s="5" t="str">
        <f>IFERROR(__xludf.DUMMYFUNCTION("GOOGLETRANSLATE(D:D,""auto"",""en"")"),"Chengdu closed community management")</f>
        <v>Chengdu closed community management</v>
      </c>
      <c r="D1904" s="4" t="s">
        <v>2920</v>
      </c>
      <c r="E1904" s="4">
        <v>0.0</v>
      </c>
      <c r="F1904" s="4">
        <v>3.0</v>
      </c>
      <c r="G1904" s="4" t="s">
        <v>2921</v>
      </c>
    </row>
    <row r="1905">
      <c r="A1905" s="1">
        <v>1903.0</v>
      </c>
      <c r="B1905" s="4" t="s">
        <v>2919</v>
      </c>
      <c r="C1905" s="5" t="str">
        <f>IFERROR(__xludf.DUMMYFUNCTION("GOOGLETRANSLATE(D:D,""auto"",""en"")"),"The new crown pneumonia mortality decline")</f>
        <v>The new crown pneumonia mortality decline</v>
      </c>
      <c r="D1905" s="4" t="s">
        <v>2922</v>
      </c>
      <c r="E1905" s="4">
        <v>0.0</v>
      </c>
      <c r="F1905" s="4">
        <v>4.0</v>
      </c>
      <c r="G1905" s="4" t="s">
        <v>2923</v>
      </c>
    </row>
    <row r="1906">
      <c r="A1906" s="1">
        <v>1904.0</v>
      </c>
      <c r="B1906" s="4" t="s">
        <v>2919</v>
      </c>
      <c r="C1906" s="5" t="str">
        <f>IFERROR(__xludf.DUMMYFUNCTION("GOOGLETRANSLATE(D:D,""auto"",""en"")"),"Beijing starting number of suspected cases")</f>
        <v>Beijing starting number of suspected cases</v>
      </c>
      <c r="D1906" s="4" t="s">
        <v>2924</v>
      </c>
      <c r="E1906" s="4">
        <v>0.0</v>
      </c>
      <c r="F1906" s="4">
        <v>5.0</v>
      </c>
      <c r="G1906" s="4" t="s">
        <v>2925</v>
      </c>
    </row>
    <row r="1907">
      <c r="A1907" s="1">
        <v>1905.0</v>
      </c>
      <c r="B1907" s="4" t="s">
        <v>2919</v>
      </c>
      <c r="C1907" s="5" t="str">
        <f>IFERROR(__xludf.DUMMYFUNCTION("GOOGLETRANSLATE(D:D,""auto"",""en"")"),"Anhui now more cases of infection in the family")</f>
        <v>Anhui now more cases of infection in the family</v>
      </c>
      <c r="D1907" s="4" t="s">
        <v>2926</v>
      </c>
      <c r="E1907" s="4">
        <v>0.0</v>
      </c>
      <c r="F1907" s="4">
        <v>6.0</v>
      </c>
      <c r="G1907" s="4" t="s">
        <v>2927</v>
      </c>
    </row>
    <row r="1908">
      <c r="A1908" s="1">
        <v>1906.0</v>
      </c>
      <c r="B1908" s="4" t="s">
        <v>2919</v>
      </c>
      <c r="C1908" s="5" t="str">
        <f>IFERROR(__xludf.DUMMYFUNCTION("GOOGLETRANSLATE(D:D,""auto"",""en"")"),"The third man appeared whistle")</f>
        <v>The third man appeared whistle</v>
      </c>
      <c r="D1908" s="4" t="s">
        <v>2928</v>
      </c>
      <c r="E1908" s="4">
        <v>0.0</v>
      </c>
      <c r="F1908" s="4">
        <v>7.0</v>
      </c>
      <c r="G1908" s="4" t="s">
        <v>2929</v>
      </c>
    </row>
    <row r="1909">
      <c r="A1909" s="1">
        <v>1907.0</v>
      </c>
      <c r="B1909" s="4" t="s">
        <v>2919</v>
      </c>
      <c r="C1909" s="5" t="str">
        <f>IFERROR(__xludf.DUMMYFUNCTION("GOOGLETRANSLATE(D:D,""auto"",""en"")"),"Wuhan citizens mourn Li Wenliang")</f>
        <v>Wuhan citizens mourn Li Wenliang</v>
      </c>
      <c r="D1909" s="4" t="s">
        <v>2893</v>
      </c>
      <c r="E1909" s="4">
        <v>0.0</v>
      </c>
      <c r="F1909" s="4">
        <v>8.0</v>
      </c>
      <c r="G1909" s="4" t="s">
        <v>2894</v>
      </c>
    </row>
    <row r="1910">
      <c r="A1910" s="1">
        <v>1908.0</v>
      </c>
      <c r="B1910" s="4" t="s">
        <v>2919</v>
      </c>
      <c r="C1910" s="5" t="str">
        <f>IFERROR(__xludf.DUMMYFUNCTION("GOOGLETRANSLATE(D:D,""auto"",""en"")"),"Apple fined 25 million euros")</f>
        <v>Apple fined 25 million euros</v>
      </c>
      <c r="D1910" s="4" t="s">
        <v>2930</v>
      </c>
      <c r="E1910" s="4">
        <v>0.0</v>
      </c>
      <c r="F1910" s="4">
        <v>9.0</v>
      </c>
      <c r="G1910" s="4" t="s">
        <v>2931</v>
      </c>
    </row>
    <row r="1911">
      <c r="A1911" s="1">
        <v>1909.0</v>
      </c>
      <c r="B1911" s="4" t="s">
        <v>2919</v>
      </c>
      <c r="C1911" s="5" t="str">
        <f>IFERROR(__xludf.DUMMYFUNCTION("GOOGLETRANSLATE(D:D,""auto"",""en"")"),"Multi-State again postpone the opening")</f>
        <v>Multi-State again postpone the opening</v>
      </c>
      <c r="D1911" s="4" t="s">
        <v>2932</v>
      </c>
      <c r="E1911" s="4">
        <v>0.0</v>
      </c>
      <c r="F1911" s="4">
        <v>10.0</v>
      </c>
      <c r="G1911" s="4" t="s">
        <v>2933</v>
      </c>
    </row>
    <row r="1912">
      <c r="A1912" s="1">
        <v>1910.0</v>
      </c>
      <c r="B1912" s="4" t="s">
        <v>2919</v>
      </c>
      <c r="C1912" s="5" t="str">
        <f>IFERROR(__xludf.DUMMYFUNCTION("GOOGLETRANSLATE(D:D,""auto"",""en"")"),"Parents recalled Li Wenliang")</f>
        <v>Parents recalled Li Wenliang</v>
      </c>
      <c r="D1912" s="4" t="s">
        <v>2934</v>
      </c>
      <c r="E1912" s="4">
        <v>0.0</v>
      </c>
      <c r="F1912" s="4">
        <v>11.0</v>
      </c>
      <c r="G1912" s="4" t="s">
        <v>2935</v>
      </c>
    </row>
    <row r="1913">
      <c r="A1913" s="1">
        <v>1911.0</v>
      </c>
      <c r="B1913" s="4" t="s">
        <v>2919</v>
      </c>
      <c r="C1913" s="5" t="str">
        <f>IFERROR(__xludf.DUMMYFUNCTION("GOOGLETRANSLATE(D:D,""auto"",""en"")"),"Exposure Tang Yan twins born")</f>
        <v>Exposure Tang Yan twins born</v>
      </c>
      <c r="D1913" s="4" t="s">
        <v>2936</v>
      </c>
      <c r="E1913" s="4">
        <v>0.0</v>
      </c>
      <c r="F1913" s="4">
        <v>12.0</v>
      </c>
      <c r="G1913" s="4" t="s">
        <v>2937</v>
      </c>
    </row>
    <row r="1914">
      <c r="A1914" s="1">
        <v>1912.0</v>
      </c>
      <c r="B1914" s="4" t="s">
        <v>2919</v>
      </c>
      <c r="C1914" s="5" t="str">
        <f>IFERROR(__xludf.DUMMYFUNCTION("GOOGLETRANSLATE(D:D,""auto"",""en"")"),"Hubei epidemic spreading to rural areas")</f>
        <v>Hubei epidemic spreading to rural areas</v>
      </c>
      <c r="D1914" s="4" t="s">
        <v>2938</v>
      </c>
      <c r="E1914" s="4">
        <v>0.0</v>
      </c>
      <c r="F1914" s="4">
        <v>13.0</v>
      </c>
      <c r="G1914" s="4" t="s">
        <v>2939</v>
      </c>
    </row>
    <row r="1915">
      <c r="A1915" s="1">
        <v>1913.0</v>
      </c>
      <c r="B1915" s="4" t="s">
        <v>2919</v>
      </c>
      <c r="C1915" s="5" t="str">
        <f>IFERROR(__xludf.DUMMYFUNCTION("GOOGLETRANSLATE(D:D,""auto"",""en"")"),"Beijing 2 deaths")</f>
        <v>Beijing 2 deaths</v>
      </c>
      <c r="D1915" s="4" t="s">
        <v>2940</v>
      </c>
      <c r="E1915" s="4">
        <v>0.0</v>
      </c>
      <c r="F1915" s="4">
        <v>14.0</v>
      </c>
      <c r="G1915" s="4" t="s">
        <v>2941</v>
      </c>
    </row>
    <row r="1916">
      <c r="A1916" s="1">
        <v>1914.0</v>
      </c>
      <c r="B1916" s="4" t="s">
        <v>2919</v>
      </c>
      <c r="C1916" s="5" t="str">
        <f>IFERROR(__xludf.DUMMYFUNCTION("GOOGLETRANSLATE(D:D,""auto"",""en"")"),"The new crown pneumonia aerosol dissemination")</f>
        <v>The new crown pneumonia aerosol dissemination</v>
      </c>
      <c r="D1916" s="4" t="s">
        <v>2942</v>
      </c>
      <c r="E1916" s="4">
        <v>0.0</v>
      </c>
      <c r="F1916" s="4">
        <v>15.0</v>
      </c>
      <c r="G1916" s="4" t="s">
        <v>2943</v>
      </c>
    </row>
    <row r="1917">
      <c r="A1917" s="1">
        <v>1915.0</v>
      </c>
      <c r="B1917" s="4" t="s">
        <v>2919</v>
      </c>
      <c r="C1917" s="5" t="str">
        <f>IFERROR(__xludf.DUMMYFUNCTION("GOOGLETRANSLATE(D:D,""auto"",""en"")"),"Recently listed a large number of masks")</f>
        <v>Recently listed a large number of masks</v>
      </c>
      <c r="D1917" s="4" t="s">
        <v>2944</v>
      </c>
      <c r="E1917" s="4">
        <v>0.0</v>
      </c>
      <c r="F1917" s="4">
        <v>16.0</v>
      </c>
      <c r="G1917" s="4" t="s">
        <v>2945</v>
      </c>
    </row>
    <row r="1918">
      <c r="A1918" s="1">
        <v>1916.0</v>
      </c>
      <c r="B1918" s="4" t="s">
        <v>2919</v>
      </c>
      <c r="C1918" s="5" t="str">
        <f>IFERROR(__xludf.DUMMYFUNCTION("GOOGLETRANSLATE(D:D,""auto"",""en"")"),"CCTV Lantern Festival evening adjustment")</f>
        <v>CCTV Lantern Festival evening adjustment</v>
      </c>
      <c r="D1918" s="4" t="s">
        <v>2946</v>
      </c>
      <c r="E1918" s="4">
        <v>0.0</v>
      </c>
      <c r="F1918" s="4">
        <v>17.0</v>
      </c>
      <c r="G1918" s="4" t="s">
        <v>2947</v>
      </c>
    </row>
    <row r="1919">
      <c r="A1919" s="1">
        <v>1917.0</v>
      </c>
      <c r="B1919" s="4" t="s">
        <v>2919</v>
      </c>
      <c r="C1919" s="5" t="str">
        <f>IFERROR(__xludf.DUMMYFUNCTION("GOOGLETRANSLATE(D:D,""auto"",""en"")"),"Li Wenliang worked Ya'an donations")</f>
        <v>Li Wenliang worked Ya'an donations</v>
      </c>
      <c r="D1919" s="4" t="s">
        <v>2948</v>
      </c>
      <c r="E1919" s="4">
        <v>0.0</v>
      </c>
      <c r="F1919" s="4">
        <v>18.0</v>
      </c>
      <c r="G1919" s="4" t="s">
        <v>2949</v>
      </c>
    </row>
    <row r="1920">
      <c r="A1920" s="1">
        <v>1918.0</v>
      </c>
      <c r="B1920" s="4" t="s">
        <v>2919</v>
      </c>
      <c r="C1920" s="5" t="str">
        <f>IFERROR(__xludf.DUMMYFUNCTION("GOOGLETRANSLATE(D:D,""auto"",""en"")"),"Qianxi village of 10 people infected")</f>
        <v>Qianxi village of 10 people infected</v>
      </c>
      <c r="D1920" s="4" t="s">
        <v>2950</v>
      </c>
      <c r="E1920" s="4">
        <v>0.0</v>
      </c>
      <c r="F1920" s="4">
        <v>19.0</v>
      </c>
      <c r="G1920" s="4" t="s">
        <v>2951</v>
      </c>
    </row>
    <row r="1921">
      <c r="A1921" s="1">
        <v>1919.0</v>
      </c>
      <c r="B1921" s="4" t="s">
        <v>2919</v>
      </c>
      <c r="C1921" s="5" t="str">
        <f>IFERROR(__xludf.DUMMYFUNCTION("GOOGLETRANSLATE(D:D,""auto"",""en"")"),"Japanese experts estimate mortality")</f>
        <v>Japanese experts estimate mortality</v>
      </c>
      <c r="D1921" s="4" t="s">
        <v>2952</v>
      </c>
      <c r="E1921" s="4">
        <v>0.0</v>
      </c>
      <c r="F1921" s="4">
        <v>20.0</v>
      </c>
      <c r="G1921" s="4" t="s">
        <v>2953</v>
      </c>
    </row>
    <row r="1922">
      <c r="A1922" s="1">
        <v>1920.0</v>
      </c>
      <c r="B1922" s="4" t="s">
        <v>2919</v>
      </c>
      <c r="C1922" s="5" t="str">
        <f>IFERROR(__xludf.DUMMYFUNCTION("GOOGLETRANSLATE(D:D,""auto"",""en"")"),"First mortgage interest rates even lower")</f>
        <v>First mortgage interest rates even lower</v>
      </c>
      <c r="D1922" s="4" t="s">
        <v>2954</v>
      </c>
      <c r="E1922" s="4">
        <v>0.0</v>
      </c>
      <c r="F1922" s="4">
        <v>21.0</v>
      </c>
      <c r="G1922" s="4" t="s">
        <v>2955</v>
      </c>
    </row>
    <row r="1923">
      <c r="A1923" s="1">
        <v>1921.0</v>
      </c>
      <c r="B1923" s="4" t="s">
        <v>2919</v>
      </c>
      <c r="C1923" s="5" t="str">
        <f>IFERROR(__xludf.DUMMYFUNCTION("GOOGLETRANSLATE(D:D,""auto"",""en"")"),"Shaanxi landslides")</f>
        <v>Shaanxi landslides</v>
      </c>
      <c r="D1923" s="4" t="s">
        <v>2956</v>
      </c>
      <c r="E1923" s="4">
        <v>0.0</v>
      </c>
      <c r="F1923" s="4">
        <v>22.0</v>
      </c>
      <c r="G1923" s="4" t="s">
        <v>2957</v>
      </c>
    </row>
    <row r="1924">
      <c r="A1924" s="1">
        <v>1922.0</v>
      </c>
      <c r="B1924" s="4" t="s">
        <v>2919</v>
      </c>
      <c r="C1924" s="5" t="str">
        <f>IFERROR(__xludf.DUMMYFUNCTION("GOOGLETRANSLATE(D:D,""auto"",""en"")"),"Delayed return to work the new salary policy")</f>
        <v>Delayed return to work the new salary policy</v>
      </c>
      <c r="D1924" s="4" t="s">
        <v>2958</v>
      </c>
      <c r="E1924" s="4">
        <v>0.0</v>
      </c>
      <c r="F1924" s="4">
        <v>23.0</v>
      </c>
      <c r="G1924" s="4" t="s">
        <v>2959</v>
      </c>
    </row>
    <row r="1925">
      <c r="A1925" s="1">
        <v>1923.0</v>
      </c>
      <c r="B1925" s="4" t="s">
        <v>2919</v>
      </c>
      <c r="C1925" s="5" t="str">
        <f>IFERROR(__xludf.DUMMYFUNCTION("GOOGLETRANSLATE(D:D,""auto"",""en"")"),"After isolation diagnosed two weeks")</f>
        <v>After isolation diagnosed two weeks</v>
      </c>
      <c r="D1925" s="4" t="s">
        <v>2960</v>
      </c>
      <c r="E1925" s="4">
        <v>0.0</v>
      </c>
      <c r="F1925" s="4">
        <v>24.0</v>
      </c>
      <c r="G1925" s="4" t="s">
        <v>2961</v>
      </c>
    </row>
    <row r="1926">
      <c r="A1926" s="1">
        <v>1924.0</v>
      </c>
      <c r="B1926" s="4" t="s">
        <v>2919</v>
      </c>
      <c r="C1926" s="5" t="str">
        <f>IFERROR(__xludf.DUMMYFUNCTION("GOOGLETRANSLATE(D:D,""auto"",""en"")"),"CCTV Lantern Festival special program")</f>
        <v>CCTV Lantern Festival special program</v>
      </c>
      <c r="D1926" s="4" t="s">
        <v>2962</v>
      </c>
      <c r="E1926" s="4">
        <v>0.0</v>
      </c>
      <c r="F1926" s="4">
        <v>25.0</v>
      </c>
      <c r="G1926" s="4" t="s">
        <v>2963</v>
      </c>
    </row>
    <row r="1927">
      <c r="A1927" s="1">
        <v>1925.0</v>
      </c>
      <c r="B1927" s="4" t="s">
        <v>2919</v>
      </c>
      <c r="C1927" s="5" t="str">
        <f>IFERROR(__xludf.DUMMYFUNCTION("GOOGLETRANSLATE(D:D,""auto"",""en"")"),"Lantern Festival party")</f>
        <v>Lantern Festival party</v>
      </c>
      <c r="D1927" s="4" t="s">
        <v>2964</v>
      </c>
      <c r="E1927" s="4">
        <v>0.0</v>
      </c>
      <c r="F1927" s="4">
        <v>26.0</v>
      </c>
      <c r="G1927" s="4" t="s">
        <v>2965</v>
      </c>
    </row>
    <row r="1928">
      <c r="A1928" s="1">
        <v>1926.0</v>
      </c>
      <c r="B1928" s="4" t="s">
        <v>2919</v>
      </c>
      <c r="C1928" s="5" t="str">
        <f>IFERROR(__xludf.DUMMYFUNCTION("GOOGLETRANSLATE(D:D,""auto"",""en"")"),"Guangdong school is not the end of February")</f>
        <v>Guangdong school is not the end of February</v>
      </c>
      <c r="D1928" s="4" t="s">
        <v>2887</v>
      </c>
      <c r="E1928" s="4">
        <v>0.0</v>
      </c>
      <c r="F1928" s="4">
        <v>27.0</v>
      </c>
      <c r="G1928" s="4" t="s">
        <v>2888</v>
      </c>
    </row>
    <row r="1929">
      <c r="A1929" s="1">
        <v>1927.0</v>
      </c>
      <c r="B1929" s="4" t="s">
        <v>2919</v>
      </c>
      <c r="C1929" s="5" t="str">
        <f>IFERROR(__xludf.DUMMYFUNCTION("GOOGLETRANSLATE(D:D,""auto"",""en"")"),"Wuhan will increase 5400 beds")</f>
        <v>Wuhan will increase 5400 beds</v>
      </c>
      <c r="D1929" s="4" t="s">
        <v>2966</v>
      </c>
      <c r="E1929" s="4">
        <v>0.0</v>
      </c>
      <c r="F1929" s="4">
        <v>28.0</v>
      </c>
      <c r="G1929" s="4" t="s">
        <v>2967</v>
      </c>
    </row>
    <row r="1930">
      <c r="A1930" s="1">
        <v>1928.0</v>
      </c>
      <c r="B1930" s="4" t="s">
        <v>2919</v>
      </c>
      <c r="C1930" s="5" t="str">
        <f>IFERROR(__xludf.DUMMYFUNCTION("GOOGLETRANSLATE(D:D,""auto"",""en"")"),"Li Wenliang comprehensive survey of events")</f>
        <v>Li Wenliang comprehensive survey of events</v>
      </c>
      <c r="D1930" s="4" t="s">
        <v>2877</v>
      </c>
      <c r="E1930" s="4">
        <v>0.0</v>
      </c>
      <c r="F1930" s="4">
        <v>29.0</v>
      </c>
      <c r="G1930" s="4" t="s">
        <v>2878</v>
      </c>
    </row>
    <row r="1931">
      <c r="A1931" s="1">
        <v>1929.0</v>
      </c>
      <c r="B1931" s="4" t="s">
        <v>2919</v>
      </c>
      <c r="C1931" s="5" t="str">
        <f>IFERROR(__xludf.DUMMYFUNCTION("GOOGLETRANSLATE(D:D,""auto"",""en"")"),"Experts on the Lantern Festival inflection point")</f>
        <v>Experts on the Lantern Festival inflection point</v>
      </c>
      <c r="D1931" s="4" t="s">
        <v>2968</v>
      </c>
      <c r="E1931" s="4">
        <v>0.0</v>
      </c>
      <c r="F1931" s="4">
        <v>30.0</v>
      </c>
      <c r="G1931" s="4" t="s">
        <v>2969</v>
      </c>
    </row>
    <row r="1932">
      <c r="A1932" s="1">
        <v>1930.0</v>
      </c>
      <c r="B1932" s="4" t="s">
        <v>2919</v>
      </c>
      <c r="C1932" s="5" t="str">
        <f>IFERROR(__xludf.DUMMYFUNCTION("GOOGLETRANSLATE(D:D,""auto"",""en"")"),"Bryant crash report")</f>
        <v>Bryant crash report</v>
      </c>
      <c r="D1932" s="4" t="s">
        <v>2970</v>
      </c>
      <c r="E1932" s="4">
        <v>0.0</v>
      </c>
      <c r="F1932" s="4">
        <v>31.0</v>
      </c>
      <c r="G1932" s="4" t="s">
        <v>2971</v>
      </c>
    </row>
    <row r="1933">
      <c r="A1933" s="1">
        <v>1931.0</v>
      </c>
      <c r="B1933" s="4" t="s">
        <v>2919</v>
      </c>
      <c r="C1933" s="5" t="str">
        <f>IFERROR(__xludf.DUMMYFUNCTION("GOOGLETRANSLATE(D:D,""auto"",""en"")"),"Pneumonia No. 1 party approved")</f>
        <v>Pneumonia No. 1 party approved</v>
      </c>
      <c r="D1933" s="4" t="s">
        <v>2972</v>
      </c>
      <c r="E1933" s="4">
        <v>0.0</v>
      </c>
      <c r="F1933" s="4">
        <v>32.0</v>
      </c>
      <c r="G1933" s="4" t="s">
        <v>2973</v>
      </c>
    </row>
    <row r="1934">
      <c r="A1934" s="1">
        <v>1932.0</v>
      </c>
      <c r="B1934" s="4" t="s">
        <v>2919</v>
      </c>
      <c r="C1934" s="5" t="str">
        <f>IFERROR(__xludf.DUMMYFUNCTION("GOOGLETRANSLATE(D:D,""auto"",""en"")"),"Confidential report forwarded punished")</f>
        <v>Confidential report forwarded punished</v>
      </c>
      <c r="D1934" s="4" t="s">
        <v>2881</v>
      </c>
      <c r="E1934" s="4">
        <v>0.0</v>
      </c>
      <c r="F1934" s="4">
        <v>33.0</v>
      </c>
      <c r="G1934" s="4" t="s">
        <v>2882</v>
      </c>
    </row>
    <row r="1935">
      <c r="A1935" s="1">
        <v>1933.0</v>
      </c>
      <c r="B1935" s="4" t="s">
        <v>2919</v>
      </c>
      <c r="C1935" s="5" t="str">
        <f>IFERROR(__xludf.DUMMYFUNCTION("GOOGLETRANSLATE(D:D,""auto"",""en"")"),"Wuhan fully cooperate with the investigation team")</f>
        <v>Wuhan fully cooperate with the investigation team</v>
      </c>
      <c r="D1935" s="4" t="s">
        <v>2974</v>
      </c>
      <c r="E1935" s="4">
        <v>0.0</v>
      </c>
      <c r="F1935" s="4">
        <v>34.0</v>
      </c>
      <c r="G1935" s="4" t="s">
        <v>2975</v>
      </c>
    </row>
    <row r="1936">
      <c r="A1936" s="1">
        <v>1934.0</v>
      </c>
      <c r="B1936" s="4" t="s">
        <v>2919</v>
      </c>
      <c r="C1936" s="5" t="str">
        <f>IFERROR(__xludf.DUMMYFUNCTION("GOOGLETRANSLATE(D:D,""auto"",""en"")"),"Control Yuan investigation team arrived in Wuhan")</f>
        <v>Control Yuan investigation team arrived in Wuhan</v>
      </c>
      <c r="D1936" s="4" t="s">
        <v>2976</v>
      </c>
      <c r="E1936" s="4">
        <v>0.0</v>
      </c>
      <c r="F1936" s="4">
        <v>35.0</v>
      </c>
      <c r="G1936" s="4" t="s">
        <v>2977</v>
      </c>
    </row>
    <row r="1937">
      <c r="A1937" s="1">
        <v>1935.0</v>
      </c>
      <c r="B1937" s="4" t="s">
        <v>2919</v>
      </c>
      <c r="C1937" s="5" t="str">
        <f>IFERROR(__xludf.DUMMYFUNCTION("GOOGLETRANSLATE(D:D,""auto"",""en"")"),"Dean Xinyang a hospital confirmed")</f>
        <v>Dean Xinyang a hospital confirmed</v>
      </c>
      <c r="D1937" s="4" t="s">
        <v>2978</v>
      </c>
      <c r="E1937" s="4">
        <v>0.0</v>
      </c>
      <c r="F1937" s="4">
        <v>36.0</v>
      </c>
      <c r="G1937" s="4" t="s">
        <v>2979</v>
      </c>
    </row>
    <row r="1938">
      <c r="A1938" s="1">
        <v>1936.0</v>
      </c>
      <c r="B1938" s="4" t="s">
        <v>2919</v>
      </c>
      <c r="C1938" s="5" t="str">
        <f>IFERROR(__xludf.DUMMYFUNCTION("GOOGLETRANSLATE(D:D,""auto"",""en"")"),"A pack a provincial city in Hubei support")</f>
        <v>A pack a provincial city in Hubei support</v>
      </c>
      <c r="D1938" s="4" t="s">
        <v>2875</v>
      </c>
      <c r="E1938" s="4">
        <v>0.0</v>
      </c>
      <c r="F1938" s="4">
        <v>37.0</v>
      </c>
      <c r="G1938" s="4" t="s">
        <v>2876</v>
      </c>
    </row>
    <row r="1939">
      <c r="A1939" s="1">
        <v>1937.0</v>
      </c>
      <c r="B1939" s="4" t="s">
        <v>2919</v>
      </c>
      <c r="C1939" s="5" t="str">
        <f>IFERROR(__xludf.DUMMYFUNCTION("GOOGLETRANSLATE(D:D,""auto"",""en"")"),"Anhui no school before the end of February")</f>
        <v>Anhui no school before the end of February</v>
      </c>
      <c r="D1939" s="4" t="s">
        <v>2980</v>
      </c>
      <c r="E1939" s="4">
        <v>0.0</v>
      </c>
      <c r="F1939" s="4">
        <v>38.0</v>
      </c>
      <c r="G1939" s="4" t="s">
        <v>2981</v>
      </c>
    </row>
    <row r="1940">
      <c r="A1940" s="1">
        <v>1938.0</v>
      </c>
      <c r="B1940" s="4" t="s">
        <v>2919</v>
      </c>
      <c r="C1940" s="5" t="str">
        <f>IFERROR(__xludf.DUMMYFUNCTION("GOOGLETRANSLATE(D:D,""auto"",""en"")"),"The new crown pneumonia referred to NCP")</f>
        <v>The new crown pneumonia referred to NCP</v>
      </c>
      <c r="D1940" s="4" t="s">
        <v>2982</v>
      </c>
      <c r="E1940" s="4">
        <v>0.0</v>
      </c>
      <c r="F1940" s="4">
        <v>39.0</v>
      </c>
      <c r="G1940" s="4" t="s">
        <v>2983</v>
      </c>
    </row>
    <row r="1941">
      <c r="A1941" s="1">
        <v>1939.0</v>
      </c>
      <c r="B1941" s="4" t="s">
        <v>2919</v>
      </c>
      <c r="C1941" s="5" t="str">
        <f>IFERROR(__xludf.DUMMYFUNCTION("GOOGLETRANSLATE(D:D,""auto"",""en"")"),"A fall of 24 new non-Hubei")</f>
        <v>A fall of 24 new non-Hubei</v>
      </c>
      <c r="D1941" s="4" t="s">
        <v>2984</v>
      </c>
      <c r="E1941" s="4">
        <v>0.0</v>
      </c>
      <c r="F1941" s="4">
        <v>40.0</v>
      </c>
      <c r="G1941" s="4" t="s">
        <v>2985</v>
      </c>
    </row>
    <row r="1942">
      <c r="A1942" s="1">
        <v>1940.0</v>
      </c>
      <c r="B1942" s="4" t="s">
        <v>2919</v>
      </c>
      <c r="C1942" s="5" t="str">
        <f>IFERROR(__xludf.DUMMYFUNCTION("GOOGLETRANSLATE(D:D,""auto"",""en"")"),"Beijing delayed recovery limit line")</f>
        <v>Beijing delayed recovery limit line</v>
      </c>
      <c r="D1942" s="4" t="s">
        <v>2986</v>
      </c>
      <c r="E1942" s="4">
        <v>0.0</v>
      </c>
      <c r="F1942" s="4">
        <v>41.0</v>
      </c>
      <c r="G1942" s="4" t="s">
        <v>2987</v>
      </c>
    </row>
    <row r="1943">
      <c r="A1943" s="1">
        <v>1941.0</v>
      </c>
      <c r="B1943" s="4" t="s">
        <v>2919</v>
      </c>
      <c r="C1943" s="5" t="str">
        <f>IFERROR(__xludf.DUMMYFUNCTION("GOOGLETRANSLATE(D:D,""auto"",""en"")"),"Zhou Jie donate two kilograms of rice")</f>
        <v>Zhou Jie donate two kilograms of rice</v>
      </c>
      <c r="D1943" s="4" t="s">
        <v>2879</v>
      </c>
      <c r="E1943" s="4">
        <v>0.0</v>
      </c>
      <c r="F1943" s="4">
        <v>42.0</v>
      </c>
      <c r="G1943" s="4" t="s">
        <v>2880</v>
      </c>
    </row>
    <row r="1944">
      <c r="A1944" s="1">
        <v>1942.0</v>
      </c>
      <c r="B1944" s="4" t="s">
        <v>2919</v>
      </c>
      <c r="C1944" s="5" t="str">
        <f>IFERROR(__xludf.DUMMYFUNCTION("GOOGLETRANSLATE(D:D,""auto"",""en"")"),"Zhao Wei stepson recent photograph of exposure")</f>
        <v>Zhao Wei stepson recent photograph of exposure</v>
      </c>
      <c r="D1944" s="4" t="s">
        <v>2988</v>
      </c>
      <c r="E1944" s="4">
        <v>0.0</v>
      </c>
      <c r="F1944" s="4">
        <v>43.0</v>
      </c>
      <c r="G1944" s="4" t="s">
        <v>2989</v>
      </c>
    </row>
    <row r="1945">
      <c r="A1945" s="1">
        <v>1943.0</v>
      </c>
      <c r="B1945" s="4" t="s">
        <v>2919</v>
      </c>
      <c r="C1945" s="5" t="str">
        <f>IFERROR(__xludf.DUMMYFUNCTION("GOOGLETRANSLATE(D:D,""auto"",""en"")"),"Raytheon mountain building Quan Jilu")</f>
        <v>Raytheon mountain building Quan Jilu</v>
      </c>
      <c r="D1945" s="4" t="s">
        <v>2990</v>
      </c>
      <c r="E1945" s="4">
        <v>0.0</v>
      </c>
      <c r="F1945" s="4">
        <v>44.0</v>
      </c>
      <c r="G1945" s="4" t="s">
        <v>2991</v>
      </c>
    </row>
    <row r="1946">
      <c r="A1946" s="1">
        <v>1944.0</v>
      </c>
      <c r="B1946" s="4" t="s">
        <v>2919</v>
      </c>
      <c r="C1946" s="5" t="str">
        <f>IFERROR(__xludf.DUMMYFUNCTION("GOOGLETRANSLATE(D:D,""auto"",""en"")"),"Zhong Nanshan talk about the virus cure")</f>
        <v>Zhong Nanshan talk about the virus cure</v>
      </c>
      <c r="D1946" s="4" t="s">
        <v>2820</v>
      </c>
      <c r="E1946" s="4">
        <v>0.0</v>
      </c>
      <c r="F1946" s="4">
        <v>45.0</v>
      </c>
      <c r="G1946" s="4" t="s">
        <v>2821</v>
      </c>
    </row>
    <row r="1947">
      <c r="A1947" s="1">
        <v>1945.0</v>
      </c>
      <c r="B1947" s="4" t="s">
        <v>2919</v>
      </c>
      <c r="C1947" s="5" t="str">
        <f>IFERROR(__xludf.DUMMYFUNCTION("GOOGLETRANSLATE(D:D,""auto"",""en"")"),"Wuhan million CCTV commentary dinner")</f>
        <v>Wuhan million CCTV commentary dinner</v>
      </c>
      <c r="D1947" s="4" t="s">
        <v>2855</v>
      </c>
      <c r="E1947" s="4">
        <v>0.0</v>
      </c>
      <c r="F1947" s="4">
        <v>46.0</v>
      </c>
      <c r="G1947" s="4" t="s">
        <v>2856</v>
      </c>
    </row>
    <row r="1948">
      <c r="A1948" s="1">
        <v>1946.0</v>
      </c>
      <c r="B1948" s="4" t="s">
        <v>2919</v>
      </c>
      <c r="C1948" s="5" t="str">
        <f>IFERROR(__xludf.DUMMYFUNCTION("GOOGLETRANSLATE(D:D,""auto"",""en"")"),"21 Hua donor list")</f>
        <v>21 Hua donor list</v>
      </c>
      <c r="D1948" s="4" t="s">
        <v>2992</v>
      </c>
      <c r="E1948" s="4">
        <v>0.0</v>
      </c>
      <c r="F1948" s="4">
        <v>47.0</v>
      </c>
      <c r="G1948" s="4" t="s">
        <v>2993</v>
      </c>
    </row>
    <row r="1949">
      <c r="A1949" s="1">
        <v>1947.0</v>
      </c>
      <c r="B1949" s="4" t="s">
        <v>2919</v>
      </c>
      <c r="C1949" s="5" t="str">
        <f>IFERROR(__xludf.DUMMYFUNCTION("GOOGLETRANSLATE(D:D,""auto"",""en"")"),"Epidemic turning point has not yet come")</f>
        <v>Epidemic turning point has not yet come</v>
      </c>
      <c r="D1949" s="4" t="s">
        <v>2885</v>
      </c>
      <c r="E1949" s="4">
        <v>0.0</v>
      </c>
      <c r="F1949" s="4">
        <v>48.0</v>
      </c>
      <c r="G1949" s="4" t="s">
        <v>2886</v>
      </c>
    </row>
    <row r="1950">
      <c r="A1950" s="1">
        <v>1948.0</v>
      </c>
      <c r="B1950" s="4" t="s">
        <v>2919</v>
      </c>
      <c r="C1950" s="5" t="str">
        <f>IFERROR(__xludf.DUMMYFUNCTION("GOOGLETRANSLATE(D:D,""auto"",""en"")"),"Nintendo issued an apology")</f>
        <v>Nintendo issued an apology</v>
      </c>
      <c r="D1950" s="4" t="s">
        <v>2901</v>
      </c>
      <c r="E1950" s="4">
        <v>0.0</v>
      </c>
      <c r="F1950" s="4">
        <v>49.0</v>
      </c>
      <c r="G1950" s="4" t="s">
        <v>2902</v>
      </c>
    </row>
    <row r="1951">
      <c r="A1951" s="1">
        <v>1949.0</v>
      </c>
      <c r="B1951" s="4" t="s">
        <v>2919</v>
      </c>
      <c r="C1951" s="5" t="str">
        <f>IFERROR(__xludf.DUMMYFUNCTION("GOOGLETRANSLATE(D:D,""auto"",""en"")"),"Shanghai from 45 clusters of disease")</f>
        <v>Shanghai from 45 clusters of disease</v>
      </c>
      <c r="D1951" s="4" t="s">
        <v>2869</v>
      </c>
      <c r="E1951" s="4">
        <v>0.0</v>
      </c>
      <c r="F1951" s="4">
        <v>50.0</v>
      </c>
      <c r="G1951" s="4" t="s">
        <v>2870</v>
      </c>
    </row>
    <row r="1952">
      <c r="A1952" s="1">
        <v>1950.0</v>
      </c>
      <c r="B1952" s="4" t="s">
        <v>2994</v>
      </c>
      <c r="C1952" s="5" t="str">
        <f>IFERROR(__xludf.DUMMYFUNCTION("GOOGLETRANSLATE(D:D,""auto"",""en"")"),"Pneumonia No. 1 party approved")</f>
        <v>Pneumonia No. 1 party approved</v>
      </c>
      <c r="D1952" s="4" t="s">
        <v>2972</v>
      </c>
      <c r="E1952" s="4">
        <v>0.0</v>
      </c>
      <c r="F1952" s="4">
        <v>1.0</v>
      </c>
      <c r="G1952" s="4" t="s">
        <v>2973</v>
      </c>
    </row>
    <row r="1953">
      <c r="A1953" s="1">
        <v>1951.0</v>
      </c>
      <c r="B1953" s="4" t="s">
        <v>2994</v>
      </c>
      <c r="C1953" s="5" t="str">
        <f>IFERROR(__xludf.DUMMYFUNCTION("GOOGLETRANSLATE(D:D,""auto"",""en"")"),"Beijing a case 11 associate")</f>
        <v>Beijing a case 11 associate</v>
      </c>
      <c r="D1953" s="4" t="s">
        <v>2995</v>
      </c>
      <c r="E1953" s="4">
        <v>0.0</v>
      </c>
      <c r="F1953" s="4">
        <v>2.0</v>
      </c>
      <c r="G1953" s="4" t="s">
        <v>2996</v>
      </c>
    </row>
    <row r="1954">
      <c r="A1954" s="1">
        <v>1952.0</v>
      </c>
      <c r="B1954" s="4" t="s">
        <v>2994</v>
      </c>
      <c r="C1954" s="5" t="str">
        <f>IFERROR(__xludf.DUMMYFUNCTION("GOOGLETRANSLATE(D:D,""auto"",""en"")"),"Jinjiang Duwang sound families")</f>
        <v>Jinjiang Duwang sound families</v>
      </c>
      <c r="D1954" s="4" t="s">
        <v>2997</v>
      </c>
      <c r="E1954" s="4">
        <v>0.0</v>
      </c>
      <c r="F1954" s="4">
        <v>3.0</v>
      </c>
      <c r="G1954" s="4" t="s">
        <v>2998</v>
      </c>
    </row>
    <row r="1955">
      <c r="A1955" s="1">
        <v>1953.0</v>
      </c>
      <c r="B1955" s="4" t="s">
        <v>2994</v>
      </c>
      <c r="C1955" s="5" t="str">
        <f>IFERROR(__xludf.DUMMYFUNCTION("GOOGLETRANSLATE(D:D,""auto"",""en"")"),"Xi'an KFC clerk confirmed")</f>
        <v>Xi'an KFC clerk confirmed</v>
      </c>
      <c r="D1955" s="4" t="s">
        <v>2999</v>
      </c>
      <c r="E1955" s="4">
        <v>0.0</v>
      </c>
      <c r="F1955" s="4">
        <v>4.0</v>
      </c>
      <c r="G1955" s="4" t="s">
        <v>3000</v>
      </c>
    </row>
    <row r="1956">
      <c r="A1956" s="1">
        <v>1954.0</v>
      </c>
      <c r="B1956" s="4" t="s">
        <v>2994</v>
      </c>
      <c r="C1956" s="5" t="str">
        <f>IFERROR(__xludf.DUMMYFUNCTION("GOOGLETRANSLATE(D:D,""auto"",""en"")"),"The White House requested the investigation of viral origin")</f>
        <v>The White House requested the investigation of viral origin</v>
      </c>
      <c r="D1956" s="4" t="s">
        <v>3001</v>
      </c>
      <c r="E1956" s="4">
        <v>0.0</v>
      </c>
      <c r="F1956" s="4">
        <v>5.0</v>
      </c>
      <c r="G1956" s="4" t="s">
        <v>3002</v>
      </c>
    </row>
    <row r="1957">
      <c r="A1957" s="1">
        <v>1955.0</v>
      </c>
      <c r="B1957" s="4" t="s">
        <v>2994</v>
      </c>
      <c r="C1957" s="5" t="str">
        <f>IFERROR(__xludf.DUMMYFUNCTION("GOOGLETRANSLATE(D:D,""auto"",""en"")"),"Small rice balls first nucleic acid test")</f>
        <v>Small rice balls first nucleic acid test</v>
      </c>
      <c r="D1957" s="4" t="s">
        <v>3003</v>
      </c>
      <c r="E1957" s="4">
        <v>0.0</v>
      </c>
      <c r="F1957" s="4">
        <v>6.0</v>
      </c>
      <c r="G1957" s="4" t="s">
        <v>3004</v>
      </c>
    </row>
    <row r="1958">
      <c r="A1958" s="1">
        <v>1956.0</v>
      </c>
      <c r="B1958" s="4" t="s">
        <v>2994</v>
      </c>
      <c r="C1958" s="5" t="str">
        <f>IFERROR(__xludf.DUMMYFUNCTION("GOOGLETRANSLATE(D:D,""auto"",""en"")"),"Fever patients fled the hospital")</f>
        <v>Fever patients fled the hospital</v>
      </c>
      <c r="D1958" s="4" t="s">
        <v>3005</v>
      </c>
      <c r="E1958" s="4">
        <v>0.0</v>
      </c>
      <c r="F1958" s="4">
        <v>7.0</v>
      </c>
      <c r="G1958" s="4" t="s">
        <v>3006</v>
      </c>
    </row>
    <row r="1959">
      <c r="A1959" s="1">
        <v>1957.0</v>
      </c>
      <c r="B1959" s="4" t="s">
        <v>2994</v>
      </c>
      <c r="C1959" s="5" t="str">
        <f>IFERROR(__xludf.DUMMYFUNCTION("GOOGLETRANSLATE(D:D,""auto"",""en"")"),"Now many false negative cases")</f>
        <v>Now many false negative cases</v>
      </c>
      <c r="D1959" s="4" t="s">
        <v>3007</v>
      </c>
      <c r="E1959" s="4">
        <v>0.0</v>
      </c>
      <c r="F1959" s="4">
        <v>8.0</v>
      </c>
      <c r="G1959" s="4" t="s">
        <v>3008</v>
      </c>
    </row>
    <row r="1960">
      <c r="A1960" s="1">
        <v>1958.0</v>
      </c>
      <c r="B1960" s="4" t="s">
        <v>2994</v>
      </c>
      <c r="C1960" s="5" t="str">
        <f>IFERROR(__xludf.DUMMYFUNCTION("GOOGLETRANSLATE(D:D,""auto"",""en"")"),"Only the legendary Phoenix Ling flower")</f>
        <v>Only the legendary Phoenix Ling flower</v>
      </c>
      <c r="D1960" s="4" t="s">
        <v>3009</v>
      </c>
      <c r="E1960" s="4">
        <v>0.0</v>
      </c>
      <c r="F1960" s="4">
        <v>9.0</v>
      </c>
      <c r="G1960" s="4" t="s">
        <v>3010</v>
      </c>
    </row>
    <row r="1961">
      <c r="A1961" s="1">
        <v>1959.0</v>
      </c>
      <c r="B1961" s="4" t="s">
        <v>2994</v>
      </c>
      <c r="C1961" s="5" t="str">
        <f>IFERROR(__xludf.DUMMYFUNCTION("GOOGLETRANSLATE(D:D,""auto"",""en"")"),"Bryant wife sun daughter")</f>
        <v>Bryant wife sun daughter</v>
      </c>
      <c r="D1961" s="4" t="s">
        <v>3011</v>
      </c>
      <c r="E1961" s="4">
        <v>0.0</v>
      </c>
      <c r="F1961" s="4">
        <v>10.0</v>
      </c>
      <c r="G1961" s="4" t="s">
        <v>3012</v>
      </c>
    </row>
    <row r="1962">
      <c r="A1962" s="1">
        <v>1960.0</v>
      </c>
      <c r="B1962" s="4" t="s">
        <v>2994</v>
      </c>
      <c r="C1962" s="5" t="str">
        <f>IFERROR(__xludf.DUMMYFUNCTION("GOOGLETRANSLATE(D:D,""auto"",""en"")"),"Tan Song Yun Fang issued a statement")</f>
        <v>Tan Song Yun Fang issued a statement</v>
      </c>
      <c r="D1962" s="4" t="s">
        <v>3013</v>
      </c>
      <c r="E1962" s="4">
        <v>0.0</v>
      </c>
      <c r="F1962" s="4">
        <v>11.0</v>
      </c>
      <c r="G1962" s="4" t="s">
        <v>3014</v>
      </c>
    </row>
    <row r="1963">
      <c r="A1963" s="1">
        <v>1961.0</v>
      </c>
      <c r="B1963" s="4" t="s">
        <v>2994</v>
      </c>
      <c r="C1963" s="5" t="str">
        <f>IFERROR(__xludf.DUMMYFUNCTION("GOOGLETRANSLATE(D:D,""auto"",""en"")"),"Wuhan open open-air street market")</f>
        <v>Wuhan open open-air street market</v>
      </c>
      <c r="D1963" s="4" t="s">
        <v>3015</v>
      </c>
      <c r="E1963" s="4">
        <v>0.0</v>
      </c>
      <c r="F1963" s="4">
        <v>12.0</v>
      </c>
      <c r="G1963" s="4" t="s">
        <v>3016</v>
      </c>
    </row>
    <row r="1964">
      <c r="A1964" s="1">
        <v>1962.0</v>
      </c>
      <c r="B1964" s="4" t="s">
        <v>2994</v>
      </c>
      <c r="C1964" s="5" t="str">
        <f>IFERROR(__xludf.DUMMYFUNCTION("GOOGLETRANSLATE(D:D,""auto"",""en"")"),"Deputy director of isolation caused by 44 people")</f>
        <v>Deputy director of isolation caused by 44 people</v>
      </c>
      <c r="D1964" s="4" t="s">
        <v>3017</v>
      </c>
      <c r="E1964" s="4">
        <v>0.0</v>
      </c>
      <c r="F1964" s="4">
        <v>13.0</v>
      </c>
      <c r="G1964" s="4" t="s">
        <v>3018</v>
      </c>
    </row>
    <row r="1965">
      <c r="A1965" s="1">
        <v>1963.0</v>
      </c>
      <c r="B1965" s="4" t="s">
        <v>2994</v>
      </c>
      <c r="C1965" s="5" t="str">
        <f>IFERROR(__xludf.DUMMYFUNCTION("GOOGLETRANSLATE(D:D,""auto"",""en"")"),"Wuhan Women's gong for help")</f>
        <v>Wuhan Women's gong for help</v>
      </c>
      <c r="D1965" s="4" t="s">
        <v>3019</v>
      </c>
      <c r="E1965" s="4">
        <v>0.0</v>
      </c>
      <c r="F1965" s="4">
        <v>14.0</v>
      </c>
      <c r="G1965" s="4" t="s">
        <v>3020</v>
      </c>
    </row>
    <row r="1966">
      <c r="A1966" s="1">
        <v>1964.0</v>
      </c>
      <c r="B1966" s="4" t="s">
        <v>2994</v>
      </c>
      <c r="C1966" s="5" t="str">
        <f>IFERROR(__xludf.DUMMYFUNCTION("GOOGLETRANSLATE(D:D,""auto"",""en"")"),"Eat cold medicine-induced symptoms")</f>
        <v>Eat cold medicine-induced symptoms</v>
      </c>
      <c r="D1966" s="4" t="s">
        <v>3021</v>
      </c>
      <c r="E1966" s="4">
        <v>0.0</v>
      </c>
      <c r="F1966" s="4">
        <v>15.0</v>
      </c>
      <c r="G1966" s="4" t="s">
        <v>3022</v>
      </c>
    </row>
    <row r="1967">
      <c r="A1967" s="1">
        <v>1965.0</v>
      </c>
      <c r="B1967" s="4" t="s">
        <v>2994</v>
      </c>
      <c r="C1967" s="5" t="str">
        <f>IFERROR(__xludf.DUMMYFUNCTION("GOOGLETRANSLATE(D:D,""auto"",""en"")"),"Dropped 500,000 turned away")</f>
        <v>Dropped 500,000 turned away</v>
      </c>
      <c r="D1967" s="4" t="s">
        <v>3023</v>
      </c>
      <c r="E1967" s="4">
        <v>0.0</v>
      </c>
      <c r="F1967" s="4">
        <v>16.0</v>
      </c>
      <c r="G1967" s="4" t="s">
        <v>3024</v>
      </c>
    </row>
    <row r="1968">
      <c r="A1968" s="1">
        <v>1966.0</v>
      </c>
      <c r="B1968" s="4" t="s">
        <v>2994</v>
      </c>
      <c r="C1968" s="5" t="str">
        <f>IFERROR(__xludf.DUMMYFUNCTION("GOOGLETRANSLATE(D:D,""auto"",""en"")"),"Yellowstone informed deserter cadres")</f>
        <v>Yellowstone informed deserter cadres</v>
      </c>
      <c r="D1968" s="4" t="s">
        <v>3025</v>
      </c>
      <c r="E1968" s="4">
        <v>0.0</v>
      </c>
      <c r="F1968" s="4">
        <v>17.0</v>
      </c>
      <c r="G1968" s="4" t="s">
        <v>3026</v>
      </c>
    </row>
    <row r="1969">
      <c r="A1969" s="1">
        <v>1967.0</v>
      </c>
      <c r="B1969" s="4" t="s">
        <v>2994</v>
      </c>
      <c r="C1969" s="5" t="str">
        <f>IFERROR(__xludf.DUMMYFUNCTION("GOOGLETRANSLATE(D:D,""auto"",""en"")"),"Shandong is now the first case of deaths")</f>
        <v>Shandong is now the first case of deaths</v>
      </c>
      <c r="D1969" s="4" t="s">
        <v>3027</v>
      </c>
      <c r="E1969" s="4">
        <v>0.0</v>
      </c>
      <c r="F1969" s="4">
        <v>18.0</v>
      </c>
      <c r="G1969" s="4" t="s">
        <v>3028</v>
      </c>
    </row>
    <row r="1970">
      <c r="A1970" s="1">
        <v>1968.0</v>
      </c>
      <c r="B1970" s="4" t="s">
        <v>2994</v>
      </c>
      <c r="C1970" s="5" t="str">
        <f>IFERROR(__xludf.DUMMYFUNCTION("GOOGLETRANSLATE(D:D,""auto"",""en"")"),"United States 200 people infected with norovirus")</f>
        <v>United States 200 people infected with norovirus</v>
      </c>
      <c r="D1970" s="4" t="s">
        <v>3029</v>
      </c>
      <c r="E1970" s="4">
        <v>0.0</v>
      </c>
      <c r="F1970" s="4">
        <v>19.0</v>
      </c>
      <c r="G1970" s="4" t="s">
        <v>3030</v>
      </c>
    </row>
    <row r="1971">
      <c r="A1971" s="1">
        <v>1969.0</v>
      </c>
      <c r="B1971" s="4" t="s">
        <v>2994</v>
      </c>
      <c r="C1971" s="5" t="str">
        <f>IFERROR(__xludf.DUMMYFUNCTION("GOOGLETRANSLATE(D:D,""auto"",""en"")"),"Delayed return to work the new salary policy")</f>
        <v>Delayed return to work the new salary policy</v>
      </c>
      <c r="D1971" s="4" t="s">
        <v>2958</v>
      </c>
      <c r="E1971" s="4">
        <v>0.0</v>
      </c>
      <c r="F1971" s="4">
        <v>20.0</v>
      </c>
      <c r="G1971" s="4" t="s">
        <v>2959</v>
      </c>
    </row>
    <row r="1972">
      <c r="A1972" s="1">
        <v>1970.0</v>
      </c>
      <c r="B1972" s="4" t="s">
        <v>2994</v>
      </c>
      <c r="C1972" s="5" t="str">
        <f>IFERROR(__xludf.DUMMYFUNCTION("GOOGLETRANSLATE(D:D,""auto"",""en"")"),"Japanese experts estimate mortality")</f>
        <v>Japanese experts estimate mortality</v>
      </c>
      <c r="D1972" s="4" t="s">
        <v>2952</v>
      </c>
      <c r="E1972" s="4">
        <v>0.0</v>
      </c>
      <c r="F1972" s="4">
        <v>21.0</v>
      </c>
      <c r="G1972" s="4" t="s">
        <v>2953</v>
      </c>
    </row>
    <row r="1973">
      <c r="A1973" s="1">
        <v>1971.0</v>
      </c>
      <c r="B1973" s="4" t="s">
        <v>2994</v>
      </c>
      <c r="C1973" s="5" t="str">
        <f>IFERROR(__xludf.DUMMYFUNCTION("GOOGLETRANSLATE(D:D,""auto"",""en"")"),"After isolation diagnosed two weeks")</f>
        <v>After isolation diagnosed two weeks</v>
      </c>
      <c r="D1973" s="4" t="s">
        <v>2960</v>
      </c>
      <c r="E1973" s="4">
        <v>0.0</v>
      </c>
      <c r="F1973" s="4">
        <v>22.0</v>
      </c>
      <c r="G1973" s="4" t="s">
        <v>2961</v>
      </c>
    </row>
    <row r="1974">
      <c r="A1974" s="1">
        <v>1972.0</v>
      </c>
      <c r="B1974" s="4" t="s">
        <v>2994</v>
      </c>
      <c r="C1974" s="5" t="str">
        <f>IFERROR(__xludf.DUMMYFUNCTION("GOOGLETRANSLATE(D:D,""auto"",""en"")"),"Shanghai unit of aggregation epidemic")</f>
        <v>Shanghai unit of aggregation epidemic</v>
      </c>
      <c r="D1974" s="4" t="s">
        <v>3031</v>
      </c>
      <c r="E1974" s="4">
        <v>0.0</v>
      </c>
      <c r="F1974" s="4">
        <v>23.0</v>
      </c>
      <c r="G1974" s="4" t="s">
        <v>3032</v>
      </c>
    </row>
    <row r="1975">
      <c r="A1975" s="1">
        <v>1973.0</v>
      </c>
      <c r="B1975" s="4" t="s">
        <v>2994</v>
      </c>
      <c r="C1975" s="5" t="str">
        <f>IFERROR(__xludf.DUMMYFUNCTION("GOOGLETRANSLATE(D:D,""auto"",""en"")"),"Zeng talk absence Lantern Festival party")</f>
        <v>Zeng talk absence Lantern Festival party</v>
      </c>
      <c r="D1975" s="4" t="s">
        <v>3033</v>
      </c>
      <c r="E1975" s="4">
        <v>0.0</v>
      </c>
      <c r="F1975" s="4">
        <v>24.0</v>
      </c>
      <c r="G1975" s="4" t="s">
        <v>3034</v>
      </c>
    </row>
    <row r="1976">
      <c r="A1976" s="1">
        <v>1974.0</v>
      </c>
      <c r="B1976" s="4" t="s">
        <v>2994</v>
      </c>
      <c r="C1976" s="5" t="str">
        <f>IFERROR(__xludf.DUMMYFUNCTION("GOOGLETRANSLATE(D:D,""auto"",""en"")"),"Aerosol dissemination of preventive measures")</f>
        <v>Aerosol dissemination of preventive measures</v>
      </c>
      <c r="D1976" s="4" t="s">
        <v>3035</v>
      </c>
      <c r="E1976" s="4">
        <v>0.0</v>
      </c>
      <c r="F1976" s="4">
        <v>25.0</v>
      </c>
      <c r="G1976" s="4" t="s">
        <v>3036</v>
      </c>
    </row>
    <row r="1977">
      <c r="A1977" s="1">
        <v>1975.0</v>
      </c>
      <c r="B1977" s="4" t="s">
        <v>2994</v>
      </c>
      <c r="C1977" s="5" t="str">
        <f>IFERROR(__xludf.DUMMYFUNCTION("GOOGLETRANSLATE(D:D,""auto"",""en"")"),"7 people stopping by infected female patient")</f>
        <v>7 people stopping by infected female patient</v>
      </c>
      <c r="D1977" s="4" t="s">
        <v>3037</v>
      </c>
      <c r="E1977" s="4">
        <v>0.0</v>
      </c>
      <c r="F1977" s="4">
        <v>26.0</v>
      </c>
      <c r="G1977" s="4" t="s">
        <v>3038</v>
      </c>
    </row>
    <row r="1978">
      <c r="A1978" s="1">
        <v>1976.0</v>
      </c>
      <c r="B1978" s="4" t="s">
        <v>2994</v>
      </c>
      <c r="C1978" s="5" t="str">
        <f>IFERROR(__xludf.DUMMYFUNCTION("GOOGLETRANSLATE(D:D,""auto"",""en"")"),"First mortgage interest rates even lower")</f>
        <v>First mortgage interest rates even lower</v>
      </c>
      <c r="D1978" s="4" t="s">
        <v>2954</v>
      </c>
      <c r="E1978" s="4">
        <v>0.0</v>
      </c>
      <c r="F1978" s="4">
        <v>27.0</v>
      </c>
      <c r="G1978" s="4" t="s">
        <v>2955</v>
      </c>
    </row>
    <row r="1979">
      <c r="A1979" s="1">
        <v>1977.0</v>
      </c>
      <c r="B1979" s="4" t="s">
        <v>2994</v>
      </c>
      <c r="C1979" s="5" t="str">
        <f>IFERROR(__xludf.DUMMYFUNCTION("GOOGLETRANSLATE(D:D,""auto"",""en"")"),"One hundred complaints dimensional density model")</f>
        <v>One hundred complaints dimensional density model</v>
      </c>
      <c r="D1979" s="4" t="s">
        <v>3039</v>
      </c>
      <c r="E1979" s="4">
        <v>0.0</v>
      </c>
      <c r="F1979" s="4">
        <v>28.0</v>
      </c>
      <c r="G1979" s="4" t="s">
        <v>3040</v>
      </c>
    </row>
    <row r="1980">
      <c r="A1980" s="1">
        <v>1978.0</v>
      </c>
      <c r="B1980" s="4" t="s">
        <v>2994</v>
      </c>
      <c r="C1980" s="5" t="str">
        <f>IFERROR(__xludf.DUMMYFUNCTION("GOOGLETRANSLATE(D:D,""auto"",""en"")"),"Experts on a secondary epidemic proliferation")</f>
        <v>Experts on a secondary epidemic proliferation</v>
      </c>
      <c r="D1980" s="4" t="s">
        <v>3041</v>
      </c>
      <c r="E1980" s="4">
        <v>0.0</v>
      </c>
      <c r="F1980" s="4">
        <v>29.0</v>
      </c>
      <c r="G1980" s="4" t="s">
        <v>3042</v>
      </c>
    </row>
    <row r="1981">
      <c r="A1981" s="1">
        <v>1979.0</v>
      </c>
      <c r="B1981" s="4" t="s">
        <v>2994</v>
      </c>
      <c r="C1981" s="5" t="str">
        <f>IFERROR(__xludf.DUMMYFUNCTION("GOOGLETRANSLATE(D:D,""auto"",""en"")"),"Dean Xinyang a hospital confirmed")</f>
        <v>Dean Xinyang a hospital confirmed</v>
      </c>
      <c r="D1981" s="4" t="s">
        <v>2978</v>
      </c>
      <c r="E1981" s="4">
        <v>0.0</v>
      </c>
      <c r="F1981" s="4">
        <v>30.0</v>
      </c>
      <c r="G1981" s="4" t="s">
        <v>2979</v>
      </c>
    </row>
    <row r="1982">
      <c r="A1982" s="1">
        <v>1980.0</v>
      </c>
      <c r="B1982" s="4" t="s">
        <v>2994</v>
      </c>
      <c r="C1982" s="5" t="str">
        <f>IFERROR(__xludf.DUMMYFUNCTION("GOOGLETRANSLATE(D:D,""auto"",""en"")"),"Recently listed a large number of masks")</f>
        <v>Recently listed a large number of masks</v>
      </c>
      <c r="D1982" s="4" t="s">
        <v>2944</v>
      </c>
      <c r="E1982" s="4">
        <v>0.0</v>
      </c>
      <c r="F1982" s="4">
        <v>31.0</v>
      </c>
      <c r="G1982" s="4" t="s">
        <v>2945</v>
      </c>
    </row>
    <row r="1983">
      <c r="A1983" s="1">
        <v>1981.0</v>
      </c>
      <c r="B1983" s="4" t="s">
        <v>2994</v>
      </c>
      <c r="C1983" s="5" t="str">
        <f>IFERROR(__xludf.DUMMYFUNCTION("GOOGLETRANSLATE(D:D,""auto"",""en"")"),"The third man appeared whistle")</f>
        <v>The third man appeared whistle</v>
      </c>
      <c r="D1983" s="4" t="s">
        <v>2928</v>
      </c>
      <c r="E1983" s="4">
        <v>0.0</v>
      </c>
      <c r="F1983" s="4">
        <v>32.0</v>
      </c>
      <c r="G1983" s="4" t="s">
        <v>2929</v>
      </c>
    </row>
    <row r="1984">
      <c r="A1984" s="1">
        <v>1982.0</v>
      </c>
      <c r="B1984" s="4" t="s">
        <v>2994</v>
      </c>
      <c r="C1984" s="5" t="str">
        <f>IFERROR(__xludf.DUMMYFUNCTION("GOOGLETRANSLATE(D:D,""auto"",""en"")"),"Empty auditorium")</f>
        <v>Empty auditorium</v>
      </c>
      <c r="D1984" s="4" t="s">
        <v>3043</v>
      </c>
      <c r="E1984" s="4">
        <v>0.0</v>
      </c>
      <c r="F1984" s="4">
        <v>33.0</v>
      </c>
      <c r="G1984" s="4" t="s">
        <v>3044</v>
      </c>
    </row>
    <row r="1985">
      <c r="A1985" s="1">
        <v>1983.0</v>
      </c>
      <c r="B1985" s="4" t="s">
        <v>2994</v>
      </c>
      <c r="C1985" s="5" t="str">
        <f>IFERROR(__xludf.DUMMYFUNCTION("GOOGLETRANSLATE(D:D,""auto"",""en"")"),"Hubei epidemic spreading to rural areas")</f>
        <v>Hubei epidemic spreading to rural areas</v>
      </c>
      <c r="D1985" s="4" t="s">
        <v>2938</v>
      </c>
      <c r="E1985" s="4">
        <v>0.0</v>
      </c>
      <c r="F1985" s="4">
        <v>34.0</v>
      </c>
      <c r="G1985" s="4" t="s">
        <v>2939</v>
      </c>
    </row>
    <row r="1986">
      <c r="A1986" s="1">
        <v>1984.0</v>
      </c>
      <c r="B1986" s="4" t="s">
        <v>2994</v>
      </c>
      <c r="C1986" s="5" t="str">
        <f>IFERROR(__xludf.DUMMYFUNCTION("GOOGLETRANSLATE(D:D,""auto"",""en"")"),"Henan confirmed a total of over one thousand cases")</f>
        <v>Henan confirmed a total of over one thousand cases</v>
      </c>
      <c r="D1986" s="4" t="s">
        <v>3045</v>
      </c>
      <c r="E1986" s="4">
        <v>0.0</v>
      </c>
      <c r="F1986" s="4">
        <v>35.0</v>
      </c>
      <c r="G1986" s="4" t="s">
        <v>3046</v>
      </c>
    </row>
    <row r="1987">
      <c r="A1987" s="1">
        <v>1985.0</v>
      </c>
      <c r="B1987" s="4" t="s">
        <v>2994</v>
      </c>
      <c r="C1987" s="5" t="str">
        <f>IFERROR(__xludf.DUMMYFUNCTION("GOOGLETRANSLATE(D:D,""auto"",""en"")"),"Three generations of six people infected")</f>
        <v>Three generations of six people infected</v>
      </c>
      <c r="D1987" s="4" t="s">
        <v>2891</v>
      </c>
      <c r="E1987" s="4">
        <v>0.0</v>
      </c>
      <c r="F1987" s="4">
        <v>36.0</v>
      </c>
      <c r="G1987" s="4" t="s">
        <v>2892</v>
      </c>
    </row>
    <row r="1988">
      <c r="A1988" s="1">
        <v>1986.0</v>
      </c>
      <c r="B1988" s="4" t="s">
        <v>2994</v>
      </c>
      <c r="C1988" s="5" t="str">
        <f>IFERROR(__xludf.DUMMYFUNCTION("GOOGLETRANSLATE(D:D,""auto"",""en"")"),"Shaanxi landslides")</f>
        <v>Shaanxi landslides</v>
      </c>
      <c r="D1988" s="4" t="s">
        <v>2956</v>
      </c>
      <c r="E1988" s="4">
        <v>0.0</v>
      </c>
      <c r="F1988" s="4">
        <v>37.0</v>
      </c>
      <c r="G1988" s="4" t="s">
        <v>2957</v>
      </c>
    </row>
    <row r="1989">
      <c r="A1989" s="1">
        <v>1987.0</v>
      </c>
      <c r="B1989" s="4" t="s">
        <v>2994</v>
      </c>
      <c r="C1989" s="5" t="str">
        <f>IFERROR(__xludf.DUMMYFUNCTION("GOOGLETRANSLATE(D:D,""auto"",""en"")"),"Exposure Tang Yan twins born")</f>
        <v>Exposure Tang Yan twins born</v>
      </c>
      <c r="D1989" s="4" t="s">
        <v>2936</v>
      </c>
      <c r="E1989" s="4">
        <v>0.0</v>
      </c>
      <c r="F1989" s="4">
        <v>38.0</v>
      </c>
      <c r="G1989" s="4" t="s">
        <v>2937</v>
      </c>
    </row>
    <row r="1990">
      <c r="A1990" s="1">
        <v>1988.0</v>
      </c>
      <c r="B1990" s="4" t="s">
        <v>2994</v>
      </c>
      <c r="C1990" s="5" t="str">
        <f>IFERROR(__xludf.DUMMYFUNCTION("GOOGLETRANSLATE(D:D,""auto"",""en"")"),"Anhui now more cases of infection in the family")</f>
        <v>Anhui now more cases of infection in the family</v>
      </c>
      <c r="D1990" s="4" t="s">
        <v>2926</v>
      </c>
      <c r="E1990" s="4">
        <v>0.0</v>
      </c>
      <c r="F1990" s="4">
        <v>39.0</v>
      </c>
      <c r="G1990" s="4" t="s">
        <v>2927</v>
      </c>
    </row>
    <row r="1991">
      <c r="A1991" s="1">
        <v>1989.0</v>
      </c>
      <c r="B1991" s="4" t="s">
        <v>2994</v>
      </c>
      <c r="C1991" s="5" t="str">
        <f>IFERROR(__xludf.DUMMYFUNCTION("GOOGLETRANSLATE(D:D,""auto"",""en"")"),"Li Wenliang was identified as work-related injuries")</f>
        <v>Li Wenliang was identified as work-related injuries</v>
      </c>
      <c r="D1991" s="4" t="s">
        <v>2889</v>
      </c>
      <c r="E1991" s="4">
        <v>0.0</v>
      </c>
      <c r="F1991" s="4">
        <v>40.0</v>
      </c>
      <c r="G1991" s="4" t="s">
        <v>2890</v>
      </c>
    </row>
    <row r="1992">
      <c r="A1992" s="1">
        <v>1990.0</v>
      </c>
      <c r="B1992" s="4" t="s">
        <v>2994</v>
      </c>
      <c r="C1992" s="5" t="str">
        <f>IFERROR(__xludf.DUMMYFUNCTION("GOOGLETRANSLATE(D:D,""auto"",""en"")"),"Hubei is studying new vaccines")</f>
        <v>Hubei is studying new vaccines</v>
      </c>
      <c r="D1992" s="4" t="s">
        <v>3047</v>
      </c>
      <c r="E1992" s="4">
        <v>0.0</v>
      </c>
      <c r="F1992" s="4">
        <v>41.0</v>
      </c>
      <c r="G1992" s="4" t="s">
        <v>3048</v>
      </c>
    </row>
    <row r="1993">
      <c r="A1993" s="1">
        <v>1991.0</v>
      </c>
      <c r="B1993" s="4" t="s">
        <v>2994</v>
      </c>
      <c r="C1993" s="5" t="str">
        <f>IFERROR(__xludf.DUMMYFUNCTION("GOOGLETRANSLATE(D:D,""auto"",""en"")"),"Beijing 2 deaths")</f>
        <v>Beijing 2 deaths</v>
      </c>
      <c r="D1993" s="4" t="s">
        <v>2940</v>
      </c>
      <c r="E1993" s="4">
        <v>0.0</v>
      </c>
      <c r="F1993" s="4">
        <v>42.0</v>
      </c>
      <c r="G1993" s="4" t="s">
        <v>2941</v>
      </c>
    </row>
    <row r="1994">
      <c r="A1994" s="1">
        <v>1992.0</v>
      </c>
      <c r="B1994" s="4" t="s">
        <v>2994</v>
      </c>
      <c r="C1994" s="5" t="str">
        <f>IFERROR(__xludf.DUMMYFUNCTION("GOOGLETRANSLATE(D:D,""auto"",""en"")"),"On the official detect suspected patients")</f>
        <v>On the official detect suspected patients</v>
      </c>
      <c r="D1994" s="4" t="s">
        <v>3049</v>
      </c>
      <c r="E1994" s="4">
        <v>0.0</v>
      </c>
      <c r="F1994" s="4">
        <v>43.0</v>
      </c>
      <c r="G1994" s="4" t="s">
        <v>3050</v>
      </c>
    </row>
    <row r="1995">
      <c r="A1995" s="1">
        <v>1993.0</v>
      </c>
      <c r="B1995" s="4" t="s">
        <v>2994</v>
      </c>
      <c r="C1995" s="5" t="str">
        <f>IFERROR(__xludf.DUMMYFUNCTION("GOOGLETRANSLATE(D:D,""auto"",""en"")"),"K King song or full layoffs")</f>
        <v>K King song or full layoffs</v>
      </c>
      <c r="D1995" s="4" t="s">
        <v>3051</v>
      </c>
      <c r="E1995" s="4">
        <v>0.0</v>
      </c>
      <c r="F1995" s="4">
        <v>44.0</v>
      </c>
      <c r="G1995" s="4" t="s">
        <v>3052</v>
      </c>
    </row>
    <row r="1996">
      <c r="A1996" s="1">
        <v>1994.0</v>
      </c>
      <c r="B1996" s="4" t="s">
        <v>2994</v>
      </c>
      <c r="C1996" s="5" t="str">
        <f>IFERROR(__xludf.DUMMYFUNCTION("GOOGLETRANSLATE(D:D,""auto"",""en"")"),"A fall of 24 new non-Hubei")</f>
        <v>A fall of 24 new non-Hubei</v>
      </c>
      <c r="D1996" s="4" t="s">
        <v>2984</v>
      </c>
      <c r="E1996" s="4">
        <v>0.0</v>
      </c>
      <c r="F1996" s="4">
        <v>45.0</v>
      </c>
      <c r="G1996" s="4" t="s">
        <v>2985</v>
      </c>
    </row>
    <row r="1997">
      <c r="A1997" s="1">
        <v>1995.0</v>
      </c>
      <c r="B1997" s="4" t="s">
        <v>2994</v>
      </c>
      <c r="C1997" s="5" t="str">
        <f>IFERROR(__xludf.DUMMYFUNCTION("GOOGLETRANSLATE(D:D,""auto"",""en"")"),"Gay farms to buy food roll")</f>
        <v>Gay farms to buy food roll</v>
      </c>
      <c r="D1997" s="4" t="s">
        <v>3053</v>
      </c>
      <c r="E1997" s="4">
        <v>0.0</v>
      </c>
      <c r="F1997" s="4">
        <v>46.0</v>
      </c>
      <c r="G1997" s="4" t="s">
        <v>3054</v>
      </c>
    </row>
    <row r="1998">
      <c r="A1998" s="1">
        <v>1996.0</v>
      </c>
      <c r="B1998" s="4" t="s">
        <v>2994</v>
      </c>
      <c r="C1998" s="5" t="str">
        <f>IFERROR(__xludf.DUMMYFUNCTION("GOOGLETRANSLATE(D:D,""auto"",""en"")"),"Thailand shootings")</f>
        <v>Thailand shootings</v>
      </c>
      <c r="D1998" s="4" t="s">
        <v>3055</v>
      </c>
      <c r="E1998" s="4">
        <v>0.0</v>
      </c>
      <c r="F1998" s="4">
        <v>47.0</v>
      </c>
      <c r="G1998" s="4" t="s">
        <v>3056</v>
      </c>
    </row>
    <row r="1999">
      <c r="A1999" s="1">
        <v>1997.0</v>
      </c>
      <c r="B1999" s="4" t="s">
        <v>2994</v>
      </c>
      <c r="C1999" s="5" t="str">
        <f>IFERROR(__xludf.DUMMYFUNCTION("GOOGLETRANSLATE(D:D,""auto"",""en"")"),"Beijing delayed recovery limit line")</f>
        <v>Beijing delayed recovery limit line</v>
      </c>
      <c r="D1999" s="4" t="s">
        <v>2986</v>
      </c>
      <c r="E1999" s="4">
        <v>0.0</v>
      </c>
      <c r="F1999" s="4">
        <v>48.0</v>
      </c>
      <c r="G1999" s="4" t="s">
        <v>2987</v>
      </c>
    </row>
    <row r="2000">
      <c r="A2000" s="1">
        <v>1998.0</v>
      </c>
      <c r="B2000" s="4" t="s">
        <v>2994</v>
      </c>
      <c r="C2000" s="5" t="str">
        <f>IFERROR(__xludf.DUMMYFUNCTION("GOOGLETRANSLATE(D:D,""auto"",""en"")"),"Doctors talk about grocery shopping Notes")</f>
        <v>Doctors talk about grocery shopping Notes</v>
      </c>
      <c r="D2000" s="4" t="s">
        <v>3057</v>
      </c>
      <c r="E2000" s="4">
        <v>0.0</v>
      </c>
      <c r="F2000" s="4">
        <v>49.0</v>
      </c>
      <c r="G2000" s="4" t="s">
        <v>3058</v>
      </c>
    </row>
    <row r="2001">
      <c r="A2001" s="1">
        <v>1999.0</v>
      </c>
      <c r="B2001" s="4" t="s">
        <v>2994</v>
      </c>
      <c r="C2001" s="5" t="str">
        <f>IFERROR(__xludf.DUMMYFUNCTION("GOOGLETRANSLATE(D:D,""auto"",""en"")"),"Wuhan will increase 5400 beds")</f>
        <v>Wuhan will increase 5400 beds</v>
      </c>
      <c r="D2001" s="4" t="s">
        <v>2966</v>
      </c>
      <c r="E2001" s="4">
        <v>0.0</v>
      </c>
      <c r="F2001" s="4">
        <v>50.0</v>
      </c>
      <c r="G2001" s="4" t="s">
        <v>2967</v>
      </c>
    </row>
    <row r="2002">
      <c r="A2002" s="1">
        <v>2000.0</v>
      </c>
      <c r="B2002" s="4" t="s">
        <v>3059</v>
      </c>
      <c r="C2002" s="5" t="str">
        <f>IFERROR(__xludf.DUMMYFUNCTION("GOOGLETRANSLATE(D:D,""auto"",""en"")"),"Shandong is now the first case of deaths")</f>
        <v>Shandong is now the first case of deaths</v>
      </c>
      <c r="D2002" s="4" t="s">
        <v>3027</v>
      </c>
      <c r="E2002" s="4">
        <v>0.0</v>
      </c>
      <c r="F2002" s="4">
        <v>1.0</v>
      </c>
      <c r="G2002" s="4" t="s">
        <v>3028</v>
      </c>
    </row>
    <row r="2003">
      <c r="A2003" s="1">
        <v>2001.0</v>
      </c>
      <c r="B2003" s="4" t="s">
        <v>3059</v>
      </c>
      <c r="C2003" s="5" t="str">
        <f>IFERROR(__xludf.DUMMYFUNCTION("GOOGLETRANSLATE(D:D,""auto"",""en"")"),"Experts on a secondary epidemic proliferation")</f>
        <v>Experts on a secondary epidemic proliferation</v>
      </c>
      <c r="D2003" s="4" t="s">
        <v>3041</v>
      </c>
      <c r="E2003" s="4">
        <v>0.0</v>
      </c>
      <c r="F2003" s="4">
        <v>2.0</v>
      </c>
      <c r="G2003" s="4" t="s">
        <v>3042</v>
      </c>
    </row>
    <row r="2004">
      <c r="A2004" s="1">
        <v>2002.0</v>
      </c>
      <c r="B2004" s="4" t="s">
        <v>3059</v>
      </c>
      <c r="C2004" s="5" t="str">
        <f>IFERROR(__xludf.DUMMYFUNCTION("GOOGLETRANSLATE(D:D,""auto"",""en"")"),"Yellowstone informed deserter cadres")</f>
        <v>Yellowstone informed deserter cadres</v>
      </c>
      <c r="D2004" s="4" t="s">
        <v>3025</v>
      </c>
      <c r="E2004" s="4">
        <v>0.0</v>
      </c>
      <c r="F2004" s="4">
        <v>3.0</v>
      </c>
      <c r="G2004" s="4" t="s">
        <v>3026</v>
      </c>
    </row>
    <row r="2005">
      <c r="A2005" s="1">
        <v>2003.0</v>
      </c>
      <c r="B2005" s="4" t="s">
        <v>3059</v>
      </c>
      <c r="C2005" s="5" t="str">
        <f>IFERROR(__xludf.DUMMYFUNCTION("GOOGLETRANSLATE(D:D,""auto"",""en"")"),"E-treated patients will not be cleared")</f>
        <v>E-treated patients will not be cleared</v>
      </c>
      <c r="D2005" s="4" t="s">
        <v>3060</v>
      </c>
      <c r="E2005" s="4">
        <v>0.0</v>
      </c>
      <c r="F2005" s="4">
        <v>4.0</v>
      </c>
      <c r="G2005" s="4" t="s">
        <v>3061</v>
      </c>
    </row>
    <row r="2006">
      <c r="A2006" s="1">
        <v>2004.0</v>
      </c>
      <c r="B2006" s="4" t="s">
        <v>3059</v>
      </c>
      <c r="C2006" s="5" t="str">
        <f>IFERROR(__xludf.DUMMYFUNCTION("GOOGLETRANSLATE(D:D,""auto"",""en"")"),"Hubei is studying new vaccines")</f>
        <v>Hubei is studying new vaccines</v>
      </c>
      <c r="D2006" s="4" t="s">
        <v>3047</v>
      </c>
      <c r="E2006" s="4">
        <v>0.0</v>
      </c>
      <c r="F2006" s="4">
        <v>5.0</v>
      </c>
      <c r="G2006" s="4" t="s">
        <v>3048</v>
      </c>
    </row>
    <row r="2007">
      <c r="A2007" s="1">
        <v>2005.0</v>
      </c>
      <c r="B2007" s="4" t="s">
        <v>3059</v>
      </c>
      <c r="C2007" s="5" t="str">
        <f>IFERROR(__xludf.DUMMYFUNCTION("GOOGLETRANSLATE(D:D,""auto"",""en"")"),"Beijing issued notice epidemic prevention and control")</f>
        <v>Beijing issued notice epidemic prevention and control</v>
      </c>
      <c r="D2007" s="4" t="s">
        <v>3062</v>
      </c>
      <c r="E2007" s="4">
        <v>0.0</v>
      </c>
      <c r="F2007" s="4">
        <v>6.0</v>
      </c>
      <c r="G2007" s="4" t="s">
        <v>3063</v>
      </c>
    </row>
    <row r="2008">
      <c r="A2008" s="1">
        <v>2006.0</v>
      </c>
      <c r="B2008" s="4" t="s">
        <v>3059</v>
      </c>
      <c r="C2008" s="5" t="str">
        <f>IFERROR(__xludf.DUMMYFUNCTION("GOOGLETRANSLATE(D:D,""auto"",""en"")"),"92nd Annual Academy")</f>
        <v>92nd Annual Academy</v>
      </c>
      <c r="D2008" s="4" t="s">
        <v>3064</v>
      </c>
      <c r="E2008" s="4">
        <v>0.0</v>
      </c>
      <c r="F2008" s="4">
        <v>7.0</v>
      </c>
      <c r="G2008" s="4" t="s">
        <v>3065</v>
      </c>
    </row>
    <row r="2009">
      <c r="A2009" s="1">
        <v>2007.0</v>
      </c>
      <c r="B2009" s="4" t="s">
        <v>3059</v>
      </c>
      <c r="C2009" s="5" t="str">
        <f>IFERROR(__xludf.DUMMYFUNCTION("GOOGLETRANSLATE(D:D,""auto"",""en"")"),"Incubation period of 24 days is just one example")</f>
        <v>Incubation period of 24 days is just one example</v>
      </c>
      <c r="D2009" s="4" t="s">
        <v>3066</v>
      </c>
      <c r="E2009" s="4">
        <v>0.0</v>
      </c>
      <c r="F2009" s="4">
        <v>8.0</v>
      </c>
      <c r="G2009" s="4" t="s">
        <v>3067</v>
      </c>
    </row>
    <row r="2010">
      <c r="A2010" s="1">
        <v>2008.0</v>
      </c>
      <c r="B2010" s="4" t="s">
        <v>3059</v>
      </c>
      <c r="C2010" s="5" t="str">
        <f>IFERROR(__xludf.DUMMYFUNCTION("GOOGLETRANSLATE(D:D,""auto"",""en"")"),"Net exposure Zhang Zixuan two female births")</f>
        <v>Net exposure Zhang Zixuan two female births</v>
      </c>
      <c r="D2010" s="4" t="s">
        <v>3068</v>
      </c>
      <c r="E2010" s="4">
        <v>0.0</v>
      </c>
      <c r="F2010" s="4">
        <v>9.0</v>
      </c>
      <c r="G2010" s="4" t="s">
        <v>3069</v>
      </c>
    </row>
    <row r="2011">
      <c r="A2011" s="1">
        <v>2009.0</v>
      </c>
      <c r="B2011" s="4" t="s">
        <v>3059</v>
      </c>
      <c r="C2011" s="5" t="str">
        <f>IFERROR(__xludf.DUMMYFUNCTION("GOOGLETRANSLATE(D:D,""auto"",""en"")"),"Chinese women's football ahead of qualifying")</f>
        <v>Chinese women's football ahead of qualifying</v>
      </c>
      <c r="D2011" s="4" t="s">
        <v>3070</v>
      </c>
      <c r="E2011" s="4">
        <v>0.0</v>
      </c>
      <c r="F2011" s="4">
        <v>10.0</v>
      </c>
      <c r="G2011" s="4" t="s">
        <v>3071</v>
      </c>
    </row>
    <row r="2012">
      <c r="A2012" s="1">
        <v>2010.0</v>
      </c>
      <c r="B2012" s="4" t="s">
        <v>3059</v>
      </c>
      <c r="C2012" s="5" t="str">
        <f>IFERROR(__xludf.DUMMYFUNCTION("GOOGLETRANSLATE(D:D,""auto"",""en"")"),"13 Express to resume operations")</f>
        <v>13 Express to resume operations</v>
      </c>
      <c r="D2012" s="4" t="s">
        <v>3072</v>
      </c>
      <c r="E2012" s="4">
        <v>0.0</v>
      </c>
      <c r="F2012" s="4">
        <v>11.0</v>
      </c>
      <c r="G2012" s="4" t="s">
        <v>3073</v>
      </c>
    </row>
    <row r="2013">
      <c r="A2013" s="1">
        <v>2011.0</v>
      </c>
      <c r="B2013" s="4" t="s">
        <v>3059</v>
      </c>
      <c r="C2013" s="5" t="str">
        <f>IFERROR(__xludf.DUMMYFUNCTION("GOOGLETRANSLATE(D:D,""auto"",""en"")"),"Deputy director of isolation caused by 44 people")</f>
        <v>Deputy director of isolation caused by 44 people</v>
      </c>
      <c r="D2013" s="4" t="s">
        <v>3017</v>
      </c>
      <c r="E2013" s="4">
        <v>0.0</v>
      </c>
      <c r="F2013" s="4">
        <v>12.0</v>
      </c>
      <c r="G2013" s="4" t="s">
        <v>3018</v>
      </c>
    </row>
    <row r="2014">
      <c r="A2014" s="1">
        <v>2012.0</v>
      </c>
      <c r="B2014" s="4" t="s">
        <v>3059</v>
      </c>
      <c r="C2014" s="5" t="str">
        <f>IFERROR(__xludf.DUMMYFUNCTION("GOOGLETRANSLATE(D:D,""auto"",""en"")"),"Eat cold medicine-induced symptoms")</f>
        <v>Eat cold medicine-induced symptoms</v>
      </c>
      <c r="D2014" s="4" t="s">
        <v>3021</v>
      </c>
      <c r="E2014" s="4">
        <v>0.0</v>
      </c>
      <c r="F2014" s="4">
        <v>13.0</v>
      </c>
      <c r="G2014" s="4" t="s">
        <v>3022</v>
      </c>
    </row>
    <row r="2015">
      <c r="A2015" s="1">
        <v>2013.0</v>
      </c>
      <c r="B2015" s="4" t="s">
        <v>3059</v>
      </c>
      <c r="C2015" s="5" t="str">
        <f>IFERROR(__xludf.DUMMYFUNCTION("GOOGLETRANSLATE(D:D,""auto"",""en"")"),"Wuhan Women's gong for help")</f>
        <v>Wuhan Women's gong for help</v>
      </c>
      <c r="D2015" s="4" t="s">
        <v>3019</v>
      </c>
      <c r="E2015" s="4">
        <v>0.0</v>
      </c>
      <c r="F2015" s="4">
        <v>14.0</v>
      </c>
      <c r="G2015" s="4" t="s">
        <v>3020</v>
      </c>
    </row>
    <row r="2016">
      <c r="A2016" s="1">
        <v>2014.0</v>
      </c>
      <c r="B2016" s="4" t="s">
        <v>3059</v>
      </c>
      <c r="C2016" s="5" t="str">
        <f>IFERROR(__xludf.DUMMYFUNCTION("GOOGLETRANSLATE(D:D,""auto"",""en"")"),"Sichuan with bird flu")</f>
        <v>Sichuan with bird flu</v>
      </c>
      <c r="D2016" s="4" t="s">
        <v>3074</v>
      </c>
      <c r="E2016" s="4">
        <v>0.0</v>
      </c>
      <c r="F2016" s="4">
        <v>15.0</v>
      </c>
      <c r="G2016" s="4" t="s">
        <v>3075</v>
      </c>
    </row>
    <row r="2017">
      <c r="A2017" s="1">
        <v>2015.0</v>
      </c>
      <c r="B2017" s="4" t="s">
        <v>3059</v>
      </c>
      <c r="C2017" s="5" t="str">
        <f>IFERROR(__xludf.DUMMYFUNCTION("GOOGLETRANSLATE(D:D,""auto"",""en"")"),"A Henan hospital president suspended")</f>
        <v>A Henan hospital president suspended</v>
      </c>
      <c r="D2017" s="4" t="s">
        <v>3076</v>
      </c>
      <c r="E2017" s="4">
        <v>0.0</v>
      </c>
      <c r="F2017" s="4">
        <v>16.0</v>
      </c>
      <c r="G2017" s="4" t="s">
        <v>3077</v>
      </c>
    </row>
    <row r="2018">
      <c r="A2018" s="1">
        <v>2016.0</v>
      </c>
      <c r="B2018" s="4" t="s">
        <v>3059</v>
      </c>
      <c r="C2018" s="5" t="str">
        <f>IFERROR(__xludf.DUMMYFUNCTION("GOOGLETRANSLATE(D:D,""auto"",""en"")"),"Hohhot Wei Jian was appointed director of the Free")</f>
        <v>Hohhot Wei Jian was appointed director of the Free</v>
      </c>
      <c r="D2018" s="4" t="s">
        <v>3078</v>
      </c>
      <c r="E2018" s="4">
        <v>0.0</v>
      </c>
      <c r="F2018" s="4">
        <v>17.0</v>
      </c>
      <c r="G2018" s="4" t="s">
        <v>3079</v>
      </c>
    </row>
    <row r="2019">
      <c r="A2019" s="1">
        <v>2017.0</v>
      </c>
      <c r="B2019" s="4" t="s">
        <v>3059</v>
      </c>
      <c r="C2019" s="5" t="str">
        <f>IFERROR(__xludf.DUMMYFUNCTION("GOOGLETRANSLATE(D:D,""auto"",""en"")"),"Large cities will face final exams")</f>
        <v>Large cities will face final exams</v>
      </c>
      <c r="D2019" s="4" t="s">
        <v>3080</v>
      </c>
      <c r="E2019" s="4">
        <v>0.0</v>
      </c>
      <c r="F2019" s="4">
        <v>18.0</v>
      </c>
      <c r="G2019" s="4" t="s">
        <v>3081</v>
      </c>
    </row>
    <row r="2020">
      <c r="A2020" s="1">
        <v>2018.0</v>
      </c>
      <c r="B2020" s="4" t="s">
        <v>3059</v>
      </c>
      <c r="C2020" s="5" t="str">
        <f>IFERROR(__xludf.DUMMYFUNCTION("GOOGLETRANSLATE(D:D,""auto"",""en"")"),"Shanghai efforts to strengthen persuaded to return")</f>
        <v>Shanghai efforts to strengthen persuaded to return</v>
      </c>
      <c r="D2020" s="4" t="s">
        <v>3082</v>
      </c>
      <c r="E2020" s="4">
        <v>0.0</v>
      </c>
      <c r="F2020" s="4">
        <v>19.0</v>
      </c>
      <c r="G2020" s="4" t="s">
        <v>3083</v>
      </c>
    </row>
    <row r="2021">
      <c r="A2021" s="1">
        <v>2019.0</v>
      </c>
      <c r="B2021" s="4" t="s">
        <v>3059</v>
      </c>
      <c r="C2021" s="5" t="str">
        <f>IFERROR(__xludf.DUMMYFUNCTION("GOOGLETRANSLATE(D:D,""auto"",""en"")"),"Beijing subway passengers increased")</f>
        <v>Beijing subway passengers increased</v>
      </c>
      <c r="D2021" s="4" t="s">
        <v>3084</v>
      </c>
      <c r="E2021" s="4">
        <v>0.0</v>
      </c>
      <c r="F2021" s="4">
        <v>20.0</v>
      </c>
      <c r="G2021" s="4" t="s">
        <v>3085</v>
      </c>
    </row>
    <row r="2022">
      <c r="A2022" s="1">
        <v>2020.0</v>
      </c>
      <c r="B2022" s="4" t="s">
        <v>3059</v>
      </c>
      <c r="C2022" s="5" t="str">
        <f>IFERROR(__xludf.DUMMYFUNCTION("GOOGLETRANSLATE(D:D,""auto"",""en"")"),"Recruitment demand drop Qicheng")</f>
        <v>Recruitment demand drop Qicheng</v>
      </c>
      <c r="D2022" s="4" t="s">
        <v>3086</v>
      </c>
      <c r="E2022" s="4">
        <v>0.0</v>
      </c>
      <c r="F2022" s="4">
        <v>21.0</v>
      </c>
      <c r="G2022" s="4" t="s">
        <v>3087</v>
      </c>
    </row>
    <row r="2023">
      <c r="A2023" s="1">
        <v>2021.0</v>
      </c>
      <c r="B2023" s="4" t="s">
        <v>3059</v>
      </c>
      <c r="C2023" s="5" t="str">
        <f>IFERROR(__xludf.DUMMYFUNCTION("GOOGLETRANSLATE(D:D,""auto"",""en"")"),"16 days asymptomatic cases")</f>
        <v>16 days asymptomatic cases</v>
      </c>
      <c r="D2023" s="4" t="s">
        <v>3088</v>
      </c>
      <c r="E2023" s="4">
        <v>0.0</v>
      </c>
      <c r="F2023" s="4">
        <v>22.0</v>
      </c>
      <c r="G2023" s="4" t="s">
        <v>3089</v>
      </c>
    </row>
    <row r="2024">
      <c r="A2024" s="1">
        <v>2022.0</v>
      </c>
      <c r="B2024" s="4" t="s">
        <v>3059</v>
      </c>
      <c r="C2024" s="5" t="str">
        <f>IFERROR(__xludf.DUMMYFUNCTION("GOOGLETRANSLATE(D:D,""auto"",""en"")"),"Courier company fully resumed")</f>
        <v>Courier company fully resumed</v>
      </c>
      <c r="D2024" s="4" t="s">
        <v>3090</v>
      </c>
      <c r="E2024" s="4">
        <v>0.0</v>
      </c>
      <c r="F2024" s="4">
        <v>23.0</v>
      </c>
      <c r="G2024" s="4" t="s">
        <v>3091</v>
      </c>
    </row>
    <row r="2025">
      <c r="A2025" s="1">
        <v>2023.0</v>
      </c>
      <c r="B2025" s="4" t="s">
        <v>3059</v>
      </c>
      <c r="C2025" s="5" t="str">
        <f>IFERROR(__xludf.DUMMYFUNCTION("GOOGLETRANSLATE(D:D,""auto"",""en"")"),"41 charter flights arrived in Wuhan")</f>
        <v>41 charter flights arrived in Wuhan</v>
      </c>
      <c r="D2025" s="4" t="s">
        <v>3092</v>
      </c>
      <c r="E2025" s="4">
        <v>0.0</v>
      </c>
      <c r="F2025" s="4">
        <v>24.0</v>
      </c>
      <c r="G2025" s="4" t="s">
        <v>3093</v>
      </c>
    </row>
    <row r="2026">
      <c r="A2026" s="1">
        <v>2024.0</v>
      </c>
      <c r="B2026" s="4" t="s">
        <v>3059</v>
      </c>
      <c r="C2026" s="5" t="str">
        <f>IFERROR(__xludf.DUMMYFUNCTION("GOOGLETRANSLATE(D:D,""auto"",""en"")"),"Chengdu isolated whole building")</f>
        <v>Chengdu isolated whole building</v>
      </c>
      <c r="D2026" s="4" t="s">
        <v>3094</v>
      </c>
      <c r="E2026" s="4">
        <v>0.0</v>
      </c>
      <c r="F2026" s="4">
        <v>25.0</v>
      </c>
      <c r="G2026" s="4" t="s">
        <v>3095</v>
      </c>
    </row>
    <row r="2027">
      <c r="A2027" s="1">
        <v>2025.0</v>
      </c>
      <c r="B2027" s="4" t="s">
        <v>3059</v>
      </c>
      <c r="C2027" s="5" t="str">
        <f>IFERROR(__xludf.DUMMYFUNCTION("GOOGLETRANSLATE(D:D,""auto"",""en"")"),"Hubei genuine counterpart support table")</f>
        <v>Hubei genuine counterpart support table</v>
      </c>
      <c r="D2027" s="4" t="s">
        <v>3096</v>
      </c>
      <c r="E2027" s="4">
        <v>0.0</v>
      </c>
      <c r="F2027" s="4">
        <v>26.0</v>
      </c>
      <c r="G2027" s="4" t="s">
        <v>3097</v>
      </c>
    </row>
    <row r="2028">
      <c r="A2028" s="1">
        <v>2026.0</v>
      </c>
      <c r="B2028" s="4" t="s">
        <v>3059</v>
      </c>
      <c r="C2028" s="5" t="str">
        <f>IFERROR(__xludf.DUMMYFUNCTION("GOOGLETRANSLATE(D:D,""auto"",""en"")"),"Zhong Nanshan, led by emerging papers")</f>
        <v>Zhong Nanshan, led by emerging papers</v>
      </c>
      <c r="D2028" s="4" t="s">
        <v>3098</v>
      </c>
      <c r="E2028" s="4">
        <v>0.0</v>
      </c>
      <c r="F2028" s="4">
        <v>27.0</v>
      </c>
      <c r="G2028" s="4" t="s">
        <v>3099</v>
      </c>
    </row>
    <row r="2029">
      <c r="A2029" s="1">
        <v>2027.0</v>
      </c>
      <c r="B2029" s="4" t="s">
        <v>3059</v>
      </c>
      <c r="C2029" s="5" t="str">
        <f>IFERROR(__xludf.DUMMYFUNCTION("GOOGLETRANSLATE(D:D,""auto"",""en"")"),"Hubei row of suspected cases to speed up")</f>
        <v>Hubei row of suspected cases to speed up</v>
      </c>
      <c r="D2029" s="4" t="s">
        <v>3100</v>
      </c>
      <c r="E2029" s="4">
        <v>0.0</v>
      </c>
      <c r="F2029" s="4">
        <v>28.0</v>
      </c>
      <c r="G2029" s="4" t="s">
        <v>3101</v>
      </c>
    </row>
    <row r="2030">
      <c r="A2030" s="1">
        <v>2028.0</v>
      </c>
      <c r="B2030" s="4" t="s">
        <v>3059</v>
      </c>
      <c r="C2030" s="5" t="str">
        <f>IFERROR(__xludf.DUMMYFUNCTION("GOOGLETRANSLATE(D:D,""auto"",""en"")"),"7 people stopping by infected female patient")</f>
        <v>7 people stopping by infected female patient</v>
      </c>
      <c r="D2030" s="4" t="s">
        <v>3037</v>
      </c>
      <c r="E2030" s="4">
        <v>0.0</v>
      </c>
      <c r="F2030" s="4">
        <v>29.0</v>
      </c>
      <c r="G2030" s="4" t="s">
        <v>3038</v>
      </c>
    </row>
    <row r="2031">
      <c r="A2031" s="1">
        <v>2029.0</v>
      </c>
      <c r="B2031" s="4" t="s">
        <v>3059</v>
      </c>
      <c r="C2031" s="5" t="str">
        <f>IFERROR(__xludf.DUMMYFUNCTION("GOOGLETRANSLATE(D:D,""auto"",""en"")"),"Hubei diagnosed with non-fall of 6")</f>
        <v>Hubei diagnosed with non-fall of 6</v>
      </c>
      <c r="D2031" s="4" t="s">
        <v>3102</v>
      </c>
      <c r="E2031" s="4">
        <v>0.0</v>
      </c>
      <c r="F2031" s="4">
        <v>30.0</v>
      </c>
      <c r="G2031" s="4" t="s">
        <v>3103</v>
      </c>
    </row>
    <row r="2032">
      <c r="A2032" s="1">
        <v>2030.0</v>
      </c>
      <c r="B2032" s="4" t="s">
        <v>3059</v>
      </c>
      <c r="C2032" s="5" t="str">
        <f>IFERROR(__xludf.DUMMYFUNCTION("GOOGLETRANSLATE(D:D,""auto"",""en"")"),"Russia's hard-core isolation")</f>
        <v>Russia's hard-core isolation</v>
      </c>
      <c r="D2032" s="4" t="s">
        <v>3104</v>
      </c>
      <c r="E2032" s="4">
        <v>0.0</v>
      </c>
      <c r="F2032" s="4">
        <v>31.0</v>
      </c>
      <c r="G2032" s="4" t="s">
        <v>3105</v>
      </c>
    </row>
    <row r="2033">
      <c r="A2033" s="1">
        <v>2031.0</v>
      </c>
      <c r="B2033" s="4" t="s">
        <v>3059</v>
      </c>
      <c r="C2033" s="5" t="str">
        <f>IFERROR(__xludf.DUMMYFUNCTION("GOOGLETRANSLATE(D:D,""auto"",""en"")"),"Turpan City earthquake")</f>
        <v>Turpan City earthquake</v>
      </c>
      <c r="D2033" s="4" t="s">
        <v>3106</v>
      </c>
      <c r="E2033" s="4">
        <v>0.0</v>
      </c>
      <c r="F2033" s="4">
        <v>32.0</v>
      </c>
      <c r="G2033" s="4" t="s">
        <v>3107</v>
      </c>
    </row>
    <row r="2034">
      <c r="A2034" s="1">
        <v>2032.0</v>
      </c>
      <c r="B2034" s="4" t="s">
        <v>3059</v>
      </c>
      <c r="C2034" s="5" t="str">
        <f>IFERROR(__xludf.DUMMYFUNCTION("GOOGLETRANSLATE(D:D,""auto"",""en"")"),"17 consecutive days in asymptomatic patients")</f>
        <v>17 consecutive days in asymptomatic patients</v>
      </c>
      <c r="D2034" s="4" t="s">
        <v>3108</v>
      </c>
      <c r="E2034" s="4">
        <v>0.0</v>
      </c>
      <c r="F2034" s="4">
        <v>33.0</v>
      </c>
      <c r="G2034" s="4" t="s">
        <v>3109</v>
      </c>
    </row>
    <row r="2035">
      <c r="A2035" s="1">
        <v>2033.0</v>
      </c>
      <c r="B2035" s="4" t="s">
        <v>3059</v>
      </c>
      <c r="C2035" s="5" t="str">
        <f>IFERROR(__xludf.DUMMYFUNCTION("GOOGLETRANSLATE(D:D,""auto"",""en"")"),"LG China headquarters building for sale")</f>
        <v>LG China headquarters building for sale</v>
      </c>
      <c r="D2035" s="4" t="s">
        <v>3110</v>
      </c>
      <c r="E2035" s="4">
        <v>0.0</v>
      </c>
      <c r="F2035" s="4">
        <v>34.0</v>
      </c>
      <c r="G2035" s="4" t="s">
        <v>3111</v>
      </c>
    </row>
    <row r="2036">
      <c r="A2036" s="1">
        <v>2034.0</v>
      </c>
      <c r="B2036" s="4" t="s">
        <v>3059</v>
      </c>
      <c r="C2036" s="5" t="str">
        <f>IFERROR(__xludf.DUMMYFUNCTION("GOOGLETRANSLATE(D:D,""auto"",""en"")"),"Raytheon Hill received 86 people")</f>
        <v>Raytheon Hill received 86 people</v>
      </c>
      <c r="D2036" s="4" t="s">
        <v>3112</v>
      </c>
      <c r="E2036" s="4">
        <v>0.0</v>
      </c>
      <c r="F2036" s="4">
        <v>35.0</v>
      </c>
      <c r="G2036" s="4" t="s">
        <v>3113</v>
      </c>
    </row>
    <row r="2037">
      <c r="A2037" s="1">
        <v>2035.0</v>
      </c>
      <c r="B2037" s="4" t="s">
        <v>3059</v>
      </c>
      <c r="C2037" s="5" t="str">
        <f>IFERROR(__xludf.DUMMYFUNCTION("GOOGLETRANSLATE(D:D,""auto"",""en"")"),"Russian media comment on the US flu epidemic")</f>
        <v>Russian media comment on the US flu epidemic</v>
      </c>
      <c r="D2037" s="4" t="s">
        <v>3114</v>
      </c>
      <c r="E2037" s="4">
        <v>0.0</v>
      </c>
      <c r="F2037" s="4">
        <v>36.0</v>
      </c>
      <c r="G2037" s="4" t="s">
        <v>3115</v>
      </c>
    </row>
    <row r="2038">
      <c r="A2038" s="1">
        <v>2036.0</v>
      </c>
      <c r="B2038" s="4" t="s">
        <v>3059</v>
      </c>
      <c r="C2038" s="5" t="str">
        <f>IFERROR(__xludf.DUMMYFUNCTION("GOOGLETRANSLATE(D:D,""auto"",""en"")"),"Hubei relatives live steal stay 7")</f>
        <v>Hubei relatives live steal stay 7</v>
      </c>
      <c r="D2038" s="4" t="s">
        <v>3116</v>
      </c>
      <c r="E2038" s="4">
        <v>0.0</v>
      </c>
      <c r="F2038" s="4">
        <v>37.0</v>
      </c>
      <c r="G2038" s="4" t="s">
        <v>3117</v>
      </c>
    </row>
    <row r="2039">
      <c r="A2039" s="1">
        <v>2037.0</v>
      </c>
      <c r="B2039" s="4" t="s">
        <v>3059</v>
      </c>
      <c r="C2039" s="5" t="str">
        <f>IFERROR(__xludf.DUMMYFUNCTION("GOOGLETRANSLATE(D:D,""auto"",""en"")"),"Overseas purchasing masks exposing insider")</f>
        <v>Overseas purchasing masks exposing insider</v>
      </c>
      <c r="D2039" s="4" t="s">
        <v>3118</v>
      </c>
      <c r="E2039" s="4">
        <v>0.0</v>
      </c>
      <c r="F2039" s="4">
        <v>38.0</v>
      </c>
      <c r="G2039" s="4" t="s">
        <v>3119</v>
      </c>
    </row>
    <row r="2040">
      <c r="A2040" s="1">
        <v>2038.0</v>
      </c>
      <c r="B2040" s="4" t="s">
        <v>3059</v>
      </c>
      <c r="C2040" s="5" t="str">
        <f>IFERROR(__xludf.DUMMYFUNCTION("GOOGLETRANSLATE(D:D,""auto"",""en"")"),"Hubei new non-fall of six days")</f>
        <v>Hubei new non-fall of six days</v>
      </c>
      <c r="D2040" s="4" t="s">
        <v>3120</v>
      </c>
      <c r="E2040" s="4">
        <v>0.0</v>
      </c>
      <c r="F2040" s="4">
        <v>39.0</v>
      </c>
      <c r="G2040" s="4" t="s">
        <v>3121</v>
      </c>
    </row>
    <row r="2041">
      <c r="A2041" s="1">
        <v>2039.0</v>
      </c>
      <c r="B2041" s="4" t="s">
        <v>3059</v>
      </c>
      <c r="C2041" s="5" t="str">
        <f>IFERROR(__xludf.DUMMYFUNCTION("GOOGLETRANSLATE(D:D,""auto"",""en"")"),"Tan Song Yun Fang issued a statement")</f>
        <v>Tan Song Yun Fang issued a statement</v>
      </c>
      <c r="D2041" s="4" t="s">
        <v>3013</v>
      </c>
      <c r="E2041" s="4">
        <v>0.0</v>
      </c>
      <c r="F2041" s="4">
        <v>40.0</v>
      </c>
      <c r="G2041" s="4" t="s">
        <v>3014</v>
      </c>
    </row>
    <row r="2042">
      <c r="A2042" s="1">
        <v>2040.0</v>
      </c>
      <c r="B2042" s="4" t="s">
        <v>3059</v>
      </c>
      <c r="C2042" s="5" t="str">
        <f>IFERROR(__xludf.DUMMYFUNCTION("GOOGLETRANSLATE(D:D,""auto"",""en"")"),"Beijing there are seven cases discharged from hospital")</f>
        <v>Beijing there are seven cases discharged from hospital</v>
      </c>
      <c r="D2042" s="4" t="s">
        <v>3122</v>
      </c>
      <c r="E2042" s="4">
        <v>0.0</v>
      </c>
      <c r="F2042" s="4">
        <v>41.0</v>
      </c>
      <c r="G2042" s="4" t="s">
        <v>3123</v>
      </c>
    </row>
    <row r="2043">
      <c r="A2043" s="1">
        <v>2041.0</v>
      </c>
      <c r="B2043" s="4" t="s">
        <v>3059</v>
      </c>
      <c r="C2043" s="5" t="str">
        <f>IFERROR(__xludf.DUMMYFUNCTION("GOOGLETRANSLATE(D:D,""auto"",""en"")"),"The White House requested the investigation of viral origin")</f>
        <v>The White House requested the investigation of viral origin</v>
      </c>
      <c r="D2043" s="4" t="s">
        <v>3001</v>
      </c>
      <c r="E2043" s="4">
        <v>0.0</v>
      </c>
      <c r="F2043" s="4">
        <v>42.0</v>
      </c>
      <c r="G2043" s="4" t="s">
        <v>3002</v>
      </c>
    </row>
    <row r="2044">
      <c r="A2044" s="1">
        <v>2042.0</v>
      </c>
      <c r="B2044" s="4" t="s">
        <v>3059</v>
      </c>
      <c r="C2044" s="5" t="str">
        <f>IFERROR(__xludf.DUMMYFUNCTION("GOOGLETRANSLATE(D:D,""auto"",""en"")"),"Now many false negative cases")</f>
        <v>Now many false negative cases</v>
      </c>
      <c r="D2044" s="4" t="s">
        <v>3007</v>
      </c>
      <c r="E2044" s="4">
        <v>0.0</v>
      </c>
      <c r="F2044" s="4">
        <v>43.0</v>
      </c>
      <c r="G2044" s="4" t="s">
        <v>3008</v>
      </c>
    </row>
    <row r="2045">
      <c r="A2045" s="1">
        <v>2043.0</v>
      </c>
      <c r="B2045" s="4" t="s">
        <v>3059</v>
      </c>
      <c r="C2045" s="5" t="str">
        <f>IFERROR(__xludf.DUMMYFUNCTION("GOOGLETRANSLATE(D:D,""auto"",""en"")"),"Jet Li's eldest daughter photograph")</f>
        <v>Jet Li's eldest daughter photograph</v>
      </c>
      <c r="D2045" s="4" t="s">
        <v>3124</v>
      </c>
      <c r="E2045" s="4">
        <v>0.0</v>
      </c>
      <c r="F2045" s="4">
        <v>44.0</v>
      </c>
      <c r="G2045" s="4" t="s">
        <v>3125</v>
      </c>
    </row>
    <row r="2046">
      <c r="A2046" s="1">
        <v>2044.0</v>
      </c>
      <c r="B2046" s="4" t="s">
        <v>3059</v>
      </c>
      <c r="C2046" s="5" t="str">
        <f>IFERROR(__xludf.DUMMYFUNCTION("GOOGLETRANSLATE(D:D,""auto"",""en"")"),"Shanghai unit of aggregation epidemic")</f>
        <v>Shanghai unit of aggregation epidemic</v>
      </c>
      <c r="D2046" s="4" t="s">
        <v>3031</v>
      </c>
      <c r="E2046" s="4">
        <v>0.0</v>
      </c>
      <c r="F2046" s="4">
        <v>45.0</v>
      </c>
      <c r="G2046" s="4" t="s">
        <v>3032</v>
      </c>
    </row>
    <row r="2047">
      <c r="A2047" s="1">
        <v>2045.0</v>
      </c>
      <c r="B2047" s="4" t="s">
        <v>3059</v>
      </c>
      <c r="C2047" s="5" t="str">
        <f>IFERROR(__xludf.DUMMYFUNCTION("GOOGLETRANSLATE(D:D,""auto"",""en"")"),"Hairdryer sterilize masks")</f>
        <v>Hairdryer sterilize masks</v>
      </c>
      <c r="D2047" s="4" t="s">
        <v>3126</v>
      </c>
      <c r="E2047" s="4">
        <v>0.0</v>
      </c>
      <c r="F2047" s="4">
        <v>46.0</v>
      </c>
      <c r="G2047" s="4" t="s">
        <v>3127</v>
      </c>
    </row>
    <row r="2048">
      <c r="A2048" s="1">
        <v>2046.0</v>
      </c>
      <c r="B2048" s="4" t="s">
        <v>3059</v>
      </c>
      <c r="C2048" s="5" t="str">
        <f>IFERROR(__xludf.DUMMYFUNCTION("GOOGLETRANSLATE(D:D,""auto"",""en"")"),"Dropped 500,000 turned away")</f>
        <v>Dropped 500,000 turned away</v>
      </c>
      <c r="D2048" s="4" t="s">
        <v>3023</v>
      </c>
      <c r="E2048" s="4">
        <v>0.0</v>
      </c>
      <c r="F2048" s="4">
        <v>47.0</v>
      </c>
      <c r="G2048" s="4" t="s">
        <v>3024</v>
      </c>
    </row>
    <row r="2049">
      <c r="A2049" s="1">
        <v>2047.0</v>
      </c>
      <c r="B2049" s="4" t="s">
        <v>3059</v>
      </c>
      <c r="C2049" s="5" t="str">
        <f>IFERROR(__xludf.DUMMYFUNCTION("GOOGLETRANSLATE(D:D,""auto"",""en"")"),"Jinjiang Duwang sound families")</f>
        <v>Jinjiang Duwang sound families</v>
      </c>
      <c r="D2049" s="4" t="s">
        <v>2997</v>
      </c>
      <c r="E2049" s="4">
        <v>0.0</v>
      </c>
      <c r="F2049" s="4">
        <v>48.0</v>
      </c>
      <c r="G2049" s="4" t="s">
        <v>2998</v>
      </c>
    </row>
    <row r="2050">
      <c r="A2050" s="1">
        <v>2048.0</v>
      </c>
      <c r="B2050" s="4" t="s">
        <v>3059</v>
      </c>
      <c r="C2050" s="5" t="str">
        <f>IFERROR(__xludf.DUMMYFUNCTION("GOOGLETRANSLATE(D:D,""auto"",""en"")"),"The new crown is a slip of the tongue Department of SARS")</f>
        <v>The new crown is a slip of the tongue Department of SARS</v>
      </c>
      <c r="D2050" s="4" t="s">
        <v>3128</v>
      </c>
      <c r="E2050" s="4">
        <v>0.0</v>
      </c>
      <c r="F2050" s="4">
        <v>49.0</v>
      </c>
      <c r="G2050" s="4" t="s">
        <v>3129</v>
      </c>
    </row>
    <row r="2051">
      <c r="A2051" s="1">
        <v>2049.0</v>
      </c>
      <c r="B2051" s="4" t="s">
        <v>3059</v>
      </c>
      <c r="C2051" s="5" t="str">
        <f>IFERROR(__xludf.DUMMYFUNCTION("GOOGLETRANSLATE(D:D,""auto"",""en"")"),"Japan 70 cases diagnosed Cruise")</f>
        <v>Japan 70 cases diagnosed Cruise</v>
      </c>
      <c r="D2051" s="4" t="s">
        <v>3130</v>
      </c>
      <c r="E2051" s="4">
        <v>0.0</v>
      </c>
      <c r="F2051" s="4">
        <v>50.0</v>
      </c>
      <c r="G2051" s="4" t="s">
        <v>3131</v>
      </c>
    </row>
    <row r="2052">
      <c r="A2052" s="1">
        <v>2050.0</v>
      </c>
      <c r="B2052" s="4" t="s">
        <v>3132</v>
      </c>
      <c r="C2052" s="5" t="str">
        <f>IFERROR(__xludf.DUMMYFUNCTION("GOOGLETRANSLATE(D:D,""auto"",""en"")"),"13 Express to resume operations")</f>
        <v>13 Express to resume operations</v>
      </c>
      <c r="D2052" s="4" t="s">
        <v>3072</v>
      </c>
      <c r="E2052" s="4">
        <v>0.0</v>
      </c>
      <c r="F2052" s="4">
        <v>1.0</v>
      </c>
      <c r="G2052" s="4" t="s">
        <v>3073</v>
      </c>
    </row>
    <row r="2053">
      <c r="A2053" s="1">
        <v>2051.0</v>
      </c>
      <c r="B2053" s="4" t="s">
        <v>3132</v>
      </c>
      <c r="C2053" s="5" t="str">
        <f>IFERROR(__xludf.DUMMYFUNCTION("GOOGLETRANSLATE(D:D,""auto"",""en"")"),"Hairdryer sterilize masks")</f>
        <v>Hairdryer sterilize masks</v>
      </c>
      <c r="D2053" s="4" t="s">
        <v>3126</v>
      </c>
      <c r="E2053" s="4">
        <v>0.0</v>
      </c>
      <c r="F2053" s="4">
        <v>2.0</v>
      </c>
      <c r="G2053" s="4" t="s">
        <v>3127</v>
      </c>
    </row>
    <row r="2054">
      <c r="A2054" s="1">
        <v>2052.0</v>
      </c>
      <c r="B2054" s="4" t="s">
        <v>3132</v>
      </c>
      <c r="C2054" s="5" t="str">
        <f>IFERROR(__xludf.DUMMYFUNCTION("GOOGLETRANSLATE(D:D,""auto"",""en"")"),"Full critically ill patients admitted to hospital in Wuhan")</f>
        <v>Full critically ill patients admitted to hospital in Wuhan</v>
      </c>
      <c r="D2054" s="4" t="s">
        <v>3133</v>
      </c>
      <c r="E2054" s="4">
        <v>0.0</v>
      </c>
      <c r="F2054" s="4">
        <v>3.0</v>
      </c>
      <c r="G2054" s="4" t="s">
        <v>3134</v>
      </c>
    </row>
    <row r="2055">
      <c r="A2055" s="1">
        <v>2053.0</v>
      </c>
      <c r="B2055" s="4" t="s">
        <v>3132</v>
      </c>
      <c r="C2055" s="5" t="str">
        <f>IFERROR(__xludf.DUMMYFUNCTION("GOOGLETRANSLATE(D:D,""auto"",""en"")"),"1.1 billion loss exposure sea fishing")</f>
        <v>1.1 billion loss exposure sea fishing</v>
      </c>
      <c r="D2055" s="4" t="s">
        <v>3135</v>
      </c>
      <c r="E2055" s="4">
        <v>0.0</v>
      </c>
      <c r="F2055" s="4">
        <v>4.0</v>
      </c>
      <c r="G2055" s="4" t="s">
        <v>3136</v>
      </c>
    </row>
    <row r="2056">
      <c r="A2056" s="1">
        <v>2054.0</v>
      </c>
      <c r="B2056" s="4" t="s">
        <v>3132</v>
      </c>
      <c r="C2056" s="5" t="str">
        <f>IFERROR(__xludf.DUMMYFUNCTION("GOOGLETRANSLATE(D:D,""auto"",""en"")"),"Australia floods Storm lead off fires")</f>
        <v>Australia floods Storm lead off fires</v>
      </c>
      <c r="D2056" s="4" t="s">
        <v>3137</v>
      </c>
      <c r="E2056" s="4">
        <v>0.0</v>
      </c>
      <c r="F2056" s="4">
        <v>5.0</v>
      </c>
      <c r="G2056" s="4" t="s">
        <v>3138</v>
      </c>
    </row>
    <row r="2057">
      <c r="A2057" s="1">
        <v>2055.0</v>
      </c>
      <c r="B2057" s="4" t="s">
        <v>3132</v>
      </c>
      <c r="C2057" s="5" t="str">
        <f>IFERROR(__xludf.DUMMYFUNCTION("GOOGLETRANSLATE(D:D,""auto"",""en"")"),"Tang Fei three families infection")</f>
        <v>Tang Fei three families infection</v>
      </c>
      <c r="D2057" s="4" t="s">
        <v>3139</v>
      </c>
      <c r="E2057" s="4">
        <v>0.0</v>
      </c>
      <c r="F2057" s="4">
        <v>6.0</v>
      </c>
      <c r="G2057" s="4" t="s">
        <v>3140</v>
      </c>
    </row>
    <row r="2058">
      <c r="A2058" s="1">
        <v>2056.0</v>
      </c>
      <c r="B2058" s="4" t="s">
        <v>3132</v>
      </c>
      <c r="C2058" s="5" t="str">
        <f>IFERROR(__xludf.DUMMYFUNCTION("GOOGLETRANSLATE(D:D,""auto"",""en"")"),"Vanessa then made a long article")</f>
        <v>Vanessa then made a long article</v>
      </c>
      <c r="D2058" s="4" t="s">
        <v>3141</v>
      </c>
      <c r="E2058" s="4">
        <v>0.0</v>
      </c>
      <c r="F2058" s="4">
        <v>7.0</v>
      </c>
      <c r="G2058" s="4" t="s">
        <v>3142</v>
      </c>
    </row>
    <row r="2059">
      <c r="A2059" s="1">
        <v>2057.0</v>
      </c>
      <c r="B2059" s="4" t="s">
        <v>3132</v>
      </c>
      <c r="C2059" s="5" t="str">
        <f>IFERROR(__xludf.DUMMYFUNCTION("GOOGLETRANSLATE(D:D,""auto"",""en"")"),"Wuhan diagnosed return 42 days")</f>
        <v>Wuhan diagnosed return 42 days</v>
      </c>
      <c r="D2059" s="4" t="s">
        <v>3143</v>
      </c>
      <c r="E2059" s="4">
        <v>0.0</v>
      </c>
      <c r="F2059" s="4">
        <v>8.0</v>
      </c>
      <c r="G2059" s="4" t="s">
        <v>3144</v>
      </c>
    </row>
    <row r="2060">
      <c r="A2060" s="1">
        <v>2058.0</v>
      </c>
      <c r="B2060" s="4" t="s">
        <v>3132</v>
      </c>
      <c r="C2060" s="5" t="str">
        <f>IFERROR(__xludf.DUMMYFUNCTION("GOOGLETRANSLATE(D:D,""auto"",""en"")"),"Nigeria now unknown disease")</f>
        <v>Nigeria now unknown disease</v>
      </c>
      <c r="D2060" s="4" t="s">
        <v>3145</v>
      </c>
      <c r="E2060" s="4">
        <v>0.0</v>
      </c>
      <c r="F2060" s="4">
        <v>9.0</v>
      </c>
      <c r="G2060" s="4" t="s">
        <v>3146</v>
      </c>
    </row>
    <row r="2061">
      <c r="A2061" s="1">
        <v>2059.0</v>
      </c>
      <c r="B2061" s="4" t="s">
        <v>3132</v>
      </c>
      <c r="C2061" s="5" t="str">
        <f>IFERROR(__xludf.DUMMYFUNCTION("GOOGLETRANSLATE(D:D,""auto"",""en"")"),"Hubei cumulative confirmed over thirty thousand")</f>
        <v>Hubei cumulative confirmed over thirty thousand</v>
      </c>
      <c r="D2061" s="4" t="s">
        <v>3147</v>
      </c>
      <c r="E2061" s="4">
        <v>0.0</v>
      </c>
      <c r="F2061" s="4">
        <v>10.0</v>
      </c>
      <c r="G2061" s="4" t="s">
        <v>3148</v>
      </c>
    </row>
    <row r="2062">
      <c r="A2062" s="1">
        <v>2060.0</v>
      </c>
      <c r="B2062" s="4" t="s">
        <v>3132</v>
      </c>
      <c r="C2062" s="5" t="str">
        <f>IFERROR(__xludf.DUMMYFUNCTION("GOOGLETRANSLATE(D:D,""auto"",""en"")"),"Wuhan over one thousand cases of infection in health care")</f>
        <v>Wuhan over one thousand cases of infection in health care</v>
      </c>
      <c r="D2062" s="4" t="s">
        <v>3149</v>
      </c>
      <c r="E2062" s="4">
        <v>0.0</v>
      </c>
      <c r="F2062" s="4">
        <v>11.0</v>
      </c>
      <c r="G2062" s="4" t="s">
        <v>3150</v>
      </c>
    </row>
    <row r="2063">
      <c r="A2063" s="1">
        <v>2061.0</v>
      </c>
      <c r="B2063" s="4" t="s">
        <v>3132</v>
      </c>
      <c r="C2063" s="5" t="str">
        <f>IFERROR(__xludf.DUMMYFUNCTION("GOOGLETRANSLATE(D:D,""auto"",""en"")"),"Hubei new non-fall of six days")</f>
        <v>Hubei new non-fall of six days</v>
      </c>
      <c r="D2063" s="4" t="s">
        <v>3120</v>
      </c>
      <c r="E2063" s="4">
        <v>0.0</v>
      </c>
      <c r="F2063" s="4">
        <v>12.0</v>
      </c>
      <c r="G2063" s="4" t="s">
        <v>3121</v>
      </c>
    </row>
    <row r="2064">
      <c r="A2064" s="1">
        <v>2062.0</v>
      </c>
      <c r="B2064" s="4" t="s">
        <v>3132</v>
      </c>
      <c r="C2064" s="5" t="str">
        <f>IFERROR(__xludf.DUMMYFUNCTION("GOOGLETRANSLATE(D:D,""auto"",""en"")"),"WHO's epidemic alert issued")</f>
        <v>WHO's epidemic alert issued</v>
      </c>
      <c r="D2064" s="4" t="s">
        <v>3151</v>
      </c>
      <c r="E2064" s="4">
        <v>0.0</v>
      </c>
      <c r="F2064" s="4">
        <v>13.0</v>
      </c>
      <c r="G2064" s="4" t="s">
        <v>3152</v>
      </c>
    </row>
    <row r="2065">
      <c r="A2065" s="1">
        <v>2063.0</v>
      </c>
      <c r="B2065" s="4" t="s">
        <v>3132</v>
      </c>
      <c r="C2065" s="5" t="str">
        <f>IFERROR(__xludf.DUMMYFUNCTION("GOOGLETRANSLATE(D:D,""auto"",""en"")"),"Brazil found a mysterious virus")</f>
        <v>Brazil found a mysterious virus</v>
      </c>
      <c r="D2065" s="4" t="s">
        <v>3153</v>
      </c>
      <c r="E2065" s="4">
        <v>0.0</v>
      </c>
      <c r="F2065" s="4">
        <v>14.0</v>
      </c>
      <c r="G2065" s="4" t="s">
        <v>3154</v>
      </c>
    </row>
    <row r="2066">
      <c r="A2066" s="1">
        <v>2064.0</v>
      </c>
      <c r="B2066" s="4" t="s">
        <v>3132</v>
      </c>
      <c r="C2066" s="5" t="str">
        <f>IFERROR(__xludf.DUMMYFUNCTION("GOOGLETRANSLATE(D:D,""auto"",""en"")"),"Guan respond deserter evaluation")</f>
        <v>Guan respond deserter evaluation</v>
      </c>
      <c r="D2066" s="4" t="s">
        <v>3155</v>
      </c>
      <c r="E2066" s="4">
        <v>0.0</v>
      </c>
      <c r="F2066" s="4">
        <v>15.0</v>
      </c>
      <c r="G2066" s="4" t="s">
        <v>3156</v>
      </c>
    </row>
    <row r="2067">
      <c r="A2067" s="1">
        <v>2065.0</v>
      </c>
      <c r="B2067" s="4" t="s">
        <v>3132</v>
      </c>
      <c r="C2067" s="5" t="str">
        <f>IFERROR(__xludf.DUMMYFUNCTION("GOOGLETRANSLATE(D:D,""auto"",""en"")"),"Lu Lu photograph skinny")</f>
        <v>Lu Lu photograph skinny</v>
      </c>
      <c r="D2067" s="4" t="s">
        <v>3157</v>
      </c>
      <c r="E2067" s="4">
        <v>0.0</v>
      </c>
      <c r="F2067" s="4">
        <v>16.0</v>
      </c>
      <c r="G2067" s="4" t="s">
        <v>3158</v>
      </c>
    </row>
    <row r="2068">
      <c r="A2068" s="1">
        <v>2066.0</v>
      </c>
      <c r="B2068" s="4" t="s">
        <v>3132</v>
      </c>
      <c r="C2068" s="5" t="str">
        <f>IFERROR(__xludf.DUMMYFUNCTION("GOOGLETRANSLATE(D:D,""auto"",""en"")"),"Huanggang cadres died in fight against SARS")</f>
        <v>Huanggang cadres died in fight against SARS</v>
      </c>
      <c r="D2068" s="4" t="s">
        <v>3159</v>
      </c>
      <c r="E2068" s="4">
        <v>0.0</v>
      </c>
      <c r="F2068" s="4">
        <v>17.0</v>
      </c>
      <c r="G2068" s="4" t="s">
        <v>3160</v>
      </c>
    </row>
    <row r="2069">
      <c r="A2069" s="1">
        <v>2067.0</v>
      </c>
      <c r="B2069" s="4" t="s">
        <v>3132</v>
      </c>
      <c r="C2069" s="5" t="str">
        <f>IFERROR(__xludf.DUMMYFUNCTION("GOOGLETRANSLATE(D:D,""auto"",""en"")"),"Doctors are bitten by infected patients")</f>
        <v>Doctors are bitten by infected patients</v>
      </c>
      <c r="D2069" s="4" t="s">
        <v>3161</v>
      </c>
      <c r="E2069" s="4">
        <v>0.0</v>
      </c>
      <c r="F2069" s="4">
        <v>18.0</v>
      </c>
      <c r="G2069" s="4" t="s">
        <v>3162</v>
      </c>
    </row>
    <row r="2070">
      <c r="A2070" s="1">
        <v>2068.0</v>
      </c>
      <c r="B2070" s="4" t="s">
        <v>3132</v>
      </c>
      <c r="C2070" s="5" t="str">
        <f>IFERROR(__xludf.DUMMYFUNCTION("GOOGLETRANSLATE(D:D,""auto"",""en"")"),"Zhong Nanshan talk about the epidemic peak")</f>
        <v>Zhong Nanshan talk about the epidemic peak</v>
      </c>
      <c r="D2070" s="4" t="s">
        <v>3163</v>
      </c>
      <c r="E2070" s="4">
        <v>0.0</v>
      </c>
      <c r="F2070" s="4">
        <v>19.0</v>
      </c>
      <c r="G2070" s="4" t="s">
        <v>3164</v>
      </c>
    </row>
    <row r="2071">
      <c r="A2071" s="1">
        <v>2069.0</v>
      </c>
      <c r="B2071" s="4" t="s">
        <v>3132</v>
      </c>
      <c r="C2071" s="5" t="str">
        <f>IFERROR(__xludf.DUMMYFUNCTION("GOOGLETRANSLATE(D:D,""auto"",""en"")"),"Wuhan frontline emergency supplies")</f>
        <v>Wuhan frontline emergency supplies</v>
      </c>
      <c r="D2071" s="4" t="s">
        <v>3165</v>
      </c>
      <c r="E2071" s="4">
        <v>0.0</v>
      </c>
      <c r="F2071" s="4">
        <v>20.0</v>
      </c>
      <c r="G2071" s="4" t="s">
        <v>3166</v>
      </c>
    </row>
    <row r="2072">
      <c r="A2072" s="1">
        <v>2070.0</v>
      </c>
      <c r="B2072" s="4" t="s">
        <v>3132</v>
      </c>
      <c r="C2072" s="5" t="str">
        <f>IFERROR(__xludf.DUMMYFUNCTION("GOOGLETRANSLATE(D:D,""auto"",""en"")"),"Britain is now super-spreaders")</f>
        <v>Britain is now super-spreaders</v>
      </c>
      <c r="D2072" s="4" t="s">
        <v>3167</v>
      </c>
      <c r="E2072" s="4">
        <v>0.0</v>
      </c>
      <c r="F2072" s="4">
        <v>21.0</v>
      </c>
      <c r="G2072" s="4" t="s">
        <v>3168</v>
      </c>
    </row>
    <row r="2073">
      <c r="A2073" s="1">
        <v>2071.0</v>
      </c>
      <c r="B2073" s="4" t="s">
        <v>3132</v>
      </c>
      <c r="C2073" s="5" t="str">
        <f>IFERROR(__xludf.DUMMYFUNCTION("GOOGLETRANSLATE(D:D,""auto"",""en"")"),"Huanggang 1.3 million people now fever")</f>
        <v>Huanggang 1.3 million people now fever</v>
      </c>
      <c r="D2073" s="4" t="s">
        <v>3169</v>
      </c>
      <c r="E2073" s="4">
        <v>0.0</v>
      </c>
      <c r="F2073" s="4">
        <v>22.0</v>
      </c>
      <c r="G2073" s="4" t="s">
        <v>3170</v>
      </c>
    </row>
    <row r="2074">
      <c r="A2074" s="1">
        <v>2072.0</v>
      </c>
      <c r="B2074" s="4" t="s">
        <v>3132</v>
      </c>
      <c r="C2074" s="5" t="str">
        <f>IFERROR(__xludf.DUMMYFUNCTION("GOOGLETRANSLATE(D:D,""auto"",""en"")"),"Chinese women's football ahead of qualifying")</f>
        <v>Chinese women's football ahead of qualifying</v>
      </c>
      <c r="D2074" s="4" t="s">
        <v>3070</v>
      </c>
      <c r="E2074" s="4">
        <v>0.0</v>
      </c>
      <c r="F2074" s="4">
        <v>23.0</v>
      </c>
      <c r="G2074" s="4" t="s">
        <v>3071</v>
      </c>
    </row>
    <row r="2075">
      <c r="A2075" s="1">
        <v>2073.0</v>
      </c>
      <c r="B2075" s="4" t="s">
        <v>3132</v>
      </c>
      <c r="C2075" s="5" t="str">
        <f>IFERROR(__xludf.DUMMYFUNCTION("GOOGLETRANSLATE(D:D,""auto"",""en"")"),"17 consecutive days in asymptomatic patients")</f>
        <v>17 consecutive days in asymptomatic patients</v>
      </c>
      <c r="D2075" s="4" t="s">
        <v>3108</v>
      </c>
      <c r="E2075" s="4">
        <v>0.0</v>
      </c>
      <c r="F2075" s="4">
        <v>24.0</v>
      </c>
      <c r="G2075" s="4" t="s">
        <v>3109</v>
      </c>
    </row>
    <row r="2076">
      <c r="A2076" s="1">
        <v>2074.0</v>
      </c>
      <c r="B2076" s="4" t="s">
        <v>3132</v>
      </c>
      <c r="C2076" s="5" t="str">
        <f>IFERROR(__xludf.DUMMYFUNCTION("GOOGLETRANSLATE(D:D,""auto"",""en"")"),"Hubei relatives live steal stay 7")</f>
        <v>Hubei relatives live steal stay 7</v>
      </c>
      <c r="D2076" s="4" t="s">
        <v>3116</v>
      </c>
      <c r="E2076" s="4">
        <v>0.0</v>
      </c>
      <c r="F2076" s="4">
        <v>25.0</v>
      </c>
      <c r="G2076" s="4" t="s">
        <v>3117</v>
      </c>
    </row>
    <row r="2077">
      <c r="A2077" s="1">
        <v>2075.0</v>
      </c>
      <c r="B2077" s="4" t="s">
        <v>3132</v>
      </c>
      <c r="C2077" s="5" t="str">
        <f>IFERROR(__xludf.DUMMYFUNCTION("GOOGLETRANSLATE(D:D,""auto"",""en"")"),"Turpan City earthquake")</f>
        <v>Turpan City earthquake</v>
      </c>
      <c r="D2077" s="4" t="s">
        <v>3106</v>
      </c>
      <c r="E2077" s="4">
        <v>0.0</v>
      </c>
      <c r="F2077" s="4">
        <v>26.0</v>
      </c>
      <c r="G2077" s="4" t="s">
        <v>3107</v>
      </c>
    </row>
    <row r="2078">
      <c r="A2078" s="1">
        <v>2076.0</v>
      </c>
      <c r="B2078" s="4" t="s">
        <v>3132</v>
      </c>
      <c r="C2078" s="5" t="str">
        <f>IFERROR(__xludf.DUMMYFUNCTION("GOOGLETRANSLATE(D:D,""auto"",""en"")"),"Jinyintan president to talk about cure")</f>
        <v>Jinyintan president to talk about cure</v>
      </c>
      <c r="D2078" s="4" t="s">
        <v>3171</v>
      </c>
      <c r="E2078" s="4">
        <v>0.0</v>
      </c>
      <c r="F2078" s="4">
        <v>27.0</v>
      </c>
      <c r="G2078" s="4" t="s">
        <v>3172</v>
      </c>
    </row>
    <row r="2079">
      <c r="A2079" s="1">
        <v>2077.0</v>
      </c>
      <c r="B2079" s="4" t="s">
        <v>3132</v>
      </c>
      <c r="C2079" s="5" t="str">
        <f>IFERROR(__xludf.DUMMYFUNCTION("GOOGLETRANSLATE(D:D,""auto"",""en"")"),"National epidemic downward trend")</f>
        <v>National epidemic downward trend</v>
      </c>
      <c r="D2079" s="4" t="s">
        <v>3173</v>
      </c>
      <c r="E2079" s="4">
        <v>0.0</v>
      </c>
      <c r="F2079" s="4">
        <v>28.0</v>
      </c>
      <c r="G2079" s="4" t="s">
        <v>3174</v>
      </c>
    </row>
    <row r="2080">
      <c r="A2080" s="1">
        <v>2078.0</v>
      </c>
      <c r="B2080" s="4" t="s">
        <v>3132</v>
      </c>
      <c r="C2080" s="5" t="str">
        <f>IFERROR(__xludf.DUMMYFUNCTION("GOOGLETRANSLATE(D:D,""auto"",""en"")"),"WHO experts arrived in China")</f>
        <v>WHO experts arrived in China</v>
      </c>
      <c r="D2080" s="4" t="s">
        <v>3175</v>
      </c>
      <c r="E2080" s="4">
        <v>0.0</v>
      </c>
      <c r="F2080" s="4">
        <v>29.0</v>
      </c>
      <c r="G2080" s="4" t="s">
        <v>3176</v>
      </c>
    </row>
    <row r="2081">
      <c r="A2081" s="1">
        <v>2079.0</v>
      </c>
      <c r="B2081" s="4" t="s">
        <v>3132</v>
      </c>
      <c r="C2081" s="5" t="str">
        <f>IFERROR(__xludf.DUMMYFUNCTION("GOOGLETRANSLATE(D:D,""auto"",""en"")"),"There are 160 million people will return to post")</f>
        <v>There are 160 million people will return to post</v>
      </c>
      <c r="D2081" s="4" t="s">
        <v>3177</v>
      </c>
      <c r="E2081" s="4">
        <v>0.0</v>
      </c>
      <c r="F2081" s="4">
        <v>30.0</v>
      </c>
      <c r="G2081" s="4" t="s">
        <v>3178</v>
      </c>
    </row>
    <row r="2082">
      <c r="A2082" s="1">
        <v>2080.0</v>
      </c>
      <c r="B2082" s="4" t="s">
        <v>3132</v>
      </c>
      <c r="C2082" s="5" t="str">
        <f>IFERROR(__xludf.DUMMYFUNCTION("GOOGLETRANSLATE(D:D,""auto"",""en"")"),"Hubei second field battle begin")</f>
        <v>Hubei second field battle begin</v>
      </c>
      <c r="D2082" s="4" t="s">
        <v>3179</v>
      </c>
      <c r="E2082" s="4">
        <v>0.0</v>
      </c>
      <c r="F2082" s="4">
        <v>31.0</v>
      </c>
      <c r="G2082" s="4" t="s">
        <v>3180</v>
      </c>
    </row>
    <row r="2083">
      <c r="A2083" s="1">
        <v>2081.0</v>
      </c>
      <c r="B2083" s="4" t="s">
        <v>3132</v>
      </c>
      <c r="C2083" s="5" t="str">
        <f>IFERROR(__xludf.DUMMYFUNCTION("GOOGLETRANSLATE(D:D,""auto"",""en"")"),"On the 200 business people are isolated")</f>
        <v>On the 200 business people are isolated</v>
      </c>
      <c r="D2083" s="4" t="s">
        <v>3181</v>
      </c>
      <c r="E2083" s="4">
        <v>0.0</v>
      </c>
      <c r="F2083" s="4">
        <v>32.0</v>
      </c>
      <c r="G2083" s="4" t="s">
        <v>3182</v>
      </c>
    </row>
    <row r="2084">
      <c r="A2084" s="1">
        <v>2082.0</v>
      </c>
      <c r="B2084" s="4" t="s">
        <v>3132</v>
      </c>
      <c r="C2084" s="5" t="str">
        <f>IFERROR(__xludf.DUMMYFUNCTION("GOOGLETRANSLATE(D:D,""auto"",""en"")"),"South Korean Embassy hanging banners")</f>
        <v>South Korean Embassy hanging banners</v>
      </c>
      <c r="D2084" s="4" t="s">
        <v>3183</v>
      </c>
      <c r="E2084" s="4">
        <v>0.0</v>
      </c>
      <c r="F2084" s="4">
        <v>33.0</v>
      </c>
      <c r="G2084" s="4" t="s">
        <v>3184</v>
      </c>
    </row>
    <row r="2085">
      <c r="A2085" s="1">
        <v>2083.0</v>
      </c>
      <c r="B2085" s="4" t="s">
        <v>3132</v>
      </c>
      <c r="C2085" s="5" t="str">
        <f>IFERROR(__xludf.DUMMYFUNCTION("GOOGLETRANSLATE(D:D,""auto"",""en"")"),"Hubei new non-fall of 7 days")</f>
        <v>Hubei new non-fall of 7 days</v>
      </c>
      <c r="D2085" s="4" t="s">
        <v>3185</v>
      </c>
      <c r="E2085" s="4">
        <v>0.0</v>
      </c>
      <c r="F2085" s="4">
        <v>34.0</v>
      </c>
      <c r="G2085" s="4" t="s">
        <v>3186</v>
      </c>
    </row>
    <row r="2086">
      <c r="A2086" s="1">
        <v>2084.0</v>
      </c>
      <c r="B2086" s="4" t="s">
        <v>3132</v>
      </c>
      <c r="C2086" s="5" t="str">
        <f>IFERROR(__xludf.DUMMYFUNCTION("GOOGLETRANSLATE(D:D,""auto"",""en"")"),"Cadres four short notice does not return Kong")</f>
        <v>Cadres four short notice does not return Kong</v>
      </c>
      <c r="D2086" s="4" t="s">
        <v>3187</v>
      </c>
      <c r="E2086" s="4">
        <v>0.0</v>
      </c>
      <c r="F2086" s="4">
        <v>35.0</v>
      </c>
      <c r="G2086" s="4" t="s">
        <v>3188</v>
      </c>
    </row>
    <row r="2087">
      <c r="A2087" s="1">
        <v>2085.0</v>
      </c>
      <c r="B2087" s="4" t="s">
        <v>3132</v>
      </c>
      <c r="C2087" s="5" t="str">
        <f>IFERROR(__xludf.DUMMYFUNCTION("GOOGLETRANSLATE(D:D,""auto"",""en"")"),"LG China headquarters building for sale")</f>
        <v>LG China headquarters building for sale</v>
      </c>
      <c r="D2087" s="4" t="s">
        <v>3110</v>
      </c>
      <c r="E2087" s="4">
        <v>0.0</v>
      </c>
      <c r="F2087" s="4">
        <v>36.0</v>
      </c>
      <c r="G2087" s="4" t="s">
        <v>3111</v>
      </c>
    </row>
    <row r="2088">
      <c r="A2088" s="1">
        <v>2086.0</v>
      </c>
      <c r="B2088" s="4" t="s">
        <v>3132</v>
      </c>
      <c r="C2088" s="5" t="str">
        <f>IFERROR(__xludf.DUMMYFUNCTION("GOOGLETRANSLATE(D:D,""auto"",""en"")"),"Wuhan investigation rate of 99%")</f>
        <v>Wuhan investigation rate of 99%</v>
      </c>
      <c r="D2088" s="4" t="s">
        <v>3189</v>
      </c>
      <c r="E2088" s="4">
        <v>0.0</v>
      </c>
      <c r="F2088" s="4">
        <v>37.0</v>
      </c>
      <c r="G2088" s="4" t="s">
        <v>3190</v>
      </c>
    </row>
    <row r="2089">
      <c r="A2089" s="1">
        <v>2087.0</v>
      </c>
      <c r="B2089" s="4" t="s">
        <v>3132</v>
      </c>
      <c r="C2089" s="5" t="str">
        <f>IFERROR(__xludf.DUMMYFUNCTION("GOOGLETRANSLATE(D:D,""auto"",""en"")"),"Li Chen Studio rumor")</f>
        <v>Li Chen Studio rumor</v>
      </c>
      <c r="D2089" s="4" t="s">
        <v>3191</v>
      </c>
      <c r="E2089" s="4">
        <v>0.0</v>
      </c>
      <c r="F2089" s="4">
        <v>38.0</v>
      </c>
      <c r="G2089" s="4" t="s">
        <v>3192</v>
      </c>
    </row>
    <row r="2090">
      <c r="A2090" s="1">
        <v>2088.0</v>
      </c>
      <c r="B2090" s="4" t="s">
        <v>3132</v>
      </c>
      <c r="C2090" s="5" t="str">
        <f>IFERROR(__xludf.DUMMYFUNCTION("GOOGLETRANSLATE(D:D,""auto"",""en"")"),"Experts talk about two seconds infection")</f>
        <v>Experts talk about two seconds infection</v>
      </c>
      <c r="D2090" s="4" t="s">
        <v>3193</v>
      </c>
      <c r="E2090" s="4">
        <v>0.0</v>
      </c>
      <c r="F2090" s="4">
        <v>39.0</v>
      </c>
      <c r="G2090" s="4" t="s">
        <v>3194</v>
      </c>
    </row>
    <row r="2091">
      <c r="A2091" s="1">
        <v>2089.0</v>
      </c>
      <c r="B2091" s="4" t="s">
        <v>3132</v>
      </c>
      <c r="C2091" s="5" t="str">
        <f>IFERROR(__xludf.DUMMYFUNCTION("GOOGLETRANSLATE(D:D,""auto"",""en"")"),"Chengdu isolated whole building")</f>
        <v>Chengdu isolated whole building</v>
      </c>
      <c r="D2091" s="4" t="s">
        <v>3094</v>
      </c>
      <c r="E2091" s="4">
        <v>0.0</v>
      </c>
      <c r="F2091" s="4">
        <v>40.0</v>
      </c>
      <c r="G2091" s="4" t="s">
        <v>3095</v>
      </c>
    </row>
    <row r="2092">
      <c r="A2092" s="1">
        <v>2090.0</v>
      </c>
      <c r="B2092" s="4" t="s">
        <v>3132</v>
      </c>
      <c r="C2092" s="5" t="str">
        <f>IFERROR(__xludf.DUMMYFUNCTION("GOOGLETRANSLATE(D:D,""auto"",""en"")"),"Russian media comment on the US flu epidemic")</f>
        <v>Russian media comment on the US flu epidemic</v>
      </c>
      <c r="D2092" s="4" t="s">
        <v>3114</v>
      </c>
      <c r="E2092" s="4">
        <v>0.0</v>
      </c>
      <c r="F2092" s="4">
        <v>41.0</v>
      </c>
      <c r="G2092" s="4" t="s">
        <v>3115</v>
      </c>
    </row>
    <row r="2093">
      <c r="A2093" s="1">
        <v>2091.0</v>
      </c>
      <c r="B2093" s="4" t="s">
        <v>3132</v>
      </c>
      <c r="C2093" s="5" t="str">
        <f>IFERROR(__xludf.DUMMYFUNCTION("GOOGLETRANSLATE(D:D,""auto"",""en"")"),"Sea fishing to respond to customer confirmed")</f>
        <v>Sea fishing to respond to customer confirmed</v>
      </c>
      <c r="D2093" s="4" t="s">
        <v>3195</v>
      </c>
      <c r="E2093" s="4">
        <v>0.0</v>
      </c>
      <c r="F2093" s="4">
        <v>42.0</v>
      </c>
      <c r="G2093" s="4" t="s">
        <v>3196</v>
      </c>
    </row>
    <row r="2094">
      <c r="A2094" s="1">
        <v>2092.0</v>
      </c>
      <c r="B2094" s="4" t="s">
        <v>3132</v>
      </c>
      <c r="C2094" s="5" t="str">
        <f>IFERROR(__xludf.DUMMYFUNCTION("GOOGLETRANSLATE(D:D,""auto"",""en"")"),"Incubation period of 24 days is just one example")</f>
        <v>Incubation period of 24 days is just one example</v>
      </c>
      <c r="D2094" s="4" t="s">
        <v>3066</v>
      </c>
      <c r="E2094" s="4">
        <v>0.0</v>
      </c>
      <c r="F2094" s="4">
        <v>43.0</v>
      </c>
      <c r="G2094" s="4" t="s">
        <v>3067</v>
      </c>
    </row>
    <row r="2095">
      <c r="A2095" s="1">
        <v>2093.0</v>
      </c>
      <c r="B2095" s="4" t="s">
        <v>3132</v>
      </c>
      <c r="C2095" s="5" t="str">
        <f>IFERROR(__xludf.DUMMYFUNCTION("GOOGLETRANSLATE(D:D,""auto"",""en"")"),"Wuhan district closed management")</f>
        <v>Wuhan district closed management</v>
      </c>
      <c r="D2095" s="4" t="s">
        <v>3197</v>
      </c>
      <c r="E2095" s="4">
        <v>0.0</v>
      </c>
      <c r="F2095" s="4">
        <v>44.0</v>
      </c>
      <c r="G2095" s="4" t="s">
        <v>3198</v>
      </c>
    </row>
    <row r="2096">
      <c r="A2096" s="1">
        <v>2094.0</v>
      </c>
      <c r="B2096" s="4" t="s">
        <v>3132</v>
      </c>
      <c r="C2096" s="5" t="str">
        <f>IFERROR(__xludf.DUMMYFUNCTION("GOOGLETRANSLATE(D:D,""auto"",""en"")"),"16 days asymptomatic cases")</f>
        <v>16 days asymptomatic cases</v>
      </c>
      <c r="D2096" s="4" t="s">
        <v>3088</v>
      </c>
      <c r="E2096" s="4">
        <v>0.0</v>
      </c>
      <c r="F2096" s="4">
        <v>45.0</v>
      </c>
      <c r="G2096" s="4" t="s">
        <v>3089</v>
      </c>
    </row>
    <row r="2097">
      <c r="A2097" s="1">
        <v>2095.0</v>
      </c>
      <c r="B2097" s="4" t="s">
        <v>3132</v>
      </c>
      <c r="C2097" s="5" t="str">
        <f>IFERROR(__xludf.DUMMYFUNCTION("GOOGLETRANSLATE(D:D,""auto"",""en"")"),"41 charter flights arrived in Wuhan")</f>
        <v>41 charter flights arrived in Wuhan</v>
      </c>
      <c r="D2097" s="4" t="s">
        <v>3092</v>
      </c>
      <c r="E2097" s="4">
        <v>0.0</v>
      </c>
      <c r="F2097" s="4">
        <v>46.0</v>
      </c>
      <c r="G2097" s="4" t="s">
        <v>3093</v>
      </c>
    </row>
    <row r="2098">
      <c r="A2098" s="1">
        <v>2096.0</v>
      </c>
      <c r="B2098" s="4" t="s">
        <v>3132</v>
      </c>
      <c r="C2098" s="5" t="str">
        <f>IFERROR(__xludf.DUMMYFUNCTION("GOOGLETRANSLATE(D:D,""auto"",""en"")"),"Shaanxi high-speed rail cleaning staff confirmed")</f>
        <v>Shaanxi high-speed rail cleaning staff confirmed</v>
      </c>
      <c r="D2098" s="4" t="s">
        <v>3199</v>
      </c>
      <c r="E2098" s="4">
        <v>0.0</v>
      </c>
      <c r="F2098" s="4">
        <v>47.0</v>
      </c>
      <c r="G2098" s="4" t="s">
        <v>3200</v>
      </c>
    </row>
    <row r="2099">
      <c r="A2099" s="1">
        <v>2097.0</v>
      </c>
      <c r="B2099" s="4" t="s">
        <v>3132</v>
      </c>
      <c r="C2099" s="5" t="str">
        <f>IFERROR(__xludf.DUMMYFUNCTION("GOOGLETRANSLATE(D:D,""auto"",""en"")"),"Shandong is now the first case of deaths")</f>
        <v>Shandong is now the first case of deaths</v>
      </c>
      <c r="D2099" s="4" t="s">
        <v>3027</v>
      </c>
      <c r="E2099" s="4">
        <v>0.0</v>
      </c>
      <c r="F2099" s="4">
        <v>48.0</v>
      </c>
      <c r="G2099" s="4" t="s">
        <v>3028</v>
      </c>
    </row>
    <row r="2100">
      <c r="A2100" s="1">
        <v>2098.0</v>
      </c>
      <c r="B2100" s="4" t="s">
        <v>3132</v>
      </c>
      <c r="C2100" s="5" t="str">
        <f>IFERROR(__xludf.DUMMYFUNCTION("GOOGLETRANSLATE(D:D,""auto"",""en"")"),"Raytheon Hill received 86 people")</f>
        <v>Raytheon Hill received 86 people</v>
      </c>
      <c r="D2100" s="4" t="s">
        <v>3112</v>
      </c>
      <c r="E2100" s="4">
        <v>0.0</v>
      </c>
      <c r="F2100" s="4">
        <v>49.0</v>
      </c>
      <c r="G2100" s="4" t="s">
        <v>3113</v>
      </c>
    </row>
    <row r="2101">
      <c r="A2101" s="1">
        <v>2099.0</v>
      </c>
      <c r="B2101" s="4" t="s">
        <v>3132</v>
      </c>
      <c r="C2101" s="5" t="str">
        <f>IFERROR(__xludf.DUMMYFUNCTION("GOOGLETRANSLATE(D:D,""auto"",""en"")"),"Hubei genuine counterpart support table")</f>
        <v>Hubei genuine counterpart support table</v>
      </c>
      <c r="D2101" s="4" t="s">
        <v>3096</v>
      </c>
      <c r="E2101" s="4">
        <v>0.0</v>
      </c>
      <c r="F2101" s="4">
        <v>50.0</v>
      </c>
      <c r="G2101" s="4" t="s">
        <v>3097</v>
      </c>
    </row>
    <row r="2102">
      <c r="A2102" s="1">
        <v>2100.0</v>
      </c>
      <c r="B2102" s="4" t="s">
        <v>3201</v>
      </c>
      <c r="C2102" s="5" t="str">
        <f>IFERROR(__xludf.DUMMYFUNCTION("GOOGLETRANSLATE(D:D,""auto"",""en"")"),"Huanggang 1.3 million people now fever")</f>
        <v>Huanggang 1.3 million people now fever</v>
      </c>
      <c r="D2102" s="4" t="s">
        <v>3169</v>
      </c>
      <c r="E2102" s="4">
        <v>0.0</v>
      </c>
      <c r="F2102" s="4">
        <v>1.0</v>
      </c>
      <c r="G2102" s="4" t="s">
        <v>3170</v>
      </c>
    </row>
    <row r="2103">
      <c r="A2103" s="1">
        <v>2101.0</v>
      </c>
      <c r="B2103" s="4" t="s">
        <v>3201</v>
      </c>
      <c r="C2103" s="5" t="str">
        <f>IFERROR(__xludf.DUMMYFUNCTION("GOOGLETRANSLATE(D:D,""auto"",""en"")"),"Britain is now super-spreaders")</f>
        <v>Britain is now super-spreaders</v>
      </c>
      <c r="D2103" s="4" t="s">
        <v>3167</v>
      </c>
      <c r="E2103" s="4">
        <v>0.0</v>
      </c>
      <c r="F2103" s="4">
        <v>2.0</v>
      </c>
      <c r="G2103" s="4" t="s">
        <v>3168</v>
      </c>
    </row>
    <row r="2104">
      <c r="A2104" s="1">
        <v>2102.0</v>
      </c>
      <c r="B2104" s="4" t="s">
        <v>3201</v>
      </c>
      <c r="C2104" s="5" t="str">
        <f>IFERROR(__xludf.DUMMYFUNCTION("GOOGLETRANSLATE(D:D,""auto"",""en"")"),"Large network roll-class site")</f>
        <v>Large network roll-class site</v>
      </c>
      <c r="D2104" s="4" t="s">
        <v>3202</v>
      </c>
      <c r="E2104" s="4">
        <v>0.0</v>
      </c>
      <c r="F2104" s="4">
        <v>3.0</v>
      </c>
      <c r="G2104" s="4" t="s">
        <v>3203</v>
      </c>
    </row>
    <row r="2105">
      <c r="A2105" s="1">
        <v>2103.0</v>
      </c>
      <c r="B2105" s="4" t="s">
        <v>3201</v>
      </c>
      <c r="C2105" s="5" t="str">
        <f>IFERROR(__xludf.DUMMYFUNCTION("GOOGLETRANSLATE(D:D,""auto"",""en"")"),"Huludao a business explosion")</f>
        <v>Huludao a business explosion</v>
      </c>
      <c r="D2105" s="4" t="s">
        <v>3204</v>
      </c>
      <c r="E2105" s="4">
        <v>0.0</v>
      </c>
      <c r="F2105" s="4">
        <v>4.0</v>
      </c>
      <c r="G2105" s="4" t="s">
        <v>3205</v>
      </c>
    </row>
    <row r="2106">
      <c r="A2106" s="1">
        <v>2104.0</v>
      </c>
      <c r="B2106" s="4" t="s">
        <v>3201</v>
      </c>
      <c r="C2106" s="5" t="str">
        <f>IFERROR(__xludf.DUMMYFUNCTION("GOOGLETRANSLATE(D:D,""auto"",""en"")"),"The epidemic is expected to end by April")</f>
        <v>The epidemic is expected to end by April</v>
      </c>
      <c r="D2106" s="4" t="s">
        <v>3206</v>
      </c>
      <c r="E2106" s="4">
        <v>0.0</v>
      </c>
      <c r="F2106" s="4">
        <v>5.0</v>
      </c>
      <c r="G2106" s="4" t="s">
        <v>3207</v>
      </c>
    </row>
    <row r="2107">
      <c r="A2107" s="1">
        <v>2105.0</v>
      </c>
      <c r="B2107" s="4" t="s">
        <v>3201</v>
      </c>
      <c r="C2107" s="5" t="str">
        <f>IFERROR(__xludf.DUMMYFUNCTION("GOOGLETRANSLATE(D:D,""auto"",""en"")"),"Zhong Nanshan, tearful talk about Li Wenliang")</f>
        <v>Zhong Nanshan, tearful talk about Li Wenliang</v>
      </c>
      <c r="D2107" s="4" t="s">
        <v>3208</v>
      </c>
      <c r="E2107" s="4">
        <v>0.0</v>
      </c>
      <c r="F2107" s="4">
        <v>6.0</v>
      </c>
      <c r="G2107" s="4" t="s">
        <v>3209</v>
      </c>
    </row>
    <row r="2108">
      <c r="A2108" s="1">
        <v>2106.0</v>
      </c>
      <c r="B2108" s="4" t="s">
        <v>3201</v>
      </c>
      <c r="C2108" s="5" t="str">
        <f>IFERROR(__xludf.DUMMYFUNCTION("GOOGLETRANSLATE(D:D,""auto"",""en"")"),"Yellowstone two community leaders resign")</f>
        <v>Yellowstone two community leaders resign</v>
      </c>
      <c r="D2108" s="4" t="s">
        <v>3210</v>
      </c>
      <c r="E2108" s="4">
        <v>0.0</v>
      </c>
      <c r="F2108" s="4">
        <v>7.0</v>
      </c>
      <c r="G2108" s="4" t="s">
        <v>3211</v>
      </c>
    </row>
    <row r="2109">
      <c r="A2109" s="1">
        <v>2107.0</v>
      </c>
      <c r="B2109" s="4" t="s">
        <v>3201</v>
      </c>
      <c r="C2109" s="5" t="str">
        <f>IFERROR(__xludf.DUMMYFUNCTION("GOOGLETRANSLATE(D:D,""auto"",""en"")"),"Samsung S20 released")</f>
        <v>Samsung S20 released</v>
      </c>
      <c r="D2109" s="4" t="s">
        <v>3212</v>
      </c>
      <c r="E2109" s="4">
        <v>0.0</v>
      </c>
      <c r="F2109" s="4">
        <v>8.0</v>
      </c>
      <c r="G2109" s="4" t="s">
        <v>3213</v>
      </c>
    </row>
    <row r="2110">
      <c r="A2110" s="1">
        <v>2108.0</v>
      </c>
      <c r="B2110" s="4" t="s">
        <v>3201</v>
      </c>
      <c r="C2110" s="5" t="str">
        <f>IFERROR(__xludf.DUMMYFUNCTION("GOOGLETRANSLATE(D:D,""auto"",""en"")"),"10 days 20 Housing Enterprise Bankruptcy")</f>
        <v>10 days 20 Housing Enterprise Bankruptcy</v>
      </c>
      <c r="D2110" s="4" t="s">
        <v>3214</v>
      </c>
      <c r="E2110" s="4">
        <v>0.0</v>
      </c>
      <c r="F2110" s="4">
        <v>9.0</v>
      </c>
      <c r="G2110" s="4" t="s">
        <v>3215</v>
      </c>
    </row>
    <row r="2111">
      <c r="A2111" s="1">
        <v>2109.0</v>
      </c>
      <c r="B2111" s="4" t="s">
        <v>3201</v>
      </c>
      <c r="C2111" s="5" t="str">
        <f>IFERROR(__xludf.DUMMYFUNCTION("GOOGLETRANSLATE(D:D,""auto"",""en"")"),"Independent upright broom truth")</f>
        <v>Independent upright broom truth</v>
      </c>
      <c r="D2111" s="4" t="s">
        <v>3216</v>
      </c>
      <c r="E2111" s="4">
        <v>0.0</v>
      </c>
      <c r="F2111" s="4">
        <v>10.0</v>
      </c>
      <c r="G2111" s="4" t="s">
        <v>3217</v>
      </c>
    </row>
    <row r="2112">
      <c r="A2112" s="1">
        <v>2110.0</v>
      </c>
      <c r="B2112" s="4" t="s">
        <v>3201</v>
      </c>
      <c r="C2112" s="5" t="str">
        <f>IFERROR(__xludf.DUMMYFUNCTION("GOOGLETRANSLATE(D:D,""auto"",""en"")"),"Bryant Gigi body had been buried")</f>
        <v>Bryant Gigi body had been buried</v>
      </c>
      <c r="D2112" s="4" t="s">
        <v>3218</v>
      </c>
      <c r="E2112" s="4">
        <v>0.0</v>
      </c>
      <c r="F2112" s="4">
        <v>11.0</v>
      </c>
      <c r="G2112" s="4" t="s">
        <v>3219</v>
      </c>
    </row>
    <row r="2113">
      <c r="A2113" s="1">
        <v>2111.0</v>
      </c>
      <c r="B2113" s="4" t="s">
        <v>3201</v>
      </c>
      <c r="C2113" s="5" t="str">
        <f>IFERROR(__xludf.DUMMYFUNCTION("GOOGLETRANSLATE(D:D,""auto"",""en"")"),"19 of 11 people diagnosed with eating hot pot")</f>
        <v>19 of 11 people diagnosed with eating hot pot</v>
      </c>
      <c r="D2113" s="4" t="s">
        <v>3220</v>
      </c>
      <c r="E2113" s="4">
        <v>0.0</v>
      </c>
      <c r="F2113" s="4">
        <v>12.0</v>
      </c>
      <c r="G2113" s="4" t="s">
        <v>3221</v>
      </c>
    </row>
    <row r="2114">
      <c r="A2114" s="1">
        <v>2112.0</v>
      </c>
      <c r="B2114" s="4" t="s">
        <v>3201</v>
      </c>
      <c r="C2114" s="5" t="str">
        <f>IFERROR(__xludf.DUMMYFUNCTION("GOOGLETRANSLATE(D:D,""auto"",""en"")"),"Sea fishing to respond to customer confirmed")</f>
        <v>Sea fishing to respond to customer confirmed</v>
      </c>
      <c r="D2114" s="4" t="s">
        <v>3195</v>
      </c>
      <c r="E2114" s="4">
        <v>0.0</v>
      </c>
      <c r="F2114" s="4">
        <v>13.0</v>
      </c>
      <c r="G2114" s="4" t="s">
        <v>3196</v>
      </c>
    </row>
    <row r="2115">
      <c r="A2115" s="1">
        <v>2113.0</v>
      </c>
      <c r="B2115" s="4" t="s">
        <v>3201</v>
      </c>
      <c r="C2115" s="5" t="str">
        <f>IFERROR(__xludf.DUMMYFUNCTION("GOOGLETRANSLATE(D:D,""auto"",""en"")"),"Hefei issued an emergency notice")</f>
        <v>Hefei issued an emergency notice</v>
      </c>
      <c r="D2115" s="4" t="s">
        <v>3222</v>
      </c>
      <c r="E2115" s="4">
        <v>0.0</v>
      </c>
      <c r="F2115" s="4">
        <v>14.0</v>
      </c>
      <c r="G2115" s="4" t="s">
        <v>3223</v>
      </c>
    </row>
    <row r="2116">
      <c r="A2116" s="1">
        <v>2114.0</v>
      </c>
      <c r="B2116" s="4" t="s">
        <v>3201</v>
      </c>
      <c r="C2116" s="5" t="str">
        <f>IFERROR(__xludf.DUMMYFUNCTION("GOOGLETRANSLATE(D:D,""auto"",""en"")"),"MLM-induced cell closure surrendered")</f>
        <v>MLM-induced cell closure surrendered</v>
      </c>
      <c r="D2116" s="4" t="s">
        <v>3224</v>
      </c>
      <c r="E2116" s="4">
        <v>0.0</v>
      </c>
      <c r="F2116" s="4">
        <v>15.0</v>
      </c>
      <c r="G2116" s="4" t="s">
        <v>3225</v>
      </c>
    </row>
    <row r="2117">
      <c r="A2117" s="1">
        <v>2115.0</v>
      </c>
      <c r="B2117" s="4" t="s">
        <v>3201</v>
      </c>
      <c r="C2117" s="5" t="str">
        <f>IFERROR(__xludf.DUMMYFUNCTION("GOOGLETRANSLATE(D:D,""auto"",""en"")"),"Nanjing is now 49 district cases")</f>
        <v>Nanjing is now 49 district cases</v>
      </c>
      <c r="D2117" s="4" t="s">
        <v>3226</v>
      </c>
      <c r="E2117" s="4">
        <v>0.0</v>
      </c>
      <c r="F2117" s="4">
        <v>16.0</v>
      </c>
      <c r="G2117" s="4" t="s">
        <v>3227</v>
      </c>
    </row>
    <row r="2118">
      <c r="A2118" s="1">
        <v>2116.0</v>
      </c>
      <c r="B2118" s="4" t="s">
        <v>3201</v>
      </c>
      <c r="C2118" s="5" t="str">
        <f>IFERROR(__xludf.DUMMYFUNCTION("GOOGLETRANSLATE(D:D,""auto"",""en"")"),"New cases decreased 48.2%")</f>
        <v>New cases decreased 48.2%</v>
      </c>
      <c r="D2118" s="4" t="s">
        <v>3228</v>
      </c>
      <c r="E2118" s="4">
        <v>0.0</v>
      </c>
      <c r="F2118" s="4">
        <v>17.0</v>
      </c>
      <c r="G2118" s="4" t="s">
        <v>3229</v>
      </c>
    </row>
    <row r="2119">
      <c r="A2119" s="1">
        <v>2117.0</v>
      </c>
      <c r="B2119" s="4" t="s">
        <v>3201</v>
      </c>
      <c r="C2119" s="5" t="str">
        <f>IFERROR(__xludf.DUMMYFUNCTION("GOOGLETRANSLATE(D:D,""auto"",""en"")"),"Ministry of Education, in response to the college entrance examination postponed")</f>
        <v>Ministry of Education, in response to the college entrance examination postponed</v>
      </c>
      <c r="D2119" s="4" t="s">
        <v>3230</v>
      </c>
      <c r="E2119" s="4">
        <v>0.0</v>
      </c>
      <c r="F2119" s="4">
        <v>18.0</v>
      </c>
      <c r="G2119" s="4" t="s">
        <v>3231</v>
      </c>
    </row>
    <row r="2120">
      <c r="A2120" s="1">
        <v>2118.0</v>
      </c>
      <c r="B2120" s="4" t="s">
        <v>3201</v>
      </c>
      <c r="C2120" s="5" t="str">
        <f>IFERROR(__xludf.DUMMYFUNCTION("GOOGLETRANSLATE(D:D,""auto"",""en"")"),"Russia finished donate materials left")</f>
        <v>Russia finished donate materials left</v>
      </c>
      <c r="D2120" s="4" t="s">
        <v>3232</v>
      </c>
      <c r="E2120" s="4">
        <v>0.0</v>
      </c>
      <c r="F2120" s="4">
        <v>19.0</v>
      </c>
      <c r="G2120" s="4" t="s">
        <v>3233</v>
      </c>
    </row>
    <row r="2121">
      <c r="A2121" s="1">
        <v>2119.0</v>
      </c>
      <c r="B2121" s="4" t="s">
        <v>3201</v>
      </c>
      <c r="C2121" s="5" t="str">
        <f>IFERROR(__xludf.DUMMYFUNCTION("GOOGLETRANSLATE(D:D,""auto"",""en"")"),"Epidemic is now three positive changes")</f>
        <v>Epidemic is now three positive changes</v>
      </c>
      <c r="D2121" s="4" t="s">
        <v>3234</v>
      </c>
      <c r="E2121" s="4">
        <v>0.0</v>
      </c>
      <c r="F2121" s="4">
        <v>20.0</v>
      </c>
      <c r="G2121" s="4" t="s">
        <v>3235</v>
      </c>
    </row>
    <row r="2122">
      <c r="A2122" s="1">
        <v>2120.0</v>
      </c>
      <c r="B2122" s="4" t="s">
        <v>3201</v>
      </c>
      <c r="C2122" s="5" t="str">
        <f>IFERROR(__xludf.DUMMYFUNCTION("GOOGLETRANSLATE(D:D,""auto"",""en"")"),"Persuaded to return the vehicle will be allowed to")</f>
        <v>Persuaded to return the vehicle will be allowed to</v>
      </c>
      <c r="D2122" s="4" t="s">
        <v>3236</v>
      </c>
      <c r="E2122" s="4">
        <v>0.0</v>
      </c>
      <c r="F2122" s="4">
        <v>21.0</v>
      </c>
      <c r="G2122" s="4" t="s">
        <v>3237</v>
      </c>
    </row>
    <row r="2123">
      <c r="A2123" s="1">
        <v>2121.0</v>
      </c>
      <c r="B2123" s="4" t="s">
        <v>3201</v>
      </c>
      <c r="C2123" s="5" t="str">
        <f>IFERROR(__xludf.DUMMYFUNCTION("GOOGLETRANSLATE(D:D,""auto"",""en"")"),"2020 will be a cold wave struck")</f>
        <v>2020 will be a cold wave struck</v>
      </c>
      <c r="D2123" s="4" t="s">
        <v>3238</v>
      </c>
      <c r="E2123" s="4">
        <v>0.0</v>
      </c>
      <c r="F2123" s="4">
        <v>22.0</v>
      </c>
      <c r="G2123" s="4" t="s">
        <v>3239</v>
      </c>
    </row>
    <row r="2124">
      <c r="A2124" s="1">
        <v>2122.0</v>
      </c>
      <c r="B2124" s="4" t="s">
        <v>3201</v>
      </c>
      <c r="C2124" s="5" t="str">
        <f>IFERROR(__xludf.DUMMYFUNCTION("GOOGLETRANSLATE(D:D,""auto"",""en"")"),"Beijing will welcome local Blizzard")</f>
        <v>Beijing will welcome local Blizzard</v>
      </c>
      <c r="D2124" s="4" t="s">
        <v>3240</v>
      </c>
      <c r="E2124" s="4">
        <v>0.0</v>
      </c>
      <c r="F2124" s="4">
        <v>23.0</v>
      </c>
      <c r="G2124" s="4" t="s">
        <v>3241</v>
      </c>
    </row>
    <row r="2125">
      <c r="A2125" s="1">
        <v>2123.0</v>
      </c>
      <c r="B2125" s="4" t="s">
        <v>3201</v>
      </c>
      <c r="C2125" s="5" t="str">
        <f>IFERROR(__xludf.DUMMYFUNCTION("GOOGLETRANSLATE(D:D,""auto"",""en"")"),"Li Zi Meng bow to read my statement")</f>
        <v>Li Zi Meng bow to read my statement</v>
      </c>
      <c r="D2125" s="4" t="s">
        <v>3242</v>
      </c>
      <c r="E2125" s="4">
        <v>0.0</v>
      </c>
      <c r="F2125" s="4">
        <v>24.0</v>
      </c>
      <c r="G2125" s="4" t="s">
        <v>3243</v>
      </c>
    </row>
    <row r="2126">
      <c r="A2126" s="1">
        <v>2124.0</v>
      </c>
      <c r="B2126" s="4" t="s">
        <v>3201</v>
      </c>
      <c r="C2126" s="5" t="str">
        <f>IFERROR(__xludf.DUMMYFUNCTION("GOOGLETRANSLATE(D:D,""auto"",""en"")"),"Wuhan Vice Mayor behind the scenes interviews")</f>
        <v>Wuhan Vice Mayor behind the scenes interviews</v>
      </c>
      <c r="D2126" s="4" t="s">
        <v>3244</v>
      </c>
      <c r="E2126" s="4">
        <v>0.0</v>
      </c>
      <c r="F2126" s="4">
        <v>25.0</v>
      </c>
      <c r="G2126" s="4" t="s">
        <v>3245</v>
      </c>
    </row>
    <row r="2127">
      <c r="A2127" s="1">
        <v>2125.0</v>
      </c>
      <c r="B2127" s="4" t="s">
        <v>3201</v>
      </c>
      <c r="C2127" s="5" t="str">
        <f>IFERROR(__xludf.DUMMYFUNCTION("GOOGLETRANSLATE(D:D,""auto"",""en"")"),"Wuhan frontline emergency supplies")</f>
        <v>Wuhan frontline emergency supplies</v>
      </c>
      <c r="D2127" s="4" t="s">
        <v>3165</v>
      </c>
      <c r="E2127" s="4">
        <v>0.0</v>
      </c>
      <c r="F2127" s="4">
        <v>26.0</v>
      </c>
      <c r="G2127" s="4" t="s">
        <v>3166</v>
      </c>
    </row>
    <row r="2128">
      <c r="A2128" s="1">
        <v>2126.0</v>
      </c>
      <c r="B2128" s="4" t="s">
        <v>3201</v>
      </c>
      <c r="C2128" s="5" t="str">
        <f>IFERROR(__xludf.DUMMYFUNCTION("GOOGLETRANSLATE(D:D,""auto"",""en"")"),"WHO named the new crown virus")</f>
        <v>WHO named the new crown virus</v>
      </c>
      <c r="D2128" s="4" t="s">
        <v>3246</v>
      </c>
      <c r="E2128" s="4">
        <v>0.0</v>
      </c>
      <c r="F2128" s="4">
        <v>27.0</v>
      </c>
      <c r="G2128" s="4" t="s">
        <v>3247</v>
      </c>
    </row>
    <row r="2129">
      <c r="A2129" s="1">
        <v>2127.0</v>
      </c>
      <c r="B2129" s="4" t="s">
        <v>3201</v>
      </c>
      <c r="C2129" s="5" t="str">
        <f>IFERROR(__xludf.DUMMYFUNCTION("GOOGLETRANSLATE(D:D,""auto"",""en"")"),"NASA responded Li broom challenge")</f>
        <v>NASA responded Li broom challenge</v>
      </c>
      <c r="D2129" s="4" t="s">
        <v>3248</v>
      </c>
      <c r="E2129" s="4">
        <v>0.0</v>
      </c>
      <c r="F2129" s="4">
        <v>28.0</v>
      </c>
      <c r="G2129" s="4" t="s">
        <v>3249</v>
      </c>
    </row>
    <row r="2130">
      <c r="A2130" s="1">
        <v>2128.0</v>
      </c>
      <c r="B2130" s="4" t="s">
        <v>3201</v>
      </c>
      <c r="C2130" s="5" t="str">
        <f>IFERROR(__xludf.DUMMYFUNCTION("GOOGLETRANSLATE(D:D,""auto"",""en"")"),"Xie Na airborne Wuhan health care group")</f>
        <v>Xie Na airborne Wuhan health care group</v>
      </c>
      <c r="D2130" s="4" t="s">
        <v>3250</v>
      </c>
      <c r="E2130" s="4">
        <v>0.0</v>
      </c>
      <c r="F2130" s="4">
        <v>29.0</v>
      </c>
      <c r="G2130" s="4" t="s">
        <v>3251</v>
      </c>
    </row>
    <row r="2131">
      <c r="A2131" s="1">
        <v>2129.0</v>
      </c>
      <c r="B2131" s="4" t="s">
        <v>3201</v>
      </c>
      <c r="C2131" s="5" t="str">
        <f>IFERROR(__xludf.DUMMYFUNCTION("GOOGLETRANSLATE(D:D,""auto"",""en"")"),"Gan Wei Ti out of divorce proceedings")</f>
        <v>Gan Wei Ti out of divorce proceedings</v>
      </c>
      <c r="D2131" s="4" t="s">
        <v>3252</v>
      </c>
      <c r="E2131" s="4">
        <v>0.0</v>
      </c>
      <c r="F2131" s="4">
        <v>30.0</v>
      </c>
      <c r="G2131" s="4" t="s">
        <v>3253</v>
      </c>
    </row>
    <row r="2132">
      <c r="A2132" s="1">
        <v>2130.0</v>
      </c>
      <c r="B2132" s="4" t="s">
        <v>3201</v>
      </c>
      <c r="C2132" s="5" t="str">
        <f>IFERROR(__xludf.DUMMYFUNCTION("GOOGLETRANSLATE(D:D,""auto"",""en"")"),"Money is turned over 2.7 billion respond")</f>
        <v>Money is turned over 2.7 billion respond</v>
      </c>
      <c r="D2132" s="4" t="s">
        <v>3254</v>
      </c>
      <c r="E2132" s="4">
        <v>0.0</v>
      </c>
      <c r="F2132" s="4">
        <v>31.0</v>
      </c>
      <c r="G2132" s="4" t="s">
        <v>3255</v>
      </c>
    </row>
    <row r="2133">
      <c r="A2133" s="1">
        <v>2131.0</v>
      </c>
      <c r="B2133" s="4" t="s">
        <v>3201</v>
      </c>
      <c r="C2133" s="5" t="str">
        <f>IFERROR(__xludf.DUMMYFUNCTION("GOOGLETRANSLATE(D:D,""auto"",""en"")"),"Wang Yuan was questioned smokes too much")</f>
        <v>Wang Yuan was questioned smokes too much</v>
      </c>
      <c r="D2133" s="4" t="s">
        <v>3256</v>
      </c>
      <c r="E2133" s="4">
        <v>0.0</v>
      </c>
      <c r="F2133" s="4">
        <v>32.0</v>
      </c>
      <c r="G2133" s="4" t="s">
        <v>3257</v>
      </c>
    </row>
    <row r="2134">
      <c r="A2134" s="1">
        <v>2132.0</v>
      </c>
      <c r="B2134" s="4" t="s">
        <v>3201</v>
      </c>
      <c r="C2134" s="5" t="str">
        <f>IFERROR(__xludf.DUMMYFUNCTION("GOOGLETRANSLATE(D:D,""auto"",""en"")"),"Wuchang District apologize to the patient")</f>
        <v>Wuchang District apologize to the patient</v>
      </c>
      <c r="D2134" s="4" t="s">
        <v>3258</v>
      </c>
      <c r="E2134" s="4">
        <v>0.0</v>
      </c>
      <c r="F2134" s="4">
        <v>33.0</v>
      </c>
      <c r="G2134" s="4" t="s">
        <v>3259</v>
      </c>
    </row>
    <row r="2135">
      <c r="A2135" s="1">
        <v>2133.0</v>
      </c>
      <c r="B2135" s="4" t="s">
        <v>3201</v>
      </c>
      <c r="C2135" s="5" t="str">
        <f>IFERROR(__xludf.DUMMYFUNCTION("GOOGLETRANSLATE(D:D,""auto"",""en"")"),"5.2 earthquake occurred in Japan")</f>
        <v>5.2 earthquake occurred in Japan</v>
      </c>
      <c r="D2135" s="4" t="s">
        <v>3260</v>
      </c>
      <c r="E2135" s="4">
        <v>0.0</v>
      </c>
      <c r="F2135" s="4">
        <v>34.0</v>
      </c>
      <c r="G2135" s="4" t="s">
        <v>3261</v>
      </c>
    </row>
    <row r="2136">
      <c r="A2136" s="1">
        <v>2134.0</v>
      </c>
      <c r="B2136" s="4" t="s">
        <v>3201</v>
      </c>
      <c r="C2136" s="5" t="str">
        <f>IFERROR(__xludf.DUMMYFUNCTION("GOOGLETRANSLATE(D:D,""auto"",""en"")"),"WHO's epidemic alert issued")</f>
        <v>WHO's epidemic alert issued</v>
      </c>
      <c r="D2136" s="4" t="s">
        <v>3151</v>
      </c>
      <c r="E2136" s="4">
        <v>0.0</v>
      </c>
      <c r="F2136" s="4">
        <v>35.0</v>
      </c>
      <c r="G2136" s="4" t="s">
        <v>3152</v>
      </c>
    </row>
    <row r="2137">
      <c r="A2137" s="1">
        <v>2135.0</v>
      </c>
      <c r="B2137" s="4" t="s">
        <v>3201</v>
      </c>
      <c r="C2137" s="5" t="str">
        <f>IFERROR(__xludf.DUMMYFUNCTION("GOOGLETRANSLATE(D:D,""auto"",""en"")"),"Hubei second field battle begin")</f>
        <v>Hubei second field battle begin</v>
      </c>
      <c r="D2137" s="4" t="s">
        <v>3179</v>
      </c>
      <c r="E2137" s="4">
        <v>0.0</v>
      </c>
      <c r="F2137" s="4">
        <v>36.0</v>
      </c>
      <c r="G2137" s="4" t="s">
        <v>3180</v>
      </c>
    </row>
    <row r="2138">
      <c r="A2138" s="1">
        <v>2136.0</v>
      </c>
      <c r="B2138" s="4" t="s">
        <v>3201</v>
      </c>
      <c r="C2138" s="5" t="str">
        <f>IFERROR(__xludf.DUMMYFUNCTION("GOOGLETRANSLATE(D:D,""auto"",""en"")"),"Experts talk about two seconds infection")</f>
        <v>Experts talk about two seconds infection</v>
      </c>
      <c r="D2138" s="4" t="s">
        <v>3193</v>
      </c>
      <c r="E2138" s="4">
        <v>0.0</v>
      </c>
      <c r="F2138" s="4">
        <v>37.0</v>
      </c>
      <c r="G2138" s="4" t="s">
        <v>3194</v>
      </c>
    </row>
    <row r="2139">
      <c r="A2139" s="1">
        <v>2137.0</v>
      </c>
      <c r="B2139" s="4" t="s">
        <v>3201</v>
      </c>
      <c r="C2139" s="5" t="str">
        <f>IFERROR(__xludf.DUMMYFUNCTION("GOOGLETRANSLATE(D:D,""auto"",""en"")"),"MA Xiao was approved as a martyr")</f>
        <v>MA Xiao was approved as a martyr</v>
      </c>
      <c r="D2139" s="4" t="s">
        <v>3262</v>
      </c>
      <c r="E2139" s="4">
        <v>0.0</v>
      </c>
      <c r="F2139" s="4">
        <v>38.0</v>
      </c>
      <c r="G2139" s="4" t="s">
        <v>3263</v>
      </c>
    </row>
    <row r="2140">
      <c r="A2140" s="1">
        <v>2138.0</v>
      </c>
      <c r="B2140" s="4" t="s">
        <v>3201</v>
      </c>
      <c r="C2140" s="5" t="str">
        <f>IFERROR(__xludf.DUMMYFUNCTION("GOOGLETRANSLATE(D:D,""auto"",""en"")"),"Honghu Lake in Hubei fined a pharmacy")</f>
        <v>Honghu Lake in Hubei fined a pharmacy</v>
      </c>
      <c r="D2140" s="4" t="s">
        <v>3264</v>
      </c>
      <c r="E2140" s="4">
        <v>0.0</v>
      </c>
      <c r="F2140" s="4">
        <v>39.0</v>
      </c>
      <c r="G2140" s="4" t="s">
        <v>3265</v>
      </c>
    </row>
    <row r="2141">
      <c r="A2141" s="1">
        <v>2139.0</v>
      </c>
      <c r="B2141" s="4" t="s">
        <v>3201</v>
      </c>
      <c r="C2141" s="5" t="str">
        <f>IFERROR(__xludf.DUMMYFUNCTION("GOOGLETRANSLATE(D:D,""auto"",""en"")"),"Lu Lu photograph skinny")</f>
        <v>Lu Lu photograph skinny</v>
      </c>
      <c r="D2141" s="4" t="s">
        <v>3157</v>
      </c>
      <c r="E2141" s="4">
        <v>0.0</v>
      </c>
      <c r="F2141" s="4">
        <v>40.0</v>
      </c>
      <c r="G2141" s="4" t="s">
        <v>3158</v>
      </c>
    </row>
    <row r="2142">
      <c r="A2142" s="1">
        <v>2140.0</v>
      </c>
      <c r="B2142" s="4" t="s">
        <v>3201</v>
      </c>
      <c r="C2142" s="5" t="str">
        <f>IFERROR(__xludf.DUMMYFUNCTION("GOOGLETRANSLATE(D:D,""auto"",""en"")"),"National epidemic downward trend")</f>
        <v>National epidemic downward trend</v>
      </c>
      <c r="D2142" s="4" t="s">
        <v>3173</v>
      </c>
      <c r="E2142" s="4">
        <v>0.0</v>
      </c>
      <c r="F2142" s="4">
        <v>41.0</v>
      </c>
      <c r="G2142" s="4" t="s">
        <v>3174</v>
      </c>
    </row>
    <row r="2143">
      <c r="A2143" s="1">
        <v>2141.0</v>
      </c>
      <c r="B2143" s="4" t="s">
        <v>3201</v>
      </c>
      <c r="C2143" s="5" t="str">
        <f>IFERROR(__xludf.DUMMYFUNCTION("GOOGLETRANSLATE(D:D,""auto"",""en"")"),"Hubei notification issued closed cell")</f>
        <v>Hubei notification issued closed cell</v>
      </c>
      <c r="D2143" s="4" t="s">
        <v>3266</v>
      </c>
      <c r="E2143" s="4">
        <v>0.0</v>
      </c>
      <c r="F2143" s="4">
        <v>42.0</v>
      </c>
      <c r="G2143" s="4" t="s">
        <v>3267</v>
      </c>
    </row>
    <row r="2144">
      <c r="A2144" s="1">
        <v>2142.0</v>
      </c>
      <c r="B2144" s="4" t="s">
        <v>3201</v>
      </c>
      <c r="C2144" s="5" t="str">
        <f>IFERROR(__xludf.DUMMYFUNCTION("GOOGLETRANSLATE(D:D,""auto"",""en"")"),"Wuhan diagnosed return 42 days")</f>
        <v>Wuhan diagnosed return 42 days</v>
      </c>
      <c r="D2144" s="4" t="s">
        <v>3143</v>
      </c>
      <c r="E2144" s="4">
        <v>0.0</v>
      </c>
      <c r="F2144" s="4">
        <v>43.0</v>
      </c>
      <c r="G2144" s="4" t="s">
        <v>3144</v>
      </c>
    </row>
    <row r="2145">
      <c r="A2145" s="1">
        <v>2143.0</v>
      </c>
      <c r="B2145" s="4" t="s">
        <v>3201</v>
      </c>
      <c r="C2145" s="5" t="str">
        <f>IFERROR(__xludf.DUMMYFUNCTION("GOOGLETRANSLATE(D:D,""auto"",""en"")"),"Brazil found a mysterious virus")</f>
        <v>Brazil found a mysterious virus</v>
      </c>
      <c r="D2145" s="4" t="s">
        <v>3153</v>
      </c>
      <c r="E2145" s="4">
        <v>0.0</v>
      </c>
      <c r="F2145" s="4">
        <v>44.0</v>
      </c>
      <c r="G2145" s="4" t="s">
        <v>3154</v>
      </c>
    </row>
    <row r="2146">
      <c r="A2146" s="1">
        <v>2144.0</v>
      </c>
      <c r="B2146" s="4" t="s">
        <v>3201</v>
      </c>
      <c r="C2146" s="5" t="str">
        <f>IFERROR(__xludf.DUMMYFUNCTION("GOOGLETRANSLATE(D:D,""auto"",""en"")"),"Zhong Nanshan talk about the epidemic peak")</f>
        <v>Zhong Nanshan talk about the epidemic peak</v>
      </c>
      <c r="D2146" s="4" t="s">
        <v>3163</v>
      </c>
      <c r="E2146" s="4">
        <v>0.0</v>
      </c>
      <c r="F2146" s="4">
        <v>45.0</v>
      </c>
      <c r="G2146" s="4" t="s">
        <v>3164</v>
      </c>
    </row>
    <row r="2147">
      <c r="A2147" s="1">
        <v>2145.0</v>
      </c>
      <c r="B2147" s="4" t="s">
        <v>3201</v>
      </c>
      <c r="C2147" s="5" t="str">
        <f>IFERROR(__xludf.DUMMYFUNCTION("GOOGLETRANSLATE(D:D,""auto"",""en"")"),"Wuhan over one thousand cases of infection in health care")</f>
        <v>Wuhan over one thousand cases of infection in health care</v>
      </c>
      <c r="D2147" s="4" t="s">
        <v>3149</v>
      </c>
      <c r="E2147" s="4">
        <v>0.0</v>
      </c>
      <c r="F2147" s="4">
        <v>46.0</v>
      </c>
      <c r="G2147" s="4" t="s">
        <v>3150</v>
      </c>
    </row>
    <row r="2148">
      <c r="A2148" s="1">
        <v>2146.0</v>
      </c>
      <c r="B2148" s="4" t="s">
        <v>3201</v>
      </c>
      <c r="C2148" s="5" t="str">
        <f>IFERROR(__xludf.DUMMYFUNCTION("GOOGLETRANSLATE(D:D,""auto"",""en"")"),"Sa Beining love for his wife and children")</f>
        <v>Sa Beining love for his wife and children</v>
      </c>
      <c r="D2148" s="4" t="s">
        <v>3268</v>
      </c>
      <c r="E2148" s="4">
        <v>0.0</v>
      </c>
      <c r="F2148" s="4">
        <v>47.0</v>
      </c>
      <c r="G2148" s="4" t="s">
        <v>3269</v>
      </c>
    </row>
    <row r="2149">
      <c r="A2149" s="1">
        <v>2147.0</v>
      </c>
      <c r="B2149" s="4" t="s">
        <v>3201</v>
      </c>
      <c r="C2149" s="5" t="str">
        <f>IFERROR(__xludf.DUMMYFUNCTION("GOOGLETRANSLATE(D:D,""auto"",""en"")"),"Baibuting closed city of Wuhan on the 20th")</f>
        <v>Baibuting closed city of Wuhan on the 20th</v>
      </c>
      <c r="D2149" s="4" t="s">
        <v>3270</v>
      </c>
      <c r="E2149" s="4">
        <v>0.0</v>
      </c>
      <c r="F2149" s="4">
        <v>48.0</v>
      </c>
      <c r="G2149" s="4" t="s">
        <v>3271</v>
      </c>
    </row>
    <row r="2150">
      <c r="A2150" s="1">
        <v>2148.0</v>
      </c>
      <c r="B2150" s="4" t="s">
        <v>3201</v>
      </c>
      <c r="C2150" s="5" t="str">
        <f>IFERROR(__xludf.DUMMYFUNCTION("GOOGLETRANSLATE(D:D,""auto"",""en"")"),"Hangzhou nine people were publicized")</f>
        <v>Hangzhou nine people were publicized</v>
      </c>
      <c r="D2150" s="4" t="s">
        <v>3272</v>
      </c>
      <c r="E2150" s="4">
        <v>0.0</v>
      </c>
      <c r="F2150" s="4">
        <v>49.0</v>
      </c>
      <c r="G2150" s="4" t="s">
        <v>3273</v>
      </c>
    </row>
    <row r="2151">
      <c r="A2151" s="1">
        <v>2149.0</v>
      </c>
      <c r="B2151" s="4" t="s">
        <v>3201</v>
      </c>
      <c r="C2151" s="5" t="str">
        <f>IFERROR(__xludf.DUMMYFUNCTION("GOOGLETRANSLATE(D:D,""auto"",""en"")"),"US media on China office mode")</f>
        <v>US media on China office mode</v>
      </c>
      <c r="D2151" s="4" t="s">
        <v>3274</v>
      </c>
      <c r="E2151" s="4">
        <v>0.0</v>
      </c>
      <c r="F2151" s="4">
        <v>50.0</v>
      </c>
      <c r="G2151" s="4" t="s">
        <v>3275</v>
      </c>
    </row>
    <row r="2152">
      <c r="A2152" s="1">
        <v>2150.0</v>
      </c>
      <c r="B2152" s="4" t="s">
        <v>3276</v>
      </c>
      <c r="C2152" s="5" t="str">
        <f>IFERROR(__xludf.DUMMYFUNCTION("GOOGLETRANSLATE(D:D,""auto"",""en"")"),"Li Zi Meng bow to read my statement")</f>
        <v>Li Zi Meng bow to read my statement</v>
      </c>
      <c r="D2152" s="4" t="s">
        <v>3242</v>
      </c>
      <c r="E2152" s="4">
        <v>0.0</v>
      </c>
      <c r="F2152" s="4">
        <v>1.0</v>
      </c>
      <c r="G2152" s="4" t="s">
        <v>3243</v>
      </c>
    </row>
    <row r="2153">
      <c r="A2153" s="1">
        <v>2151.0</v>
      </c>
      <c r="B2153" s="4" t="s">
        <v>3276</v>
      </c>
      <c r="C2153" s="5" t="str">
        <f>IFERROR(__xludf.DUMMYFUNCTION("GOOGLETRANSLATE(D:D,""auto"",""en"")"),"Hubei plans to build a hospital emergency")</f>
        <v>Hubei plans to build a hospital emergency</v>
      </c>
      <c r="D2153" s="4" t="s">
        <v>3277</v>
      </c>
      <c r="E2153" s="4">
        <v>0.0</v>
      </c>
      <c r="F2153" s="4">
        <v>2.0</v>
      </c>
      <c r="G2153" s="4" t="s">
        <v>3278</v>
      </c>
    </row>
    <row r="2154">
      <c r="A2154" s="1">
        <v>2152.0</v>
      </c>
      <c r="B2154" s="4" t="s">
        <v>3276</v>
      </c>
      <c r="C2154" s="5" t="str">
        <f>IFERROR(__xludf.DUMMYFUNCTION("GOOGLETRANSLATE(D:D,""auto"",""en"")"),"2020 will be a cold wave struck")</f>
        <v>2020 will be a cold wave struck</v>
      </c>
      <c r="D2154" s="4" t="s">
        <v>3238</v>
      </c>
      <c r="E2154" s="4">
        <v>0.0</v>
      </c>
      <c r="F2154" s="4">
        <v>3.0</v>
      </c>
      <c r="G2154" s="4" t="s">
        <v>3239</v>
      </c>
    </row>
    <row r="2155">
      <c r="A2155" s="1">
        <v>2153.0</v>
      </c>
      <c r="B2155" s="4" t="s">
        <v>3276</v>
      </c>
      <c r="C2155" s="5" t="str">
        <f>IFERROR(__xludf.DUMMYFUNCTION("GOOGLETRANSLATE(D:D,""auto"",""en"")"),"Lifted home quarantine after diagnosis")</f>
        <v>Lifted home quarantine after diagnosis</v>
      </c>
      <c r="D2155" s="4" t="s">
        <v>3279</v>
      </c>
      <c r="E2155" s="4">
        <v>0.0</v>
      </c>
      <c r="F2155" s="4">
        <v>4.0</v>
      </c>
      <c r="G2155" s="4" t="s">
        <v>3280</v>
      </c>
    </row>
    <row r="2156">
      <c r="A2156" s="1">
        <v>2154.0</v>
      </c>
      <c r="B2156" s="4" t="s">
        <v>3276</v>
      </c>
      <c r="C2156" s="5" t="str">
        <f>IFERROR(__xludf.DUMMYFUNCTION("GOOGLETRANSLATE(D:D,""auto"",""en"")"),"Virus or related Rhinolophus")</f>
        <v>Virus or related Rhinolophus</v>
      </c>
      <c r="D2156" s="4" t="s">
        <v>3281</v>
      </c>
      <c r="E2156" s="4">
        <v>0.0</v>
      </c>
      <c r="F2156" s="4">
        <v>5.0</v>
      </c>
      <c r="G2156" s="4" t="s">
        <v>3282</v>
      </c>
    </row>
    <row r="2157">
      <c r="A2157" s="1">
        <v>2155.0</v>
      </c>
      <c r="B2157" s="4" t="s">
        <v>3276</v>
      </c>
      <c r="C2157" s="5" t="str">
        <f>IFERROR(__xludf.DUMMYFUNCTION("GOOGLETRANSLATE(D:D,""auto"",""en"")"),"Hubei new surge interpretation")</f>
        <v>Hubei new surge interpretation</v>
      </c>
      <c r="D2157" s="4" t="s">
        <v>3283</v>
      </c>
      <c r="E2157" s="4">
        <v>0.0</v>
      </c>
      <c r="F2157" s="4">
        <v>6.0</v>
      </c>
      <c r="G2157" s="4" t="s">
        <v>3284</v>
      </c>
    </row>
    <row r="2158">
      <c r="A2158" s="1">
        <v>2156.0</v>
      </c>
      <c r="B2158" s="4" t="s">
        <v>3276</v>
      </c>
      <c r="C2158" s="5" t="str">
        <f>IFERROR(__xludf.DUMMYFUNCTION("GOOGLETRANSLATE(D:D,""auto"",""en"")"),"The official response to loud noise Quzhou")</f>
        <v>The official response to loud noise Quzhou</v>
      </c>
      <c r="D2158" s="4" t="s">
        <v>3285</v>
      </c>
      <c r="E2158" s="4">
        <v>0.0</v>
      </c>
      <c r="F2158" s="4">
        <v>7.0</v>
      </c>
      <c r="G2158" s="4" t="s">
        <v>3286</v>
      </c>
    </row>
    <row r="2159">
      <c r="A2159" s="1">
        <v>2157.0</v>
      </c>
      <c r="B2159" s="4" t="s">
        <v>3276</v>
      </c>
      <c r="C2159" s="5" t="str">
        <f>IFERROR(__xludf.DUMMYFUNCTION("GOOGLETRANSLATE(D:D,""auto"",""en"")"),"Ying Yong secretary of Hubei Provincial Committee")</f>
        <v>Ying Yong secretary of Hubei Provincial Committee</v>
      </c>
      <c r="D2159" s="4" t="s">
        <v>3287</v>
      </c>
      <c r="E2159" s="4">
        <v>0.0</v>
      </c>
      <c r="F2159" s="4">
        <v>8.0</v>
      </c>
      <c r="G2159" s="4" t="s">
        <v>3288</v>
      </c>
    </row>
    <row r="2160">
      <c r="A2160" s="1">
        <v>2158.0</v>
      </c>
      <c r="B2160" s="4" t="s">
        <v>3276</v>
      </c>
      <c r="C2160" s="5" t="str">
        <f>IFERROR(__xludf.DUMMYFUNCTION("GOOGLETRANSLATE(D:D,""auto"",""en"")"),"Wuhan party secretary Wang Zhonglin")</f>
        <v>Wuhan party secretary Wang Zhonglin</v>
      </c>
      <c r="D2160" s="4" t="s">
        <v>3289</v>
      </c>
      <c r="E2160" s="4">
        <v>0.0</v>
      </c>
      <c r="F2160" s="4">
        <v>9.0</v>
      </c>
      <c r="G2160" s="4" t="s">
        <v>3290</v>
      </c>
    </row>
    <row r="2161">
      <c r="A2161" s="1">
        <v>2159.0</v>
      </c>
      <c r="B2161" s="4" t="s">
        <v>3276</v>
      </c>
      <c r="C2161" s="5" t="str">
        <f>IFERROR(__xludf.DUMMYFUNCTION("GOOGLETRANSLATE(D:D,""auto"",""en"")"),"Hubei continue to delay return to work")</f>
        <v>Hubei continue to delay return to work</v>
      </c>
      <c r="D2161" s="4" t="s">
        <v>3291</v>
      </c>
      <c r="E2161" s="4">
        <v>0.0</v>
      </c>
      <c r="F2161" s="4">
        <v>10.0</v>
      </c>
      <c r="G2161" s="4" t="s">
        <v>3292</v>
      </c>
    </row>
    <row r="2162">
      <c r="A2162" s="1">
        <v>2160.0</v>
      </c>
      <c r="B2162" s="4" t="s">
        <v>3276</v>
      </c>
      <c r="C2162" s="5" t="str">
        <f>IFERROR(__xludf.DUMMYFUNCTION("GOOGLETRANSLATE(D:D,""auto"",""en"")"),"Chongqing is now four generations of infections")</f>
        <v>Chongqing is now four generations of infections</v>
      </c>
      <c r="D2162" s="4" t="s">
        <v>3293</v>
      </c>
      <c r="E2162" s="4">
        <v>0.0</v>
      </c>
      <c r="F2162" s="4">
        <v>11.0</v>
      </c>
      <c r="G2162" s="4" t="s">
        <v>3294</v>
      </c>
    </row>
    <row r="2163">
      <c r="A2163" s="1">
        <v>2161.0</v>
      </c>
      <c r="B2163" s="4" t="s">
        <v>3276</v>
      </c>
      <c r="C2163" s="5" t="str">
        <f>IFERROR(__xludf.DUMMYFUNCTION("GOOGLETRANSLATE(D:D,""auto"",""en"")"),"Experts talk about the epidemic of smoking")</f>
        <v>Experts talk about the epidemic of smoking</v>
      </c>
      <c r="D2163" s="4" t="s">
        <v>3295</v>
      </c>
      <c r="E2163" s="4">
        <v>0.0</v>
      </c>
      <c r="F2163" s="4">
        <v>12.0</v>
      </c>
      <c r="G2163" s="4" t="s">
        <v>3296</v>
      </c>
    </row>
    <row r="2164">
      <c r="A2164" s="1">
        <v>2162.0</v>
      </c>
      <c r="B2164" s="4" t="s">
        <v>3276</v>
      </c>
      <c r="C2164" s="5" t="str">
        <f>IFERROR(__xludf.DUMMYFUNCTION("GOOGLETRANSLATE(D:D,""auto"",""en"")"),"Hubei new non-fall of 9 days")</f>
        <v>Hubei new non-fall of 9 days</v>
      </c>
      <c r="D2164" s="4" t="s">
        <v>3297</v>
      </c>
      <c r="E2164" s="4">
        <v>0.0</v>
      </c>
      <c r="F2164" s="4">
        <v>13.0</v>
      </c>
      <c r="G2164" s="4" t="s">
        <v>3298</v>
      </c>
    </row>
    <row r="2165">
      <c r="A2165" s="1">
        <v>2163.0</v>
      </c>
      <c r="B2165" s="4" t="s">
        <v>3276</v>
      </c>
      <c r="C2165" s="5" t="str">
        <f>IFERROR(__xludf.DUMMYFUNCTION("GOOGLETRANSLATE(D:D,""auto"",""en"")"),"Wuhan is not to find out the number of infections")</f>
        <v>Wuhan is not to find out the number of infections</v>
      </c>
      <c r="D2165" s="4" t="s">
        <v>3299</v>
      </c>
      <c r="E2165" s="4">
        <v>0.0</v>
      </c>
      <c r="F2165" s="4">
        <v>14.0</v>
      </c>
      <c r="G2165" s="4" t="s">
        <v>3300</v>
      </c>
    </row>
    <row r="2166">
      <c r="A2166" s="1">
        <v>2164.0</v>
      </c>
      <c r="B2166" s="4" t="s">
        <v>3276</v>
      </c>
      <c r="C2166" s="5" t="str">
        <f>IFERROR(__xludf.DUMMYFUNCTION("GOOGLETRANSLATE(D:D,""auto"",""en"")"),"7.0 earthquake in the Kuril Islands")</f>
        <v>7.0 earthquake in the Kuril Islands</v>
      </c>
      <c r="D2166" s="4" t="s">
        <v>3301</v>
      </c>
      <c r="E2166" s="4">
        <v>0.0</v>
      </c>
      <c r="F2166" s="4">
        <v>15.0</v>
      </c>
      <c r="G2166" s="4" t="s">
        <v>3302</v>
      </c>
    </row>
    <row r="2167">
      <c r="A2167" s="1">
        <v>2165.0</v>
      </c>
      <c r="B2167" s="4" t="s">
        <v>3276</v>
      </c>
      <c r="C2167" s="5" t="str">
        <f>IFERROR(__xludf.DUMMYFUNCTION("GOOGLETRANSLATE(D:D,""auto"",""en"")"),"5.2 earthquake occurred in Japan")</f>
        <v>5.2 earthquake occurred in Japan</v>
      </c>
      <c r="D2167" s="4" t="s">
        <v>3260</v>
      </c>
      <c r="E2167" s="4">
        <v>0.0</v>
      </c>
      <c r="F2167" s="4">
        <v>16.0</v>
      </c>
      <c r="G2167" s="4" t="s">
        <v>3261</v>
      </c>
    </row>
    <row r="2168">
      <c r="A2168" s="1">
        <v>2166.0</v>
      </c>
      <c r="B2168" s="4" t="s">
        <v>3276</v>
      </c>
      <c r="C2168" s="5" t="str">
        <f>IFERROR(__xludf.DUMMYFUNCTION("GOOGLETRANSLATE(D:D,""auto"",""en"")"),"Epidemic is now three positive changes")</f>
        <v>Epidemic is now three positive changes</v>
      </c>
      <c r="D2168" s="4" t="s">
        <v>3234</v>
      </c>
      <c r="E2168" s="4">
        <v>0.0</v>
      </c>
      <c r="F2168" s="4">
        <v>17.0</v>
      </c>
      <c r="G2168" s="4" t="s">
        <v>3235</v>
      </c>
    </row>
    <row r="2169">
      <c r="A2169" s="1">
        <v>2167.0</v>
      </c>
      <c r="B2169" s="4" t="s">
        <v>3276</v>
      </c>
      <c r="C2169" s="5" t="str">
        <f>IFERROR(__xludf.DUMMYFUNCTION("GOOGLETRANSLATE(D:D,""auto"",""en"")"),"Ministry of Education, in response to the college entrance examination postponed")</f>
        <v>Ministry of Education, in response to the college entrance examination postponed</v>
      </c>
      <c r="D2169" s="4" t="s">
        <v>3230</v>
      </c>
      <c r="E2169" s="4">
        <v>0.0</v>
      </c>
      <c r="F2169" s="4">
        <v>18.0</v>
      </c>
      <c r="G2169" s="4" t="s">
        <v>3231</v>
      </c>
    </row>
    <row r="2170">
      <c r="A2170" s="1">
        <v>2168.0</v>
      </c>
      <c r="B2170" s="4" t="s">
        <v>3276</v>
      </c>
      <c r="C2170" s="5" t="str">
        <f>IFERROR(__xludf.DUMMYFUNCTION("GOOGLETRANSLATE(D:D,""auto"",""en"")"),"The United States put the world's largest fireworks")</f>
        <v>The United States put the world's largest fireworks</v>
      </c>
      <c r="D2170" s="4" t="s">
        <v>3303</v>
      </c>
      <c r="E2170" s="4">
        <v>0.0</v>
      </c>
      <c r="F2170" s="4">
        <v>19.0</v>
      </c>
      <c r="G2170" s="4" t="s">
        <v>3304</v>
      </c>
    </row>
    <row r="2171">
      <c r="A2171" s="1">
        <v>2169.0</v>
      </c>
      <c r="B2171" s="4" t="s">
        <v>3276</v>
      </c>
      <c r="C2171" s="5" t="str">
        <f>IFERROR(__xludf.DUMMYFUNCTION("GOOGLETRANSLATE(D:D,""auto"",""en"")"),"Women are diagnosed detection 5")</f>
        <v>Women are diagnosed detection 5</v>
      </c>
      <c r="D2171" s="4" t="s">
        <v>3305</v>
      </c>
      <c r="E2171" s="4">
        <v>0.0</v>
      </c>
      <c r="F2171" s="4">
        <v>20.0</v>
      </c>
      <c r="G2171" s="4" t="s">
        <v>3306</v>
      </c>
    </row>
    <row r="2172">
      <c r="A2172" s="1">
        <v>2170.0</v>
      </c>
      <c r="B2172" s="4" t="s">
        <v>3276</v>
      </c>
      <c r="C2172" s="5" t="str">
        <f>IFERROR(__xludf.DUMMYFUNCTION("GOOGLETRANSLATE(D:D,""auto"",""en"")"),"Liaoning will meet strong snowfall")</f>
        <v>Liaoning will meet strong snowfall</v>
      </c>
      <c r="D2172" s="4" t="s">
        <v>3307</v>
      </c>
      <c r="E2172" s="4">
        <v>0.0</v>
      </c>
      <c r="F2172" s="4">
        <v>21.0</v>
      </c>
      <c r="G2172" s="4" t="s">
        <v>3308</v>
      </c>
    </row>
    <row r="2173">
      <c r="A2173" s="1">
        <v>2171.0</v>
      </c>
      <c r="B2173" s="4" t="s">
        <v>3276</v>
      </c>
      <c r="C2173" s="5" t="str">
        <f>IFERROR(__xludf.DUMMYFUNCTION("GOOGLETRANSLATE(D:D,""auto"",""en"")"),"Wuhan residents heard a loud noise")</f>
        <v>Wuhan residents heard a loud noise</v>
      </c>
      <c r="D2173" s="4" t="s">
        <v>3309</v>
      </c>
      <c r="E2173" s="4">
        <v>0.0</v>
      </c>
      <c r="F2173" s="4">
        <v>22.0</v>
      </c>
      <c r="G2173" s="4" t="s">
        <v>3310</v>
      </c>
    </row>
    <row r="2174">
      <c r="A2174" s="1">
        <v>2172.0</v>
      </c>
      <c r="B2174" s="4" t="s">
        <v>3276</v>
      </c>
      <c r="C2174" s="5" t="str">
        <f>IFERROR(__xludf.DUMMYFUNCTION("GOOGLETRANSLATE(D:D,""auto"",""en"")"),"Experts found that the specter of human genes")</f>
        <v>Experts found that the specter of human genes</v>
      </c>
      <c r="D2174" s="4" t="s">
        <v>3311</v>
      </c>
      <c r="E2174" s="4">
        <v>0.0</v>
      </c>
      <c r="F2174" s="4">
        <v>23.0</v>
      </c>
      <c r="G2174" s="4" t="s">
        <v>3312</v>
      </c>
    </row>
    <row r="2175">
      <c r="A2175" s="1">
        <v>2173.0</v>
      </c>
      <c r="B2175" s="4" t="s">
        <v>3276</v>
      </c>
      <c r="C2175" s="5" t="str">
        <f>IFERROR(__xludf.DUMMYFUNCTION("GOOGLETRANSLATE(D:D,""auto"",""en"")"),"US media on China office mode")</f>
        <v>US media on China office mode</v>
      </c>
      <c r="D2175" s="4" t="s">
        <v>3274</v>
      </c>
      <c r="E2175" s="4">
        <v>0.0</v>
      </c>
      <c r="F2175" s="4">
        <v>24.0</v>
      </c>
      <c r="G2175" s="4" t="s">
        <v>3275</v>
      </c>
    </row>
    <row r="2176">
      <c r="A2176" s="1">
        <v>2174.0</v>
      </c>
      <c r="B2176" s="4" t="s">
        <v>3276</v>
      </c>
      <c r="C2176" s="5" t="str">
        <f>IFERROR(__xludf.DUMMYFUNCTION("GOOGLETRANSLATE(D:D,""auto"",""en"")"),"Beijing will welcome local Blizzard")</f>
        <v>Beijing will welcome local Blizzard</v>
      </c>
      <c r="D2176" s="4" t="s">
        <v>3240</v>
      </c>
      <c r="E2176" s="4">
        <v>0.0</v>
      </c>
      <c r="F2176" s="4">
        <v>25.0</v>
      </c>
      <c r="G2176" s="4" t="s">
        <v>3241</v>
      </c>
    </row>
    <row r="2177">
      <c r="A2177" s="1">
        <v>2175.0</v>
      </c>
      <c r="B2177" s="4" t="s">
        <v>3276</v>
      </c>
      <c r="C2177" s="5" t="str">
        <f>IFERROR(__xludf.DUMMYFUNCTION("GOOGLETRANSLATE(D:D,""auto"",""en"")"),"Wuchang District apologize to the patient")</f>
        <v>Wuchang District apologize to the patient</v>
      </c>
      <c r="D2177" s="4" t="s">
        <v>3258</v>
      </c>
      <c r="E2177" s="4">
        <v>0.0</v>
      </c>
      <c r="F2177" s="4">
        <v>26.0</v>
      </c>
      <c r="G2177" s="4" t="s">
        <v>3259</v>
      </c>
    </row>
    <row r="2178">
      <c r="A2178" s="1">
        <v>2176.0</v>
      </c>
      <c r="B2178" s="4" t="s">
        <v>3276</v>
      </c>
      <c r="C2178" s="5" t="str">
        <f>IFERROR(__xludf.DUMMYFUNCTION("GOOGLETRANSLATE(D:D,""auto"",""en"")"),"New cases decreased 48.2%")</f>
        <v>New cases decreased 48.2%</v>
      </c>
      <c r="D2178" s="4" t="s">
        <v>3228</v>
      </c>
      <c r="E2178" s="4">
        <v>0.0</v>
      </c>
      <c r="F2178" s="4">
        <v>27.0</v>
      </c>
      <c r="G2178" s="4" t="s">
        <v>3229</v>
      </c>
    </row>
    <row r="2179">
      <c r="A2179" s="1">
        <v>2177.0</v>
      </c>
      <c r="B2179" s="4" t="s">
        <v>3276</v>
      </c>
      <c r="C2179" s="5" t="str">
        <f>IFERROR(__xludf.DUMMYFUNCTION("GOOGLETRANSLATE(D:D,""auto"",""en"")"),"Millet first online conference")</f>
        <v>Millet first online conference</v>
      </c>
      <c r="D2179" s="4" t="s">
        <v>3313</v>
      </c>
      <c r="E2179" s="4">
        <v>0.0</v>
      </c>
      <c r="F2179" s="4">
        <v>28.0</v>
      </c>
      <c r="G2179" s="4" t="s">
        <v>3314</v>
      </c>
    </row>
    <row r="2180">
      <c r="A2180" s="1">
        <v>2178.0</v>
      </c>
      <c r="B2180" s="4" t="s">
        <v>3276</v>
      </c>
      <c r="C2180" s="5" t="str">
        <f>IFERROR(__xludf.DUMMYFUNCTION("GOOGLETRANSLATE(D:D,""auto"",""en"")"),"New World Little Red Coat identity")</f>
        <v>New World Little Red Coat identity</v>
      </c>
      <c r="D2180" s="4" t="s">
        <v>3315</v>
      </c>
      <c r="E2180" s="4">
        <v>0.0</v>
      </c>
      <c r="F2180" s="4">
        <v>29.0</v>
      </c>
      <c r="G2180" s="4" t="s">
        <v>3316</v>
      </c>
    </row>
    <row r="2181">
      <c r="A2181" s="1">
        <v>2179.0</v>
      </c>
      <c r="B2181" s="4" t="s">
        <v>3276</v>
      </c>
      <c r="C2181" s="5" t="str">
        <f>IFERROR(__xludf.DUMMYFUNCTION("GOOGLETRANSLATE(D:D,""auto"",""en"")"),"Xie Na airborne Wuhan health care group")</f>
        <v>Xie Na airborne Wuhan health care group</v>
      </c>
      <c r="D2181" s="4" t="s">
        <v>3250</v>
      </c>
      <c r="E2181" s="4">
        <v>0.0</v>
      </c>
      <c r="F2181" s="4">
        <v>30.0</v>
      </c>
      <c r="G2181" s="4" t="s">
        <v>3251</v>
      </c>
    </row>
    <row r="2182">
      <c r="A2182" s="1">
        <v>2180.0</v>
      </c>
      <c r="B2182" s="4" t="s">
        <v>3276</v>
      </c>
      <c r="C2182" s="5" t="str">
        <f>IFERROR(__xludf.DUMMYFUNCTION("GOOGLETRANSLATE(D:D,""auto"",""en"")"),"Nanjing is now 49 district cases")</f>
        <v>Nanjing is now 49 district cases</v>
      </c>
      <c r="D2182" s="4" t="s">
        <v>3226</v>
      </c>
      <c r="E2182" s="4">
        <v>0.0</v>
      </c>
      <c r="F2182" s="4">
        <v>31.0</v>
      </c>
      <c r="G2182" s="4" t="s">
        <v>3227</v>
      </c>
    </row>
    <row r="2183">
      <c r="A2183" s="1">
        <v>2181.0</v>
      </c>
      <c r="B2183" s="4" t="s">
        <v>3276</v>
      </c>
      <c r="C2183" s="5" t="str">
        <f>IFERROR(__xludf.DUMMYFUNCTION("GOOGLETRANSLATE(D:D,""auto"",""en"")"),"The epidemic is expected to end by April")</f>
        <v>The epidemic is expected to end by April</v>
      </c>
      <c r="D2183" s="4" t="s">
        <v>3206</v>
      </c>
      <c r="E2183" s="4">
        <v>0.0</v>
      </c>
      <c r="F2183" s="4">
        <v>32.0</v>
      </c>
      <c r="G2183" s="4" t="s">
        <v>3207</v>
      </c>
    </row>
    <row r="2184">
      <c r="A2184" s="1">
        <v>2182.0</v>
      </c>
      <c r="B2184" s="4" t="s">
        <v>3276</v>
      </c>
      <c r="C2184" s="5" t="str">
        <f>IFERROR(__xludf.DUMMYFUNCTION("GOOGLETRANSLATE(D:D,""auto"",""en"")"),"Russia finished donate materials left")</f>
        <v>Russia finished donate materials left</v>
      </c>
      <c r="D2184" s="4" t="s">
        <v>3232</v>
      </c>
      <c r="E2184" s="4">
        <v>0.0</v>
      </c>
      <c r="F2184" s="4">
        <v>33.0</v>
      </c>
      <c r="G2184" s="4" t="s">
        <v>3233</v>
      </c>
    </row>
    <row r="2185">
      <c r="A2185" s="1">
        <v>2183.0</v>
      </c>
      <c r="B2185" s="4" t="s">
        <v>3276</v>
      </c>
      <c r="C2185" s="5" t="str">
        <f>IFERROR(__xludf.DUMMYFUNCTION("GOOGLETRANSLATE(D:D,""auto"",""en"")"),"Lillard exit All-Star")</f>
        <v>Lillard exit All-Star</v>
      </c>
      <c r="D2185" s="4" t="s">
        <v>3317</v>
      </c>
      <c r="E2185" s="4">
        <v>0.0</v>
      </c>
      <c r="F2185" s="4">
        <v>34.0</v>
      </c>
      <c r="G2185" s="4" t="s">
        <v>3318</v>
      </c>
    </row>
    <row r="2186">
      <c r="A2186" s="1">
        <v>2184.0</v>
      </c>
      <c r="B2186" s="4" t="s">
        <v>3276</v>
      </c>
      <c r="C2186" s="5" t="str">
        <f>IFERROR(__xludf.DUMMYFUNCTION("GOOGLETRANSLATE(D:D,""auto"",""en"")"),"Vulcan Mountain patients admitted to breaking one thousand")</f>
        <v>Vulcan Mountain patients admitted to breaking one thousand</v>
      </c>
      <c r="D2186" s="4" t="s">
        <v>3319</v>
      </c>
      <c r="E2186" s="4">
        <v>0.0</v>
      </c>
      <c r="F2186" s="4">
        <v>35.0</v>
      </c>
      <c r="G2186" s="4" t="s">
        <v>3320</v>
      </c>
    </row>
    <row r="2187">
      <c r="A2187" s="1">
        <v>2185.0</v>
      </c>
      <c r="B2187" s="4" t="s">
        <v>3276</v>
      </c>
      <c r="C2187" s="5" t="str">
        <f>IFERROR(__xludf.DUMMYFUNCTION("GOOGLETRANSLATE(D:D,""auto"",""en"")"),"19 of 11 people diagnosed with eating hot pot")</f>
        <v>19 of 11 people diagnosed with eating hot pot</v>
      </c>
      <c r="D2187" s="4" t="s">
        <v>3220</v>
      </c>
      <c r="E2187" s="4">
        <v>0.0</v>
      </c>
      <c r="F2187" s="4">
        <v>36.0</v>
      </c>
      <c r="G2187" s="4" t="s">
        <v>3221</v>
      </c>
    </row>
    <row r="2188">
      <c r="A2188" s="1">
        <v>2186.0</v>
      </c>
      <c r="B2188" s="4" t="s">
        <v>3276</v>
      </c>
      <c r="C2188" s="5" t="str">
        <f>IFERROR(__xludf.DUMMYFUNCTION("GOOGLETRANSLATE(D:D,""auto"",""en"")"),"10 days 20 Housing Enterprise Bankruptcy")</f>
        <v>10 days 20 Housing Enterprise Bankruptcy</v>
      </c>
      <c r="D2188" s="4" t="s">
        <v>3214</v>
      </c>
      <c r="E2188" s="4">
        <v>0.0</v>
      </c>
      <c r="F2188" s="4">
        <v>37.0</v>
      </c>
      <c r="G2188" s="4" t="s">
        <v>3215</v>
      </c>
    </row>
    <row r="2189">
      <c r="A2189" s="1">
        <v>2187.0</v>
      </c>
      <c r="B2189" s="4" t="s">
        <v>3276</v>
      </c>
      <c r="C2189" s="5" t="str">
        <f>IFERROR(__xludf.DUMMYFUNCTION("GOOGLETRANSLATE(D:D,""auto"",""en"")"),"Zhong Nanshan, tearful talk about Li Wenliang")</f>
        <v>Zhong Nanshan, tearful talk about Li Wenliang</v>
      </c>
      <c r="D2189" s="4" t="s">
        <v>3208</v>
      </c>
      <c r="E2189" s="4">
        <v>0.0</v>
      </c>
      <c r="F2189" s="4">
        <v>38.0</v>
      </c>
      <c r="G2189" s="4" t="s">
        <v>3209</v>
      </c>
    </row>
    <row r="2190">
      <c r="A2190" s="1">
        <v>2188.0</v>
      </c>
      <c r="B2190" s="4" t="s">
        <v>3276</v>
      </c>
      <c r="C2190" s="5" t="str">
        <f>IFERROR(__xludf.DUMMYFUNCTION("GOOGLETRANSLATE(D:D,""auto"",""en"")"),"Hangzhou nine people were publicized")</f>
        <v>Hangzhou nine people were publicized</v>
      </c>
      <c r="D2190" s="4" t="s">
        <v>3272</v>
      </c>
      <c r="E2190" s="4">
        <v>0.0</v>
      </c>
      <c r="F2190" s="4">
        <v>39.0</v>
      </c>
      <c r="G2190" s="4" t="s">
        <v>3273</v>
      </c>
    </row>
    <row r="2191">
      <c r="A2191" s="1">
        <v>2189.0</v>
      </c>
      <c r="B2191" s="4" t="s">
        <v>3276</v>
      </c>
      <c r="C2191" s="5" t="str">
        <f>IFERROR(__xludf.DUMMYFUNCTION("GOOGLETRANSLATE(D:D,""auto"",""en"")"),"Bryant's last message")</f>
        <v>Bryant's last message</v>
      </c>
      <c r="D2191" s="4" t="s">
        <v>3321</v>
      </c>
      <c r="E2191" s="4">
        <v>0.0</v>
      </c>
      <c r="F2191" s="4">
        <v>40.0</v>
      </c>
      <c r="G2191" s="4" t="s">
        <v>3322</v>
      </c>
    </row>
    <row r="2192">
      <c r="A2192" s="1">
        <v>2190.0</v>
      </c>
      <c r="B2192" s="4" t="s">
        <v>3276</v>
      </c>
      <c r="C2192" s="5" t="str">
        <f>IFERROR(__xludf.DUMMYFUNCTION("GOOGLETRANSLATE(D:D,""auto"",""en"")"),"Huanggang 1.3 million people now fever")</f>
        <v>Huanggang 1.3 million people now fever</v>
      </c>
      <c r="D2192" s="4" t="s">
        <v>3169</v>
      </c>
      <c r="E2192" s="4">
        <v>0.0</v>
      </c>
      <c r="F2192" s="4">
        <v>41.0</v>
      </c>
      <c r="G2192" s="4" t="s">
        <v>3170</v>
      </c>
    </row>
    <row r="2193">
      <c r="A2193" s="1">
        <v>2191.0</v>
      </c>
      <c r="B2193" s="4" t="s">
        <v>3276</v>
      </c>
      <c r="C2193" s="5" t="str">
        <f>IFERROR(__xludf.DUMMYFUNCTION("GOOGLETRANSLATE(D:D,""auto"",""en"")"),"Ge Hui Jie Wang Feng issued innuendo")</f>
        <v>Ge Hui Jie Wang Feng issued innuendo</v>
      </c>
      <c r="D2193" s="4" t="s">
        <v>3323</v>
      </c>
      <c r="E2193" s="4">
        <v>0.0</v>
      </c>
      <c r="F2193" s="4">
        <v>42.0</v>
      </c>
      <c r="G2193" s="4" t="s">
        <v>3324</v>
      </c>
    </row>
    <row r="2194">
      <c r="A2194" s="1">
        <v>2192.0</v>
      </c>
      <c r="B2194" s="4" t="s">
        <v>3276</v>
      </c>
      <c r="C2194" s="5" t="str">
        <f>IFERROR(__xludf.DUMMYFUNCTION("GOOGLETRANSLATE(D:D,""auto"",""en"")"),"Ministry of Education, in response to the employment situation")</f>
        <v>Ministry of Education, in response to the employment situation</v>
      </c>
      <c r="D2194" s="4" t="s">
        <v>3325</v>
      </c>
      <c r="E2194" s="4">
        <v>0.0</v>
      </c>
      <c r="F2194" s="4">
        <v>43.0</v>
      </c>
      <c r="G2194" s="4" t="s">
        <v>3326</v>
      </c>
    </row>
    <row r="2195">
      <c r="A2195" s="1">
        <v>2193.0</v>
      </c>
      <c r="B2195" s="4" t="s">
        <v>3276</v>
      </c>
      <c r="C2195" s="5" t="str">
        <f>IFERROR(__xludf.DUMMYFUNCTION("GOOGLETRANSLATE(D:D,""auto"",""en"")"),"60 suspended over the city selling")</f>
        <v>60 suspended over the city selling</v>
      </c>
      <c r="D2195" s="4" t="s">
        <v>3327</v>
      </c>
      <c r="E2195" s="4">
        <v>0.0</v>
      </c>
      <c r="F2195" s="4">
        <v>44.0</v>
      </c>
      <c r="G2195" s="4" t="s">
        <v>3328</v>
      </c>
    </row>
    <row r="2196">
      <c r="A2196" s="1">
        <v>2194.0</v>
      </c>
      <c r="B2196" s="4" t="s">
        <v>3276</v>
      </c>
      <c r="C2196" s="5" t="str">
        <f>IFERROR(__xludf.DUMMYFUNCTION("GOOGLETRANSLATE(D:D,""auto"",""en"")"),"Hefei issued an emergency notice")</f>
        <v>Hefei issued an emergency notice</v>
      </c>
      <c r="D2196" s="4" t="s">
        <v>3222</v>
      </c>
      <c r="E2196" s="4">
        <v>0.0</v>
      </c>
      <c r="F2196" s="4">
        <v>45.0</v>
      </c>
      <c r="G2196" s="4" t="s">
        <v>3223</v>
      </c>
    </row>
    <row r="2197">
      <c r="A2197" s="1">
        <v>2195.0</v>
      </c>
      <c r="B2197" s="4" t="s">
        <v>3276</v>
      </c>
      <c r="C2197" s="5" t="str">
        <f>IFERROR(__xludf.DUMMYFUNCTION("GOOGLETRANSLATE(D:D,""auto"",""en"")"),"Jacqueline Wong Liwan Hong sound")</f>
        <v>Jacqueline Wong Liwan Hong sound</v>
      </c>
      <c r="D2197" s="4" t="s">
        <v>3329</v>
      </c>
      <c r="E2197" s="4">
        <v>0.0</v>
      </c>
      <c r="F2197" s="4">
        <v>46.0</v>
      </c>
      <c r="G2197" s="4" t="s">
        <v>3330</v>
      </c>
    </row>
    <row r="2198">
      <c r="A2198" s="1">
        <v>2196.0</v>
      </c>
      <c r="B2198" s="4" t="s">
        <v>3276</v>
      </c>
      <c r="C2198" s="5" t="str">
        <f>IFERROR(__xludf.DUMMYFUNCTION("GOOGLETRANSLATE(D:D,""auto"",""en"")"),"Zhangwan implementation of wartime control")</f>
        <v>Zhangwan implementation of wartime control</v>
      </c>
      <c r="D2198" s="4" t="s">
        <v>3331</v>
      </c>
      <c r="E2198" s="4">
        <v>0.0</v>
      </c>
      <c r="F2198" s="4">
        <v>47.0</v>
      </c>
      <c r="G2198" s="4" t="s">
        <v>3332</v>
      </c>
    </row>
    <row r="2199">
      <c r="A2199" s="1">
        <v>2197.0</v>
      </c>
      <c r="B2199" s="4" t="s">
        <v>3276</v>
      </c>
      <c r="C2199" s="5" t="str">
        <f>IFERROR(__xludf.DUMMYFUNCTION("GOOGLETRANSLATE(D:D,""auto"",""en"")"),"A concealed whole building is isolated")</f>
        <v>A concealed whole building is isolated</v>
      </c>
      <c r="D2199" s="4" t="s">
        <v>3333</v>
      </c>
      <c r="E2199" s="4">
        <v>0.0</v>
      </c>
      <c r="F2199" s="4">
        <v>48.0</v>
      </c>
      <c r="G2199" s="4" t="s">
        <v>3334</v>
      </c>
    </row>
    <row r="2200">
      <c r="A2200" s="1">
        <v>2198.0</v>
      </c>
      <c r="B2200" s="4" t="s">
        <v>3276</v>
      </c>
      <c r="C2200" s="5" t="str">
        <f>IFERROR(__xludf.DUMMYFUNCTION("GOOGLETRANSLATE(D:D,""auto"",""en"")"),"Honghu Lake in Hubei fined a pharmacy")</f>
        <v>Honghu Lake in Hubei fined a pharmacy</v>
      </c>
      <c r="D2200" s="4" t="s">
        <v>3264</v>
      </c>
      <c r="E2200" s="4">
        <v>0.0</v>
      </c>
      <c r="F2200" s="4">
        <v>49.0</v>
      </c>
      <c r="G2200" s="4" t="s">
        <v>3265</v>
      </c>
    </row>
    <row r="2201">
      <c r="A2201" s="1">
        <v>2199.0</v>
      </c>
      <c r="B2201" s="4" t="s">
        <v>3276</v>
      </c>
      <c r="C2201" s="5" t="str">
        <f>IFERROR(__xludf.DUMMYFUNCTION("GOOGLETRANSLATE(D:D,""auto"",""en"")"),"Bryant Gigi body had been buried")</f>
        <v>Bryant Gigi body had been buried</v>
      </c>
      <c r="D2201" s="4" t="s">
        <v>3218</v>
      </c>
      <c r="E2201" s="4">
        <v>0.0</v>
      </c>
      <c r="F2201" s="4">
        <v>50.0</v>
      </c>
      <c r="G2201" s="4" t="s">
        <v>3219</v>
      </c>
    </row>
    <row r="2202">
      <c r="A2202" s="1">
        <v>2200.0</v>
      </c>
      <c r="B2202" s="4" t="s">
        <v>3335</v>
      </c>
      <c r="C2202" s="5" t="str">
        <f>IFERROR(__xludf.DUMMYFUNCTION("GOOGLETRANSLATE(D:D,""auto"",""en"")"),"The official response to 1 yuan masks")</f>
        <v>The official response to 1 yuan masks</v>
      </c>
      <c r="D2202" s="4" t="s">
        <v>3336</v>
      </c>
      <c r="E2202" s="4">
        <v>0.0</v>
      </c>
      <c r="F2202" s="4">
        <v>1.0</v>
      </c>
      <c r="G2202" s="4" t="s">
        <v>3337</v>
      </c>
    </row>
    <row r="2203">
      <c r="A2203" s="1">
        <v>2201.0</v>
      </c>
      <c r="B2203" s="4" t="s">
        <v>3335</v>
      </c>
      <c r="C2203" s="5" t="str">
        <f>IFERROR(__xludf.DUMMYFUNCTION("GOOGLETRANSLATE(D:D,""auto"",""en"")"),"7.0 earthquake in the Kuril Islands")</f>
        <v>7.0 earthquake in the Kuril Islands</v>
      </c>
      <c r="D2203" s="4" t="s">
        <v>3301</v>
      </c>
      <c r="E2203" s="4">
        <v>0.0</v>
      </c>
      <c r="F2203" s="4">
        <v>2.0</v>
      </c>
      <c r="G2203" s="4" t="s">
        <v>3302</v>
      </c>
    </row>
    <row r="2204">
      <c r="A2204" s="1">
        <v>2202.0</v>
      </c>
      <c r="B2204" s="4" t="s">
        <v>3335</v>
      </c>
      <c r="C2204" s="5" t="str">
        <f>IFERROR(__xludf.DUMMYFUNCTION("GOOGLETRANSLATE(D:D,""auto"",""en"")"),"Wuhan is not to find out the number of infections")</f>
        <v>Wuhan is not to find out the number of infections</v>
      </c>
      <c r="D2204" s="4" t="s">
        <v>3299</v>
      </c>
      <c r="E2204" s="4">
        <v>0.0</v>
      </c>
      <c r="F2204" s="4">
        <v>3.0</v>
      </c>
      <c r="G2204" s="4" t="s">
        <v>3300</v>
      </c>
    </row>
    <row r="2205">
      <c r="A2205" s="1">
        <v>2203.0</v>
      </c>
      <c r="B2205" s="4" t="s">
        <v>3335</v>
      </c>
      <c r="C2205" s="5" t="str">
        <f>IFERROR(__xludf.DUMMYFUNCTION("GOOGLETRANSLATE(D:D,""auto"",""en"")"),"Wuhan residents heard a loud noise")</f>
        <v>Wuhan residents heard a loud noise</v>
      </c>
      <c r="D2205" s="4" t="s">
        <v>3309</v>
      </c>
      <c r="E2205" s="4">
        <v>0.0</v>
      </c>
      <c r="F2205" s="4">
        <v>4.0</v>
      </c>
      <c r="G2205" s="4" t="s">
        <v>3310</v>
      </c>
    </row>
    <row r="2206">
      <c r="A2206" s="1">
        <v>2204.0</v>
      </c>
      <c r="B2206" s="4" t="s">
        <v>3335</v>
      </c>
      <c r="C2206" s="5" t="str">
        <f>IFERROR(__xludf.DUMMYFUNCTION("GOOGLETRANSLATE(D:D,""auto"",""en"")"),"Experts found that the specter of human genes")</f>
        <v>Experts found that the specter of human genes</v>
      </c>
      <c r="D2206" s="4" t="s">
        <v>3311</v>
      </c>
      <c r="E2206" s="4">
        <v>0.0</v>
      </c>
      <c r="F2206" s="4">
        <v>5.0</v>
      </c>
      <c r="G2206" s="4" t="s">
        <v>3312</v>
      </c>
    </row>
    <row r="2207">
      <c r="A2207" s="1">
        <v>2205.0</v>
      </c>
      <c r="B2207" s="4" t="s">
        <v>3335</v>
      </c>
      <c r="C2207" s="5" t="str">
        <f>IFERROR(__xludf.DUMMYFUNCTION("GOOGLETRANSLATE(D:D,""auto"",""en"")"),"Rehabilitation plasma treatment 11")</f>
        <v>Rehabilitation plasma treatment 11</v>
      </c>
      <c r="D2207" s="4" t="s">
        <v>3338</v>
      </c>
      <c r="E2207" s="4">
        <v>0.0</v>
      </c>
      <c r="F2207" s="4">
        <v>6.0</v>
      </c>
      <c r="G2207" s="4" t="s">
        <v>3339</v>
      </c>
    </row>
    <row r="2208">
      <c r="A2208" s="1">
        <v>2206.0</v>
      </c>
      <c r="B2208" s="4" t="s">
        <v>3335</v>
      </c>
      <c r="C2208" s="5" t="str">
        <f>IFERROR(__xludf.DUMMYFUNCTION("GOOGLETRANSLATE(D:D,""auto"",""en"")"),"170 million migrant workers back to the city")</f>
        <v>170 million migrant workers back to the city</v>
      </c>
      <c r="D2208" s="4" t="s">
        <v>3340</v>
      </c>
      <c r="E2208" s="4">
        <v>0.0</v>
      </c>
      <c r="F2208" s="4">
        <v>7.0</v>
      </c>
      <c r="G2208" s="4" t="s">
        <v>3341</v>
      </c>
    </row>
    <row r="2209">
      <c r="A2209" s="1">
        <v>2207.0</v>
      </c>
      <c r="B2209" s="4" t="s">
        <v>3335</v>
      </c>
      <c r="C2209" s="5" t="str">
        <f>IFERROR(__xludf.DUMMYFUNCTION("GOOGLETRANSLATE(D:D,""auto"",""en"")"),"Hubei new non-fall of 10 days")</f>
        <v>Hubei new non-fall of 10 days</v>
      </c>
      <c r="D2209" s="4" t="s">
        <v>3342</v>
      </c>
      <c r="E2209" s="4">
        <v>0.0</v>
      </c>
      <c r="F2209" s="4">
        <v>8.0</v>
      </c>
      <c r="G2209" s="4" t="s">
        <v>3343</v>
      </c>
    </row>
    <row r="2210">
      <c r="A2210" s="1">
        <v>2208.0</v>
      </c>
      <c r="B2210" s="4" t="s">
        <v>3335</v>
      </c>
      <c r="C2210" s="5" t="str">
        <f>IFERROR(__xludf.DUMMYFUNCTION("GOOGLETRANSLATE(D:D,""auto"",""en"")"),"Fever fear found in possession of small trees")</f>
        <v>Fever fear found in possession of small trees</v>
      </c>
      <c r="D2210" s="4" t="s">
        <v>3344</v>
      </c>
      <c r="E2210" s="4">
        <v>0.0</v>
      </c>
      <c r="F2210" s="4">
        <v>9.0</v>
      </c>
      <c r="G2210" s="4" t="s">
        <v>3345</v>
      </c>
    </row>
    <row r="2211">
      <c r="A2211" s="1">
        <v>2209.0</v>
      </c>
      <c r="B2211" s="4" t="s">
        <v>3335</v>
      </c>
      <c r="C2211" s="5" t="str">
        <f>IFERROR(__xludf.DUMMYFUNCTION("GOOGLETRANSLATE(D:D,""auto"",""en"")"),"3000 villages no infection")</f>
        <v>3000 villages no infection</v>
      </c>
      <c r="D2211" s="4" t="s">
        <v>3346</v>
      </c>
      <c r="E2211" s="4">
        <v>0.0</v>
      </c>
      <c r="F2211" s="4">
        <v>10.0</v>
      </c>
      <c r="G2211" s="4" t="s">
        <v>3347</v>
      </c>
    </row>
    <row r="2212">
      <c r="A2212" s="1">
        <v>2210.0</v>
      </c>
      <c r="B2212" s="4" t="s">
        <v>3335</v>
      </c>
      <c r="C2212" s="5" t="str">
        <f>IFERROR(__xludf.DUMMYFUNCTION("GOOGLETRANSLATE(D:D,""auto"",""en"")"),"1,716 cases diagnosed medical personnel")</f>
        <v>1,716 cases diagnosed medical personnel</v>
      </c>
      <c r="D2212" s="4" t="s">
        <v>3348</v>
      </c>
      <c r="E2212" s="4">
        <v>0.0</v>
      </c>
      <c r="F2212" s="4">
        <v>11.0</v>
      </c>
      <c r="G2212" s="4" t="s">
        <v>3349</v>
      </c>
    </row>
    <row r="2213">
      <c r="A2213" s="1">
        <v>2211.0</v>
      </c>
      <c r="B2213" s="4" t="s">
        <v>3335</v>
      </c>
      <c r="C2213" s="5" t="str">
        <f>IFERROR(__xludf.DUMMYFUNCTION("GOOGLETRANSLATE(D:D,""auto"",""en"")"),"Shanghai a patient plasma treatment")</f>
        <v>Shanghai a patient plasma treatment</v>
      </c>
      <c r="D2213" s="4" t="s">
        <v>3350</v>
      </c>
      <c r="E2213" s="4">
        <v>0.0</v>
      </c>
      <c r="F2213" s="4">
        <v>12.0</v>
      </c>
      <c r="G2213" s="4" t="s">
        <v>3351</v>
      </c>
    </row>
    <row r="2214">
      <c r="A2214" s="1">
        <v>2212.0</v>
      </c>
      <c r="B2214" s="4" t="s">
        <v>3335</v>
      </c>
      <c r="C2214" s="5" t="str">
        <f>IFERROR(__xludf.DUMMYFUNCTION("GOOGLETRANSLATE(D:D,""auto"",""en"")"),"Pneumonia No. 1 officially announced")</f>
        <v>Pneumonia No. 1 officially announced</v>
      </c>
      <c r="D2214" s="4" t="s">
        <v>3352</v>
      </c>
      <c r="E2214" s="4">
        <v>0.0</v>
      </c>
      <c r="F2214" s="4">
        <v>13.0</v>
      </c>
      <c r="G2214" s="4" t="s">
        <v>3353</v>
      </c>
    </row>
    <row r="2215">
      <c r="A2215" s="1">
        <v>2213.0</v>
      </c>
      <c r="B2215" s="4" t="s">
        <v>3335</v>
      </c>
      <c r="C2215" s="5" t="str">
        <f>IFERROR(__xludf.DUMMYFUNCTION("GOOGLETRANSLATE(D:D,""auto"",""en"")"),"Hospital school people were dismissed")</f>
        <v>Hospital school people were dismissed</v>
      </c>
      <c r="D2215" s="4" t="s">
        <v>3354</v>
      </c>
      <c r="E2215" s="4">
        <v>0.0</v>
      </c>
      <c r="F2215" s="4">
        <v>14.0</v>
      </c>
      <c r="G2215" s="4" t="s">
        <v>3355</v>
      </c>
    </row>
    <row r="2216">
      <c r="A2216" s="1">
        <v>2214.0</v>
      </c>
      <c r="B2216" s="4" t="s">
        <v>3335</v>
      </c>
      <c r="C2216" s="5" t="str">
        <f>IFERROR(__xludf.DUMMYFUNCTION("GOOGLETRANSLATE(D:D,""auto"",""en"")"),"Chongqing is now four generations of infections")</f>
        <v>Chongqing is now four generations of infections</v>
      </c>
      <c r="D2216" s="4" t="s">
        <v>3293</v>
      </c>
      <c r="E2216" s="4">
        <v>0.0</v>
      </c>
      <c r="F2216" s="4">
        <v>15.0</v>
      </c>
      <c r="G2216" s="4" t="s">
        <v>3294</v>
      </c>
    </row>
    <row r="2217">
      <c r="A2217" s="1">
        <v>2215.0</v>
      </c>
      <c r="B2217" s="4" t="s">
        <v>3335</v>
      </c>
      <c r="C2217" s="5" t="str">
        <f>IFERROR(__xludf.DUMMYFUNCTION("GOOGLETRANSLATE(D:D,""auto"",""en"")"),"A dinner seven full-infection")</f>
        <v>A dinner seven full-infection</v>
      </c>
      <c r="D2217" s="4" t="s">
        <v>3356</v>
      </c>
      <c r="E2217" s="4">
        <v>0.0</v>
      </c>
      <c r="F2217" s="4">
        <v>16.0</v>
      </c>
      <c r="G2217" s="4" t="s">
        <v>3357</v>
      </c>
    </row>
    <row r="2218">
      <c r="A2218" s="1">
        <v>2216.0</v>
      </c>
      <c r="B2218" s="4" t="s">
        <v>3335</v>
      </c>
      <c r="C2218" s="5" t="str">
        <f>IFERROR(__xludf.DUMMYFUNCTION("GOOGLETRANSLATE(D:D,""auto"",""en"")"),"Experts talk about the epidemic of smoking")</f>
        <v>Experts talk about the epidemic of smoking</v>
      </c>
      <c r="D2218" s="4" t="s">
        <v>3295</v>
      </c>
      <c r="E2218" s="4">
        <v>0.0</v>
      </c>
      <c r="F2218" s="4">
        <v>17.0</v>
      </c>
      <c r="G2218" s="4" t="s">
        <v>3296</v>
      </c>
    </row>
    <row r="2219">
      <c r="A2219" s="1">
        <v>2217.0</v>
      </c>
      <c r="B2219" s="4" t="s">
        <v>3335</v>
      </c>
      <c r="C2219" s="5" t="str">
        <f>IFERROR(__xludf.DUMMYFUNCTION("GOOGLETRANSLATE(D:D,""auto"",""en"")"),"Beijing closed a number of high-speed")</f>
        <v>Beijing closed a number of high-speed</v>
      </c>
      <c r="D2219" s="4" t="s">
        <v>3358</v>
      </c>
      <c r="E2219" s="4">
        <v>0.0</v>
      </c>
      <c r="F2219" s="4">
        <v>18.0</v>
      </c>
      <c r="G2219" s="4" t="s">
        <v>3359</v>
      </c>
    </row>
    <row r="2220">
      <c r="A2220" s="1">
        <v>2218.0</v>
      </c>
      <c r="B2220" s="4" t="s">
        <v>3335</v>
      </c>
      <c r="C2220" s="5" t="str">
        <f>IFERROR(__xludf.DUMMYFUNCTION("GOOGLETRANSLATE(D:D,""auto"",""en"")"),"Lou Yi Xiao and Hu Fei farewell")</f>
        <v>Lou Yi Xiao and Hu Fei farewell</v>
      </c>
      <c r="D2220" s="4" t="s">
        <v>3360</v>
      </c>
      <c r="E2220" s="4">
        <v>0.0</v>
      </c>
      <c r="F2220" s="4">
        <v>19.0</v>
      </c>
      <c r="G2220" s="4" t="s">
        <v>3361</v>
      </c>
    </row>
    <row r="2221">
      <c r="A2221" s="1">
        <v>2219.0</v>
      </c>
      <c r="B2221" s="4" t="s">
        <v>3335</v>
      </c>
      <c r="C2221" s="5" t="str">
        <f>IFERROR(__xludf.DUMMYFUNCTION("GOOGLETRANSLATE(D:D,""auto"",""en"")"),"Hubei new non-fall of 9 days")</f>
        <v>Hubei new non-fall of 9 days</v>
      </c>
      <c r="D2221" s="4" t="s">
        <v>3297</v>
      </c>
      <c r="E2221" s="4">
        <v>0.0</v>
      </c>
      <c r="F2221" s="4">
        <v>20.0</v>
      </c>
      <c r="G2221" s="4" t="s">
        <v>3298</v>
      </c>
    </row>
    <row r="2222">
      <c r="A2222" s="1">
        <v>2220.0</v>
      </c>
      <c r="B2222" s="4" t="s">
        <v>3335</v>
      </c>
      <c r="C2222" s="5" t="str">
        <f>IFERROR(__xludf.DUMMYFUNCTION("GOOGLETRANSLATE(D:D,""auto"",""en"")"),"Hubei's first plasma donors")</f>
        <v>Hubei's first plasma donors</v>
      </c>
      <c r="D2222" s="4" t="s">
        <v>3362</v>
      </c>
      <c r="E2222" s="4">
        <v>0.0</v>
      </c>
      <c r="F2222" s="4">
        <v>21.0</v>
      </c>
      <c r="G2222" s="4" t="s">
        <v>3363</v>
      </c>
    </row>
    <row r="2223">
      <c r="A2223" s="1">
        <v>2221.0</v>
      </c>
      <c r="B2223" s="4" t="s">
        <v>3335</v>
      </c>
      <c r="C2223" s="5" t="str">
        <f>IFERROR(__xludf.DUMMYFUNCTION("GOOGLETRANSLATE(D:D,""auto"",""en"")"),"Experts on the risk of a mask with valve")</f>
        <v>Experts on the risk of a mask with valve</v>
      </c>
      <c r="D2223" s="4" t="s">
        <v>3364</v>
      </c>
      <c r="E2223" s="4">
        <v>0.0</v>
      </c>
      <c r="F2223" s="4">
        <v>22.0</v>
      </c>
      <c r="G2223" s="4" t="s">
        <v>3365</v>
      </c>
    </row>
    <row r="2224">
      <c r="A2224" s="1">
        <v>2222.0</v>
      </c>
      <c r="B2224" s="4" t="s">
        <v>3335</v>
      </c>
      <c r="C2224" s="5" t="str">
        <f>IFERROR(__xludf.DUMMYFUNCTION("GOOGLETRANSLATE(D:D,""auto"",""en"")"),"The Batman style")</f>
        <v>The Batman style</v>
      </c>
      <c r="D2224" s="4" t="s">
        <v>3366</v>
      </c>
      <c r="E2224" s="4">
        <v>0.0</v>
      </c>
      <c r="F2224" s="4">
        <v>23.0</v>
      </c>
      <c r="G2224" s="4" t="s">
        <v>3367</v>
      </c>
    </row>
    <row r="2225">
      <c r="A2225" s="1">
        <v>2223.0</v>
      </c>
      <c r="B2225" s="4" t="s">
        <v>3335</v>
      </c>
      <c r="C2225" s="5" t="str">
        <f>IFERROR(__xludf.DUMMYFUNCTION("GOOGLETRANSLATE(D:D,""auto"",""en"")"),"Shanghai patient isolation caused 55 people")</f>
        <v>Shanghai patient isolation caused 55 people</v>
      </c>
      <c r="D2225" s="4" t="s">
        <v>3368</v>
      </c>
      <c r="E2225" s="4">
        <v>0.0</v>
      </c>
      <c r="F2225" s="4">
        <v>24.0</v>
      </c>
      <c r="G2225" s="4" t="s">
        <v>3369</v>
      </c>
    </row>
    <row r="2226">
      <c r="A2226" s="1">
        <v>2224.0</v>
      </c>
      <c r="B2226" s="4" t="s">
        <v>3335</v>
      </c>
      <c r="C2226" s="5" t="str">
        <f>IFERROR(__xludf.DUMMYFUNCTION("GOOGLETRANSLATE(D:D,""auto"",""en"")"),"The official response to loud noise Quzhou")</f>
        <v>The official response to loud noise Quzhou</v>
      </c>
      <c r="D2226" s="4" t="s">
        <v>3285</v>
      </c>
      <c r="E2226" s="4">
        <v>0.0</v>
      </c>
      <c r="F2226" s="4">
        <v>25.0</v>
      </c>
      <c r="G2226" s="4" t="s">
        <v>3286</v>
      </c>
    </row>
    <row r="2227">
      <c r="A2227" s="1">
        <v>2225.0</v>
      </c>
      <c r="B2227" s="4" t="s">
        <v>3335</v>
      </c>
      <c r="C2227" s="5" t="str">
        <f>IFERROR(__xludf.DUMMYFUNCTION("GOOGLETRANSLATE(D:D,""auto"",""en"")"),"Hubei continue to delay return to work")</f>
        <v>Hubei continue to delay return to work</v>
      </c>
      <c r="D2227" s="4" t="s">
        <v>3291</v>
      </c>
      <c r="E2227" s="4">
        <v>0.0</v>
      </c>
      <c r="F2227" s="4">
        <v>26.0</v>
      </c>
      <c r="G2227" s="4" t="s">
        <v>3292</v>
      </c>
    </row>
    <row r="2228">
      <c r="A2228" s="1">
        <v>2226.0</v>
      </c>
      <c r="B2228" s="4" t="s">
        <v>3335</v>
      </c>
      <c r="C2228" s="5" t="str">
        <f>IFERROR(__xludf.DUMMYFUNCTION("GOOGLETRANSLATE(D:D,""auto"",""en"")"),"Japan's first appearance deaths")</f>
        <v>Japan's first appearance deaths</v>
      </c>
      <c r="D2228" s="4" t="s">
        <v>3370</v>
      </c>
      <c r="E2228" s="4">
        <v>0.0</v>
      </c>
      <c r="F2228" s="4">
        <v>27.0</v>
      </c>
      <c r="G2228" s="4" t="s">
        <v>3371</v>
      </c>
    </row>
    <row r="2229">
      <c r="A2229" s="1">
        <v>2227.0</v>
      </c>
      <c r="B2229" s="4" t="s">
        <v>3335</v>
      </c>
      <c r="C2229" s="5" t="str">
        <f>IFERROR(__xludf.DUMMYFUNCTION("GOOGLETRANSLATE(D:D,""auto"",""en"")"),"Hubei confirmed a total of over 50,000")</f>
        <v>Hubei confirmed a total of over 50,000</v>
      </c>
      <c r="D2229" s="4" t="s">
        <v>3372</v>
      </c>
      <c r="E2229" s="4">
        <v>0.0</v>
      </c>
      <c r="F2229" s="4">
        <v>28.0</v>
      </c>
      <c r="G2229" s="4" t="s">
        <v>3373</v>
      </c>
    </row>
    <row r="2230">
      <c r="A2230" s="1">
        <v>2228.0</v>
      </c>
      <c r="B2230" s="4" t="s">
        <v>3335</v>
      </c>
      <c r="C2230" s="5" t="str">
        <f>IFERROR(__xludf.DUMMYFUNCTION("GOOGLETRANSLATE(D:D,""auto"",""en"")"),"Robert Shaw naturalization China")</f>
        <v>Robert Shaw naturalization China</v>
      </c>
      <c r="D2230" s="4" t="s">
        <v>3374</v>
      </c>
      <c r="E2230" s="4">
        <v>0.0</v>
      </c>
      <c r="F2230" s="4">
        <v>29.0</v>
      </c>
      <c r="G2230" s="4" t="s">
        <v>3375</v>
      </c>
    </row>
    <row r="2231">
      <c r="A2231" s="1">
        <v>2229.0</v>
      </c>
      <c r="B2231" s="4" t="s">
        <v>3335</v>
      </c>
      <c r="C2231" s="5" t="str">
        <f>IFERROR(__xludf.DUMMYFUNCTION("GOOGLETRANSLATE(D:D,""auto"",""en"")"),"Yuan Longping donate 200 tons of rice")</f>
        <v>Yuan Longping donate 200 tons of rice</v>
      </c>
      <c r="D2231" s="4" t="s">
        <v>3376</v>
      </c>
      <c r="E2231" s="4">
        <v>0.0</v>
      </c>
      <c r="F2231" s="4">
        <v>30.0</v>
      </c>
      <c r="G2231" s="4" t="s">
        <v>3377</v>
      </c>
    </row>
    <row r="2232">
      <c r="A2232" s="1">
        <v>2230.0</v>
      </c>
      <c r="B2232" s="4" t="s">
        <v>3335</v>
      </c>
      <c r="C2232" s="5" t="str">
        <f>IFERROR(__xludf.DUMMYFUNCTION("GOOGLETRANSLATE(D:D,""auto"",""en"")"),"Hubei new surge interpretation")</f>
        <v>Hubei new surge interpretation</v>
      </c>
      <c r="D2232" s="4" t="s">
        <v>3283</v>
      </c>
      <c r="E2232" s="4">
        <v>0.0</v>
      </c>
      <c r="F2232" s="4">
        <v>31.0</v>
      </c>
      <c r="G2232" s="4" t="s">
        <v>3284</v>
      </c>
    </row>
    <row r="2233">
      <c r="A2233" s="1">
        <v>2231.0</v>
      </c>
      <c r="B2233" s="4" t="s">
        <v>3335</v>
      </c>
      <c r="C2233" s="5" t="str">
        <f>IFERROR(__xludf.DUMMYFUNCTION("GOOGLETRANSLATE(D:D,""auto"",""en"")"),"A couple dozen medical personnel sentenced")</f>
        <v>A couple dozen medical personnel sentenced</v>
      </c>
      <c r="D2233" s="4" t="s">
        <v>3378</v>
      </c>
      <c r="E2233" s="4">
        <v>0.0</v>
      </c>
      <c r="F2233" s="4">
        <v>32.0</v>
      </c>
      <c r="G2233" s="4" t="s">
        <v>3379</v>
      </c>
    </row>
    <row r="2234">
      <c r="A2234" s="1">
        <v>2232.0</v>
      </c>
      <c r="B2234" s="4" t="s">
        <v>3335</v>
      </c>
      <c r="C2234" s="5" t="str">
        <f>IFERROR(__xludf.DUMMYFUNCTION("GOOGLETRANSLATE(D:D,""auto"",""en"")"),"Ge Hui Jie Wang Feng issued innuendo")</f>
        <v>Ge Hui Jie Wang Feng issued innuendo</v>
      </c>
      <c r="D2234" s="4" t="s">
        <v>3323</v>
      </c>
      <c r="E2234" s="4">
        <v>0.0</v>
      </c>
      <c r="F2234" s="4">
        <v>33.0</v>
      </c>
      <c r="G2234" s="4" t="s">
        <v>3324</v>
      </c>
    </row>
    <row r="2235">
      <c r="A2235" s="1">
        <v>2233.0</v>
      </c>
      <c r="B2235" s="4" t="s">
        <v>3335</v>
      </c>
      <c r="C2235" s="5" t="str">
        <f>IFERROR(__xludf.DUMMYFUNCTION("GOOGLETRANSLATE(D:D,""auto"",""en"")"),"South America is now the largest in the history of shell")</f>
        <v>South America is now the largest in the history of shell</v>
      </c>
      <c r="D2235" s="4" t="s">
        <v>3380</v>
      </c>
      <c r="E2235" s="4">
        <v>0.0</v>
      </c>
      <c r="F2235" s="4">
        <v>34.0</v>
      </c>
      <c r="G2235" s="4" t="s">
        <v>3381</v>
      </c>
    </row>
    <row r="2236">
      <c r="A2236" s="1">
        <v>2234.0</v>
      </c>
      <c r="B2236" s="4" t="s">
        <v>3335</v>
      </c>
      <c r="C2236" s="5" t="str">
        <f>IFERROR(__xludf.DUMMYFUNCTION("GOOGLETRANSLATE(D:D,""auto"",""en"")"),"Retrograde who love the fight against SARS")</f>
        <v>Retrograde who love the fight against SARS</v>
      </c>
      <c r="D2236" s="4" t="s">
        <v>3382</v>
      </c>
      <c r="E2236" s="4">
        <v>0.0</v>
      </c>
      <c r="F2236" s="4">
        <v>35.0</v>
      </c>
      <c r="G2236" s="4" t="s">
        <v>3383</v>
      </c>
    </row>
    <row r="2237">
      <c r="A2237" s="1">
        <v>2235.0</v>
      </c>
      <c r="B2237" s="4" t="s">
        <v>3335</v>
      </c>
      <c r="C2237" s="5" t="str">
        <f>IFERROR(__xludf.DUMMYFUNCTION("GOOGLETRANSLATE(D:D,""auto"",""en"")"),"Song Yi denied that do not fit epidemic prevention")</f>
        <v>Song Yi denied that do not fit epidemic prevention</v>
      </c>
      <c r="D2237" s="4" t="s">
        <v>3384</v>
      </c>
      <c r="E2237" s="4">
        <v>0.0</v>
      </c>
      <c r="F2237" s="4">
        <v>36.0</v>
      </c>
      <c r="G2237" s="4" t="s">
        <v>3385</v>
      </c>
    </row>
    <row r="2238">
      <c r="A2238" s="1">
        <v>2236.0</v>
      </c>
      <c r="B2238" s="4" t="s">
        <v>3335</v>
      </c>
      <c r="C2238" s="5" t="str">
        <f>IFERROR(__xludf.DUMMYFUNCTION("GOOGLETRANSLATE(D:D,""auto"",""en"")"),"Australia and the fire was finally extinguished")</f>
        <v>Australia and the fire was finally extinguished</v>
      </c>
      <c r="D2238" s="4" t="s">
        <v>3386</v>
      </c>
      <c r="E2238" s="4">
        <v>0.0</v>
      </c>
      <c r="F2238" s="4">
        <v>37.0</v>
      </c>
      <c r="G2238" s="4" t="s">
        <v>3387</v>
      </c>
    </row>
    <row r="2239">
      <c r="A2239" s="1">
        <v>2237.0</v>
      </c>
      <c r="B2239" s="4" t="s">
        <v>3335</v>
      </c>
      <c r="C2239" s="5" t="str">
        <f>IFERROR(__xludf.DUMMYFUNCTION("GOOGLETRANSLATE(D:D,""auto"",""en"")"),"Lifted home quarantine after diagnosis")</f>
        <v>Lifted home quarantine after diagnosis</v>
      </c>
      <c r="D2239" s="4" t="s">
        <v>3279</v>
      </c>
      <c r="E2239" s="4">
        <v>0.0</v>
      </c>
      <c r="F2239" s="4">
        <v>38.0</v>
      </c>
      <c r="G2239" s="4" t="s">
        <v>3280</v>
      </c>
    </row>
    <row r="2240">
      <c r="A2240" s="1">
        <v>2238.0</v>
      </c>
      <c r="B2240" s="4" t="s">
        <v>3335</v>
      </c>
      <c r="C2240" s="5" t="str">
        <f>IFERROR(__xludf.DUMMYFUNCTION("GOOGLETRANSLATE(D:D,""auto"",""en"")"),"Calls for the rehabilitation of patients donate plasma")</f>
        <v>Calls for the rehabilitation of patients donate plasma</v>
      </c>
      <c r="D2240" s="4" t="s">
        <v>3388</v>
      </c>
      <c r="E2240" s="4">
        <v>0.0</v>
      </c>
      <c r="F2240" s="4">
        <v>39.0</v>
      </c>
      <c r="G2240" s="4" t="s">
        <v>3389</v>
      </c>
    </row>
    <row r="2241">
      <c r="A2241" s="1">
        <v>2239.0</v>
      </c>
      <c r="B2241" s="4" t="s">
        <v>3335</v>
      </c>
      <c r="C2241" s="5" t="str">
        <f>IFERROR(__xludf.DUMMYFUNCTION("GOOGLETRANSLATE(D:D,""auto"",""en"")"),"5.2 earthquake occurred in Japan")</f>
        <v>5.2 earthquake occurred in Japan</v>
      </c>
      <c r="D2241" s="4" t="s">
        <v>3260</v>
      </c>
      <c r="E2241" s="4">
        <v>0.0</v>
      </c>
      <c r="F2241" s="4">
        <v>40.0</v>
      </c>
      <c r="G2241" s="4" t="s">
        <v>3261</v>
      </c>
    </row>
    <row r="2242">
      <c r="A2242" s="1">
        <v>2240.0</v>
      </c>
      <c r="B2242" s="4" t="s">
        <v>3335</v>
      </c>
      <c r="C2242" s="5" t="str">
        <f>IFERROR(__xludf.DUMMYFUNCTION("GOOGLETRANSLATE(D:D,""auto"",""en"")"),"Japanese quarantine officer wipe infection")</f>
        <v>Japanese quarantine officer wipe infection</v>
      </c>
      <c r="D2242" s="4" t="s">
        <v>3390</v>
      </c>
      <c r="E2242" s="4">
        <v>0.0</v>
      </c>
      <c r="F2242" s="4">
        <v>41.0</v>
      </c>
      <c r="G2242" s="4" t="s">
        <v>3391</v>
      </c>
    </row>
    <row r="2243">
      <c r="A2243" s="1">
        <v>2241.0</v>
      </c>
      <c r="B2243" s="4" t="s">
        <v>3335</v>
      </c>
      <c r="C2243" s="5" t="str">
        <f>IFERROR(__xludf.DUMMYFUNCTION("GOOGLETRANSLATE(D:D,""auto"",""en"")"),"Bieber contributions to China")</f>
        <v>Bieber contributions to China</v>
      </c>
      <c r="D2243" s="4" t="s">
        <v>3392</v>
      </c>
      <c r="E2243" s="4">
        <v>0.0</v>
      </c>
      <c r="F2243" s="4">
        <v>42.0</v>
      </c>
      <c r="G2243" s="4" t="s">
        <v>3393</v>
      </c>
    </row>
    <row r="2244">
      <c r="A2244" s="1">
        <v>2242.0</v>
      </c>
      <c r="B2244" s="4" t="s">
        <v>3335</v>
      </c>
      <c r="C2244" s="5" t="str">
        <f>IFERROR(__xludf.DUMMYFUNCTION("GOOGLETRANSLATE(D:D,""auto"",""en"")"),"Liaoning will meet strong snowfall")</f>
        <v>Liaoning will meet strong snowfall</v>
      </c>
      <c r="D2244" s="4" t="s">
        <v>3307</v>
      </c>
      <c r="E2244" s="4">
        <v>0.0</v>
      </c>
      <c r="F2244" s="4">
        <v>43.0</v>
      </c>
      <c r="G2244" s="4" t="s">
        <v>3308</v>
      </c>
    </row>
    <row r="2245">
      <c r="A2245" s="1">
        <v>2243.0</v>
      </c>
      <c r="B2245" s="4" t="s">
        <v>3335</v>
      </c>
      <c r="C2245" s="5" t="str">
        <f>IFERROR(__xludf.DUMMYFUNCTION("GOOGLETRANSLATE(D:D,""auto"",""en"")"),"The United States put the world's largest fireworks")</f>
        <v>The United States put the world's largest fireworks</v>
      </c>
      <c r="D2245" s="4" t="s">
        <v>3303</v>
      </c>
      <c r="E2245" s="4">
        <v>0.0</v>
      </c>
      <c r="F2245" s="4">
        <v>44.0</v>
      </c>
      <c r="G2245" s="4" t="s">
        <v>3304</v>
      </c>
    </row>
    <row r="2246">
      <c r="A2246" s="1">
        <v>2244.0</v>
      </c>
      <c r="B2246" s="4" t="s">
        <v>3335</v>
      </c>
      <c r="C2246" s="5" t="str">
        <f>IFERROR(__xludf.DUMMYFUNCTION("GOOGLETRANSLATE(D:D,""auto"",""en"")"),"Women are diagnosed detection 5")</f>
        <v>Women are diagnosed detection 5</v>
      </c>
      <c r="D2246" s="4" t="s">
        <v>3305</v>
      </c>
      <c r="E2246" s="4">
        <v>0.0</v>
      </c>
      <c r="F2246" s="4">
        <v>45.0</v>
      </c>
      <c r="G2246" s="4" t="s">
        <v>3306</v>
      </c>
    </row>
    <row r="2247">
      <c r="A2247" s="1">
        <v>2245.0</v>
      </c>
      <c r="B2247" s="4" t="s">
        <v>3335</v>
      </c>
      <c r="C2247" s="5" t="str">
        <f>IFERROR(__xludf.DUMMYFUNCTION("GOOGLETRANSLATE(D:D,""auto"",""en"")"),"Hubei plans to build a hospital emergency")</f>
        <v>Hubei plans to build a hospital emergency</v>
      </c>
      <c r="D2247" s="4" t="s">
        <v>3277</v>
      </c>
      <c r="E2247" s="4">
        <v>0.0</v>
      </c>
      <c r="F2247" s="4">
        <v>46.0</v>
      </c>
      <c r="G2247" s="4" t="s">
        <v>3278</v>
      </c>
    </row>
    <row r="2248">
      <c r="A2248" s="1">
        <v>2246.0</v>
      </c>
      <c r="B2248" s="4" t="s">
        <v>3335</v>
      </c>
      <c r="C2248" s="5" t="str">
        <f>IFERROR(__xludf.DUMMYFUNCTION("GOOGLETRANSLATE(D:D,""auto"",""en"")"),"Li Zi Meng bow to read my statement")</f>
        <v>Li Zi Meng bow to read my statement</v>
      </c>
      <c r="D2248" s="4" t="s">
        <v>3242</v>
      </c>
      <c r="E2248" s="4">
        <v>0.0</v>
      </c>
      <c r="F2248" s="4">
        <v>47.0</v>
      </c>
      <c r="G2248" s="4" t="s">
        <v>3243</v>
      </c>
    </row>
    <row r="2249">
      <c r="A2249" s="1">
        <v>2247.0</v>
      </c>
      <c r="B2249" s="4" t="s">
        <v>3335</v>
      </c>
      <c r="C2249" s="5" t="str">
        <f>IFERROR(__xludf.DUMMYFUNCTION("GOOGLETRANSLATE(D:D,""auto"",""en"")"),"Ministry of Education, in response to the college entrance examination postponed")</f>
        <v>Ministry of Education, in response to the college entrance examination postponed</v>
      </c>
      <c r="D2249" s="4" t="s">
        <v>3230</v>
      </c>
      <c r="E2249" s="4">
        <v>0.0</v>
      </c>
      <c r="F2249" s="4">
        <v>48.0</v>
      </c>
      <c r="G2249" s="4" t="s">
        <v>3231</v>
      </c>
    </row>
    <row r="2250">
      <c r="A2250" s="1">
        <v>2248.0</v>
      </c>
      <c r="B2250" s="4" t="s">
        <v>3335</v>
      </c>
      <c r="C2250" s="5" t="str">
        <f>IFERROR(__xludf.DUMMYFUNCTION("GOOGLETRANSLATE(D:D,""auto"",""en"")"),"Beijing will welcome local Blizzard")</f>
        <v>Beijing will welcome local Blizzard</v>
      </c>
      <c r="D2250" s="4" t="s">
        <v>3240</v>
      </c>
      <c r="E2250" s="4">
        <v>0.0</v>
      </c>
      <c r="F2250" s="4">
        <v>49.0</v>
      </c>
      <c r="G2250" s="4" t="s">
        <v>3241</v>
      </c>
    </row>
    <row r="2251">
      <c r="A2251" s="1">
        <v>2249.0</v>
      </c>
      <c r="B2251" s="4" t="s">
        <v>3335</v>
      </c>
      <c r="C2251" s="5" t="str">
        <f>IFERROR(__xludf.DUMMYFUNCTION("GOOGLETRANSLATE(D:D,""auto"",""en"")"),"Inflatable clothing worn doctor giraffe")</f>
        <v>Inflatable clothing worn doctor giraffe</v>
      </c>
      <c r="D2251" s="4" t="s">
        <v>3394</v>
      </c>
      <c r="E2251" s="4">
        <v>0.0</v>
      </c>
      <c r="F2251" s="4">
        <v>50.0</v>
      </c>
      <c r="G2251" s="4" t="s">
        <v>3395</v>
      </c>
    </row>
    <row r="2252">
      <c r="A2252" s="1">
        <v>2250.0</v>
      </c>
      <c r="B2252" s="4" t="s">
        <v>3396</v>
      </c>
      <c r="C2252" s="5" t="str">
        <f>IFERROR(__xludf.DUMMYFUNCTION("GOOGLETRANSLATE(D:D,""auto"",""en"")"),"Yuan Longping donate 200 tons of rice")</f>
        <v>Yuan Longping donate 200 tons of rice</v>
      </c>
      <c r="D2252" s="4" t="s">
        <v>3376</v>
      </c>
      <c r="E2252" s="4">
        <v>0.0</v>
      </c>
      <c r="F2252" s="4">
        <v>1.0</v>
      </c>
      <c r="G2252" s="4" t="s">
        <v>3377</v>
      </c>
    </row>
    <row r="2253">
      <c r="A2253" s="1">
        <v>2251.0</v>
      </c>
      <c r="B2253" s="4" t="s">
        <v>3396</v>
      </c>
      <c r="C2253" s="5" t="str">
        <f>IFERROR(__xludf.DUMMYFUNCTION("GOOGLETRANSLATE(D:D,""auto"",""en"")"),"Shanghai patient isolation caused 55 people")</f>
        <v>Shanghai patient isolation caused 55 people</v>
      </c>
      <c r="D2253" s="4" t="s">
        <v>3368</v>
      </c>
      <c r="E2253" s="4">
        <v>0.0</v>
      </c>
      <c r="F2253" s="4">
        <v>2.0</v>
      </c>
      <c r="G2253" s="4" t="s">
        <v>3369</v>
      </c>
    </row>
    <row r="2254">
      <c r="A2254" s="1">
        <v>2252.0</v>
      </c>
      <c r="B2254" s="4" t="s">
        <v>3396</v>
      </c>
      <c r="C2254" s="5" t="str">
        <f>IFERROR(__xludf.DUMMYFUNCTION("GOOGLETRANSLATE(D:D,""auto"",""en"")"),"Hospital school people were dismissed")</f>
        <v>Hospital school people were dismissed</v>
      </c>
      <c r="D2254" s="4" t="s">
        <v>3354</v>
      </c>
      <c r="E2254" s="4">
        <v>0.0</v>
      </c>
      <c r="F2254" s="4">
        <v>3.0</v>
      </c>
      <c r="G2254" s="4" t="s">
        <v>3355</v>
      </c>
    </row>
    <row r="2255">
      <c r="A2255" s="1">
        <v>2253.0</v>
      </c>
      <c r="B2255" s="4" t="s">
        <v>3396</v>
      </c>
      <c r="C2255" s="5" t="str">
        <f>IFERROR(__xludf.DUMMYFUNCTION("GOOGLETRANSLATE(D:D,""auto"",""en"")"),"Hubei new non-fall of 11 days")</f>
        <v>Hubei new non-fall of 11 days</v>
      </c>
      <c r="D2255" s="4" t="s">
        <v>3397</v>
      </c>
      <c r="E2255" s="4">
        <v>0.0</v>
      </c>
      <c r="F2255" s="4">
        <v>4.0</v>
      </c>
      <c r="G2255" s="4" t="s">
        <v>3398</v>
      </c>
    </row>
    <row r="2256">
      <c r="A2256" s="1">
        <v>2254.0</v>
      </c>
      <c r="B2256" s="4" t="s">
        <v>3396</v>
      </c>
      <c r="C2256" s="5" t="str">
        <f>IFERROR(__xludf.DUMMYFUNCTION("GOOGLETRANSLATE(D:D,""auto"",""en"")"),"Hair can not easily be eliminated")</f>
        <v>Hair can not easily be eliminated</v>
      </c>
      <c r="D2256" s="4" t="s">
        <v>3399</v>
      </c>
      <c r="E2256" s="4">
        <v>0.0</v>
      </c>
      <c r="F2256" s="4">
        <v>5.0</v>
      </c>
      <c r="G2256" s="4" t="s">
        <v>3400</v>
      </c>
    </row>
    <row r="2257">
      <c r="A2257" s="1">
        <v>2255.0</v>
      </c>
      <c r="B2257" s="4" t="s">
        <v>3396</v>
      </c>
      <c r="C2257" s="5" t="str">
        <f>IFERROR(__xludf.DUMMYFUNCTION("GOOGLETRANSLATE(D:D,""auto"",""en"")"),"Hubei Ji fever employees return to work")</f>
        <v>Hubei Ji fever employees return to work</v>
      </c>
      <c r="D2257" s="4" t="s">
        <v>3401</v>
      </c>
      <c r="E2257" s="4">
        <v>0.0</v>
      </c>
      <c r="F2257" s="4">
        <v>6.0</v>
      </c>
      <c r="G2257" s="4" t="s">
        <v>3402</v>
      </c>
    </row>
    <row r="2258">
      <c r="A2258" s="1">
        <v>2256.0</v>
      </c>
      <c r="B2258" s="4" t="s">
        <v>3396</v>
      </c>
      <c r="C2258" s="5" t="str">
        <f>IFERROR(__xludf.DUMMYFUNCTION("GOOGLETRANSLATE(D:D,""auto"",""en"")"),"Han Foundation Flagged")</f>
        <v>Han Foundation Flagged</v>
      </c>
      <c r="D2258" s="4" t="s">
        <v>3403</v>
      </c>
      <c r="E2258" s="4">
        <v>0.0</v>
      </c>
      <c r="F2258" s="4">
        <v>7.0</v>
      </c>
      <c r="G2258" s="4" t="s">
        <v>3404</v>
      </c>
    </row>
    <row r="2259">
      <c r="A2259" s="1">
        <v>2257.0</v>
      </c>
      <c r="B2259" s="4" t="s">
        <v>3396</v>
      </c>
      <c r="C2259" s="5" t="str">
        <f>IFERROR(__xludf.DUMMYFUNCTION("GOOGLETRANSLATE(D:D,""auto"",""en"")"),"Zhejiang strongest medical team arrived in Wuhan")</f>
        <v>Zhejiang strongest medical team arrived in Wuhan</v>
      </c>
      <c r="D2259" s="4" t="s">
        <v>3405</v>
      </c>
      <c r="E2259" s="4">
        <v>0.0</v>
      </c>
      <c r="F2259" s="4">
        <v>8.0</v>
      </c>
      <c r="G2259" s="4" t="s">
        <v>3406</v>
      </c>
    </row>
    <row r="2260">
      <c r="A2260" s="1">
        <v>2258.0</v>
      </c>
      <c r="B2260" s="4" t="s">
        <v>3396</v>
      </c>
      <c r="C2260" s="5" t="str">
        <f>IFERROR(__xludf.DUMMYFUNCTION("GOOGLETRANSLATE(D:D,""auto"",""en"")"),"Xiaogan Huanggang cases rising fast")</f>
        <v>Xiaogan Huanggang cases rising fast</v>
      </c>
      <c r="D2260" s="4" t="s">
        <v>3407</v>
      </c>
      <c r="E2260" s="4">
        <v>0.0</v>
      </c>
      <c r="F2260" s="4">
        <v>9.0</v>
      </c>
      <c r="G2260" s="4" t="s">
        <v>3408</v>
      </c>
    </row>
    <row r="2261">
      <c r="A2261" s="1">
        <v>2259.0</v>
      </c>
      <c r="B2261" s="4" t="s">
        <v>3396</v>
      </c>
      <c r="C2261" s="5" t="str">
        <f>IFERROR(__xludf.DUMMYFUNCTION("GOOGLETRANSLATE(D:D,""auto"",""en"")"),"Experts explain the inflammatory storm")</f>
        <v>Experts explain the inflammatory storm</v>
      </c>
      <c r="D2261" s="4" t="s">
        <v>3409</v>
      </c>
      <c r="E2261" s="4">
        <v>0.0</v>
      </c>
      <c r="F2261" s="4">
        <v>10.0</v>
      </c>
      <c r="G2261" s="4" t="s">
        <v>3410</v>
      </c>
    </row>
    <row r="2262">
      <c r="A2262" s="1">
        <v>2260.0</v>
      </c>
      <c r="B2262" s="4" t="s">
        <v>3396</v>
      </c>
      <c r="C2262" s="5" t="str">
        <f>IFERROR(__xludf.DUMMYFUNCTION("GOOGLETRANSLATE(D:D,""auto"",""en"")"),"Primate now the new crown symptoms")</f>
        <v>Primate now the new crown symptoms</v>
      </c>
      <c r="D2262" s="4" t="s">
        <v>3411</v>
      </c>
      <c r="E2262" s="4">
        <v>0.0</v>
      </c>
      <c r="F2262" s="4">
        <v>11.0</v>
      </c>
      <c r="G2262" s="4" t="s">
        <v>3412</v>
      </c>
    </row>
    <row r="2263">
      <c r="A2263" s="1">
        <v>2261.0</v>
      </c>
      <c r="B2263" s="4" t="s">
        <v>3396</v>
      </c>
      <c r="C2263" s="5" t="str">
        <f>IFERROR(__xludf.DUMMYFUNCTION("GOOGLETRANSLATE(D:D,""auto"",""en"")"),"Jingzhou hyun apologized man father")</f>
        <v>Jingzhou hyun apologized man father</v>
      </c>
      <c r="D2263" s="4" t="s">
        <v>3413</v>
      </c>
      <c r="E2263" s="4">
        <v>0.0</v>
      </c>
      <c r="F2263" s="4">
        <v>12.0</v>
      </c>
      <c r="G2263" s="4" t="s">
        <v>3414</v>
      </c>
    </row>
    <row r="2264">
      <c r="A2264" s="1">
        <v>2262.0</v>
      </c>
      <c r="B2264" s="4" t="s">
        <v>3396</v>
      </c>
      <c r="C2264" s="5" t="str">
        <f>IFERROR(__xludf.DUMMYFUNCTION("GOOGLETRANSLATE(D:D,""auto"",""en"")"),"Hualien County, Taiwan earthquake")</f>
        <v>Hualien County, Taiwan earthquake</v>
      </c>
      <c r="D2264" s="4" t="s">
        <v>3415</v>
      </c>
      <c r="E2264" s="4">
        <v>0.0</v>
      </c>
      <c r="F2264" s="4">
        <v>13.0</v>
      </c>
      <c r="G2264" s="4" t="s">
        <v>3416</v>
      </c>
    </row>
    <row r="2265">
      <c r="A2265" s="1">
        <v>2263.0</v>
      </c>
      <c r="B2265" s="4" t="s">
        <v>3396</v>
      </c>
      <c r="C2265" s="5" t="str">
        <f>IFERROR(__xludf.DUMMYFUNCTION("GOOGLETRANSLATE(D:D,""auto"",""en"")"),"France's first deaths")</f>
        <v>France's first deaths</v>
      </c>
      <c r="D2265" s="4" t="s">
        <v>3417</v>
      </c>
      <c r="E2265" s="4">
        <v>0.0</v>
      </c>
      <c r="F2265" s="4">
        <v>14.0</v>
      </c>
      <c r="G2265" s="4" t="s">
        <v>3418</v>
      </c>
    </row>
    <row r="2266">
      <c r="A2266" s="1">
        <v>2264.0</v>
      </c>
      <c r="B2266" s="4" t="s">
        <v>3396</v>
      </c>
      <c r="C2266" s="5" t="str">
        <f>IFERROR(__xludf.DUMMYFUNCTION("GOOGLETRANSLATE(D:D,""auto"",""en"")"),"Garbage Enzyme can not be disinfected")</f>
        <v>Garbage Enzyme can not be disinfected</v>
      </c>
      <c r="D2266" s="4" t="s">
        <v>3419</v>
      </c>
      <c r="E2266" s="4">
        <v>0.0</v>
      </c>
      <c r="F2266" s="4">
        <v>15.0</v>
      </c>
      <c r="G2266" s="4" t="s">
        <v>3420</v>
      </c>
    </row>
    <row r="2267">
      <c r="A2267" s="1">
        <v>2265.0</v>
      </c>
      <c r="B2267" s="4" t="s">
        <v>3396</v>
      </c>
      <c r="C2267" s="5" t="str">
        <f>IFERROR(__xludf.DUMMYFUNCTION("GOOGLETRANSLATE(D:D,""auto"",""en"")"),"National toll roads free")</f>
        <v>National toll roads free</v>
      </c>
      <c r="D2267" s="4" t="s">
        <v>3421</v>
      </c>
      <c r="E2267" s="4">
        <v>0.0</v>
      </c>
      <c r="F2267" s="4">
        <v>16.0</v>
      </c>
      <c r="G2267" s="4" t="s">
        <v>3422</v>
      </c>
    </row>
    <row r="2268">
      <c r="A2268" s="1">
        <v>2266.0</v>
      </c>
      <c r="B2268" s="4" t="s">
        <v>3396</v>
      </c>
      <c r="C2268" s="5" t="str">
        <f>IFERROR(__xludf.DUMMYFUNCTION("GOOGLETRANSLATE(D:D,""auto"",""en"")"),"Experts on drug development difficulties")</f>
        <v>Experts on drug development difficulties</v>
      </c>
      <c r="D2268" s="4" t="s">
        <v>3423</v>
      </c>
      <c r="E2268" s="4">
        <v>0.0</v>
      </c>
      <c r="F2268" s="4">
        <v>17.0</v>
      </c>
      <c r="G2268" s="4" t="s">
        <v>3424</v>
      </c>
    </row>
    <row r="2269">
      <c r="A2269" s="1">
        <v>2267.0</v>
      </c>
      <c r="B2269" s="4" t="s">
        <v>3396</v>
      </c>
      <c r="C2269" s="5" t="str">
        <f>IFERROR(__xludf.DUMMYFUNCTION("GOOGLETRANSLATE(D:D,""auto"",""en"")"),"Inner Mongolia now wonders sundog")</f>
        <v>Inner Mongolia now wonders sundog</v>
      </c>
      <c r="D2269" s="4" t="s">
        <v>3425</v>
      </c>
      <c r="E2269" s="4">
        <v>0.0</v>
      </c>
      <c r="F2269" s="4">
        <v>18.0</v>
      </c>
      <c r="G2269" s="4" t="s">
        <v>3426</v>
      </c>
    </row>
    <row r="2270">
      <c r="A2270" s="1">
        <v>2268.0</v>
      </c>
      <c r="B2270" s="4" t="s">
        <v>3396</v>
      </c>
      <c r="C2270" s="5" t="str">
        <f>IFERROR(__xludf.DUMMYFUNCTION("GOOGLETRANSLATE(D:D,""auto"",""en"")"),"Pneumonia No. 1 officially announced")</f>
        <v>Pneumonia No. 1 officially announced</v>
      </c>
      <c r="D2270" s="4" t="s">
        <v>3352</v>
      </c>
      <c r="E2270" s="4">
        <v>0.0</v>
      </c>
      <c r="F2270" s="4">
        <v>19.0</v>
      </c>
      <c r="G2270" s="4" t="s">
        <v>3353</v>
      </c>
    </row>
    <row r="2271">
      <c r="A2271" s="1">
        <v>2269.0</v>
      </c>
      <c r="B2271" s="4" t="s">
        <v>3396</v>
      </c>
      <c r="C2271" s="5" t="str">
        <f>IFERROR(__xludf.DUMMYFUNCTION("GOOGLETRANSLATE(D:D,""auto"",""en"")"),"Experts on the risk of a mask with valve")</f>
        <v>Experts on the risk of a mask with valve</v>
      </c>
      <c r="D2271" s="4" t="s">
        <v>3364</v>
      </c>
      <c r="E2271" s="4">
        <v>0.0</v>
      </c>
      <c r="F2271" s="4">
        <v>20.0</v>
      </c>
      <c r="G2271" s="4" t="s">
        <v>3365</v>
      </c>
    </row>
    <row r="2272">
      <c r="A2272" s="1">
        <v>2270.0</v>
      </c>
      <c r="B2272" s="4" t="s">
        <v>3396</v>
      </c>
      <c r="C2272" s="5" t="str">
        <f>IFERROR(__xludf.DUMMYFUNCTION("GOOGLETRANSLATE(D:D,""auto"",""en"")"),"Wuhan cliff-style cool")</f>
        <v>Wuhan cliff-style cool</v>
      </c>
      <c r="D2272" s="4" t="s">
        <v>3427</v>
      </c>
      <c r="E2272" s="4">
        <v>0.0</v>
      </c>
      <c r="F2272" s="4">
        <v>21.0</v>
      </c>
      <c r="G2272" s="4" t="s">
        <v>3428</v>
      </c>
    </row>
    <row r="2273">
      <c r="A2273" s="1">
        <v>2271.0</v>
      </c>
      <c r="B2273" s="4" t="s">
        <v>3396</v>
      </c>
      <c r="C2273" s="5" t="str">
        <f>IFERROR(__xludf.DUMMYFUNCTION("GOOGLETRANSLATE(D:D,""auto"",""en"")"),"Mao responded easily be eliminated")</f>
        <v>Mao responded easily be eliminated</v>
      </c>
      <c r="D2273" s="4" t="s">
        <v>3429</v>
      </c>
      <c r="E2273" s="4">
        <v>0.0</v>
      </c>
      <c r="F2273" s="4">
        <v>22.0</v>
      </c>
      <c r="G2273" s="4" t="s">
        <v>3430</v>
      </c>
    </row>
    <row r="2274">
      <c r="A2274" s="1">
        <v>2272.0</v>
      </c>
      <c r="B2274" s="4" t="s">
        <v>3396</v>
      </c>
      <c r="C2274" s="5" t="str">
        <f>IFERROR(__xludf.DUMMYFUNCTION("GOOGLETRANSLATE(D:D,""auto"",""en"")"),"Ban's fever by means of transport")</f>
        <v>Ban's fever by means of transport</v>
      </c>
      <c r="D2274" s="4" t="s">
        <v>3431</v>
      </c>
      <c r="E2274" s="4">
        <v>0.0</v>
      </c>
      <c r="F2274" s="4">
        <v>23.0</v>
      </c>
      <c r="G2274" s="4" t="s">
        <v>3432</v>
      </c>
    </row>
    <row r="2275">
      <c r="A2275" s="1">
        <v>2273.0</v>
      </c>
      <c r="B2275" s="4" t="s">
        <v>3396</v>
      </c>
      <c r="C2275" s="5" t="str">
        <f>IFERROR(__xludf.DUMMYFUNCTION("GOOGLETRANSLATE(D:D,""auto"",""en"")"),"Yuan Shanshan heavily armed grocery shopping")</f>
        <v>Yuan Shanshan heavily armed grocery shopping</v>
      </c>
      <c r="D2275" s="4" t="s">
        <v>3433</v>
      </c>
      <c r="E2275" s="4">
        <v>0.0</v>
      </c>
      <c r="F2275" s="4">
        <v>24.0</v>
      </c>
      <c r="G2275" s="4" t="s">
        <v>3434</v>
      </c>
    </row>
    <row r="2276">
      <c r="A2276" s="1">
        <v>2274.0</v>
      </c>
      <c r="B2276" s="4" t="s">
        <v>3396</v>
      </c>
      <c r="C2276" s="5" t="str">
        <f>IFERROR(__xludf.DUMMYFUNCTION("GOOGLETRANSLATE(D:D,""auto"",""en"")"),"Ie cure taken away by police")</f>
        <v>Ie cure taken away by police</v>
      </c>
      <c r="D2276" s="4" t="s">
        <v>3435</v>
      </c>
      <c r="E2276" s="4">
        <v>0.0</v>
      </c>
      <c r="F2276" s="4">
        <v>25.0</v>
      </c>
      <c r="G2276" s="4" t="s">
        <v>3436</v>
      </c>
    </row>
    <row r="2277">
      <c r="A2277" s="1">
        <v>2275.0</v>
      </c>
      <c r="B2277" s="4" t="s">
        <v>3396</v>
      </c>
      <c r="C2277" s="5" t="str">
        <f>IFERROR(__xludf.DUMMYFUNCTION("GOOGLETRANSLATE(D:D,""auto"",""en"")"),"Song Yi denied that do not fit epidemic prevention")</f>
        <v>Song Yi denied that do not fit epidemic prevention</v>
      </c>
      <c r="D2277" s="4" t="s">
        <v>3384</v>
      </c>
      <c r="E2277" s="4">
        <v>0.0</v>
      </c>
      <c r="F2277" s="4">
        <v>26.0</v>
      </c>
      <c r="G2277" s="4" t="s">
        <v>3385</v>
      </c>
    </row>
    <row r="2278">
      <c r="A2278" s="1">
        <v>2276.0</v>
      </c>
      <c r="B2278" s="4" t="s">
        <v>3396</v>
      </c>
      <c r="C2278" s="5" t="str">
        <f>IFERROR(__xludf.DUMMYFUNCTION("GOOGLETRANSLATE(D:D,""auto"",""en"")"),"Tianjin mother and daughter returned home after diagnosis")</f>
        <v>Tianjin mother and daughter returned home after diagnosis</v>
      </c>
      <c r="D2278" s="4" t="s">
        <v>3437</v>
      </c>
      <c r="E2278" s="4">
        <v>0.0</v>
      </c>
      <c r="F2278" s="4">
        <v>27.0</v>
      </c>
      <c r="G2278" s="4" t="s">
        <v>3438</v>
      </c>
    </row>
    <row r="2279">
      <c r="A2279" s="1">
        <v>2277.0</v>
      </c>
      <c r="B2279" s="4" t="s">
        <v>3396</v>
      </c>
      <c r="C2279" s="5" t="str">
        <f>IFERROR(__xludf.DUMMYFUNCTION("GOOGLETRANSLATE(D:D,""auto"",""en"")"),"Japanese quarantine officer wipe infection")</f>
        <v>Japanese quarantine officer wipe infection</v>
      </c>
      <c r="D2279" s="4" t="s">
        <v>3390</v>
      </c>
      <c r="E2279" s="4">
        <v>0.0</v>
      </c>
      <c r="F2279" s="4">
        <v>28.0</v>
      </c>
      <c r="G2279" s="4" t="s">
        <v>3391</v>
      </c>
    </row>
    <row r="2280">
      <c r="A2280" s="1">
        <v>2278.0</v>
      </c>
      <c r="B2280" s="4" t="s">
        <v>3396</v>
      </c>
      <c r="C2280" s="5" t="str">
        <f>IFERROR(__xludf.DUMMYFUNCTION("GOOGLETRANSLATE(D:D,""auto"",""en"")"),"More than Wuhan cadres to be held accountable")</f>
        <v>More than Wuhan cadres to be held accountable</v>
      </c>
      <c r="D2280" s="4" t="s">
        <v>3439</v>
      </c>
      <c r="E2280" s="4">
        <v>0.0</v>
      </c>
      <c r="F2280" s="4">
        <v>29.0</v>
      </c>
      <c r="G2280" s="4" t="s">
        <v>3440</v>
      </c>
    </row>
    <row r="2281">
      <c r="A2281" s="1">
        <v>2279.0</v>
      </c>
      <c r="B2281" s="4" t="s">
        <v>3396</v>
      </c>
      <c r="C2281" s="5" t="str">
        <f>IFERROR(__xludf.DUMMYFUNCTION("GOOGLETRANSLATE(D:D,""auto"",""en"")"),"Inflatable clothing worn doctor giraffe")</f>
        <v>Inflatable clothing worn doctor giraffe</v>
      </c>
      <c r="D2281" s="4" t="s">
        <v>3394</v>
      </c>
      <c r="E2281" s="4">
        <v>0.0</v>
      </c>
      <c r="F2281" s="4">
        <v>30.0</v>
      </c>
      <c r="G2281" s="4" t="s">
        <v>3395</v>
      </c>
    </row>
    <row r="2282">
      <c r="A2282" s="1">
        <v>2280.0</v>
      </c>
      <c r="B2282" s="4" t="s">
        <v>3396</v>
      </c>
      <c r="C2282" s="5" t="str">
        <f>IFERROR(__xludf.DUMMYFUNCTION("GOOGLETRANSLATE(D:D,""auto"",""en"")"),"Manchester City was suspended for the war in Europe")</f>
        <v>Manchester City was suspended for the war in Europe</v>
      </c>
      <c r="D2282" s="4" t="s">
        <v>3441</v>
      </c>
      <c r="E2282" s="4">
        <v>0.0</v>
      </c>
      <c r="F2282" s="4">
        <v>31.0</v>
      </c>
      <c r="G2282" s="4" t="s">
        <v>3442</v>
      </c>
    </row>
    <row r="2283">
      <c r="A2283" s="1">
        <v>2281.0</v>
      </c>
      <c r="B2283" s="4" t="s">
        <v>3396</v>
      </c>
      <c r="C2283" s="5" t="str">
        <f>IFERROR(__xludf.DUMMYFUNCTION("GOOGLETRANSLATE(D:D,""auto"",""en"")"),"Jiangxi cancel high-speed quarantine point")</f>
        <v>Jiangxi cancel high-speed quarantine point</v>
      </c>
      <c r="D2283" s="4" t="s">
        <v>3443</v>
      </c>
      <c r="E2283" s="4">
        <v>0.0</v>
      </c>
      <c r="F2283" s="4">
        <v>32.0</v>
      </c>
      <c r="G2283" s="4" t="s">
        <v>3444</v>
      </c>
    </row>
    <row r="2284">
      <c r="A2284" s="1">
        <v>2282.0</v>
      </c>
      <c r="B2284" s="4" t="s">
        <v>3396</v>
      </c>
      <c r="C2284" s="5" t="str">
        <f>IFERROR(__xludf.DUMMYFUNCTION("GOOGLETRANSLATE(D:D,""auto"",""en"")"),"Song Xuehuai pregnant mentioned breaking up")</f>
        <v>Song Xuehuai pregnant mentioned breaking up</v>
      </c>
      <c r="D2284" s="4" t="s">
        <v>3445</v>
      </c>
      <c r="E2284" s="4">
        <v>0.0</v>
      </c>
      <c r="F2284" s="4">
        <v>33.0</v>
      </c>
      <c r="G2284" s="4" t="s">
        <v>3446</v>
      </c>
    </row>
    <row r="2285">
      <c r="A2285" s="1">
        <v>2283.0</v>
      </c>
      <c r="B2285" s="4" t="s">
        <v>3396</v>
      </c>
      <c r="C2285" s="5" t="str">
        <f>IFERROR(__xludf.DUMMYFUNCTION("GOOGLETRANSLATE(D:D,""auto"",""en"")"),"The new kit for rapid virus crown")</f>
        <v>The new kit for rapid virus crown</v>
      </c>
      <c r="D2285" s="4" t="s">
        <v>3447</v>
      </c>
      <c r="E2285" s="4">
        <v>0.0</v>
      </c>
      <c r="F2285" s="4">
        <v>34.0</v>
      </c>
      <c r="G2285" s="4" t="s">
        <v>3448</v>
      </c>
    </row>
    <row r="2286">
      <c r="A2286" s="1">
        <v>2284.0</v>
      </c>
      <c r="B2286" s="4" t="s">
        <v>3396</v>
      </c>
      <c r="C2286" s="5" t="str">
        <f>IFERROR(__xludf.DUMMYFUNCTION("GOOGLETRANSLATE(D:D,""auto"",""en"")"),"India, 3000 people have been isolated")</f>
        <v>India, 3000 people have been isolated</v>
      </c>
      <c r="D2286" s="4" t="s">
        <v>3449</v>
      </c>
      <c r="E2286" s="4">
        <v>0.0</v>
      </c>
      <c r="F2286" s="4">
        <v>35.0</v>
      </c>
      <c r="G2286" s="4" t="s">
        <v>3450</v>
      </c>
    </row>
    <row r="2287">
      <c r="A2287" s="1">
        <v>2285.0</v>
      </c>
      <c r="B2287" s="4" t="s">
        <v>3396</v>
      </c>
      <c r="C2287" s="5" t="str">
        <f>IFERROR(__xludf.DUMMYFUNCTION("GOOGLETRANSLATE(D:D,""auto"",""en"")"),"Chengdu snow")</f>
        <v>Chengdu snow</v>
      </c>
      <c r="D2287" s="4" t="s">
        <v>3451</v>
      </c>
      <c r="E2287" s="4">
        <v>0.0</v>
      </c>
      <c r="F2287" s="4">
        <v>36.0</v>
      </c>
      <c r="G2287" s="4" t="s">
        <v>3452</v>
      </c>
    </row>
    <row r="2288">
      <c r="A2288" s="1">
        <v>2286.0</v>
      </c>
      <c r="B2288" s="4" t="s">
        <v>3396</v>
      </c>
      <c r="C2288" s="5" t="str">
        <f>IFERROR(__xludf.DUMMYFUNCTION("GOOGLETRANSLATE(D:D,""auto"",""en"")"),"Sun Wenbin second instance upheld the death penalty")</f>
        <v>Sun Wenbin second instance upheld the death penalty</v>
      </c>
      <c r="D2288" s="4" t="s">
        <v>3453</v>
      </c>
      <c r="E2288" s="4">
        <v>0.0</v>
      </c>
      <c r="F2288" s="4">
        <v>37.0</v>
      </c>
      <c r="G2288" s="4" t="s">
        <v>3454</v>
      </c>
    </row>
    <row r="2289">
      <c r="A2289" s="1">
        <v>2287.0</v>
      </c>
      <c r="B2289" s="4" t="s">
        <v>3396</v>
      </c>
      <c r="C2289" s="5" t="str">
        <f>IFERROR(__xludf.DUMMYFUNCTION("GOOGLETRANSLATE(D:D,""auto"",""en"")"),"And more announced or shorten summer vacation")</f>
        <v>And more announced or shorten summer vacation</v>
      </c>
      <c r="D2289" s="4" t="s">
        <v>3455</v>
      </c>
      <c r="E2289" s="4">
        <v>0.0</v>
      </c>
      <c r="F2289" s="4">
        <v>38.0</v>
      </c>
      <c r="G2289" s="4" t="s">
        <v>3456</v>
      </c>
    </row>
    <row r="2290">
      <c r="A2290" s="1">
        <v>2288.0</v>
      </c>
      <c r="B2290" s="4" t="s">
        <v>3396</v>
      </c>
      <c r="C2290" s="5" t="str">
        <f>IFERROR(__xludf.DUMMYFUNCTION("GOOGLETRANSLATE(D:D,""auto"",""en"")"),"A total of 25,633 medical aid Hubei")</f>
        <v>A total of 25,633 medical aid Hubei</v>
      </c>
      <c r="D2290" s="4" t="s">
        <v>3457</v>
      </c>
      <c r="E2290" s="4">
        <v>0.0</v>
      </c>
      <c r="F2290" s="4">
        <v>39.0</v>
      </c>
      <c r="G2290" s="4" t="s">
        <v>3458</v>
      </c>
    </row>
    <row r="2291">
      <c r="A2291" s="1">
        <v>2289.0</v>
      </c>
      <c r="B2291" s="4" t="s">
        <v>3396</v>
      </c>
      <c r="C2291" s="5" t="str">
        <f>IFERROR(__xludf.DUMMYFUNCTION("GOOGLETRANSLATE(D:D,""auto"",""en"")"),"Mao is not easy to sing crying friends")</f>
        <v>Mao is not easy to sing crying friends</v>
      </c>
      <c r="D2291" s="4" t="s">
        <v>3459</v>
      </c>
      <c r="E2291" s="4">
        <v>0.0</v>
      </c>
      <c r="F2291" s="4">
        <v>40.0</v>
      </c>
      <c r="G2291" s="4" t="s">
        <v>3460</v>
      </c>
    </row>
    <row r="2292">
      <c r="A2292" s="1">
        <v>2290.0</v>
      </c>
      <c r="B2292" s="4" t="s">
        <v>3396</v>
      </c>
      <c r="C2292" s="5" t="str">
        <f>IFERROR(__xludf.DUMMYFUNCTION("GOOGLETRANSLATE(D:D,""auto"",""en"")"),"Antarctic temperatures of 20 degrees the first break")</f>
        <v>Antarctic temperatures of 20 degrees the first break</v>
      </c>
      <c r="D2292" s="4" t="s">
        <v>3461</v>
      </c>
      <c r="E2292" s="4">
        <v>0.0</v>
      </c>
      <c r="F2292" s="4">
        <v>41.0</v>
      </c>
      <c r="G2292" s="4" t="s">
        <v>3462</v>
      </c>
    </row>
    <row r="2293">
      <c r="A2293" s="1">
        <v>2291.0</v>
      </c>
      <c r="B2293" s="4" t="s">
        <v>3396</v>
      </c>
      <c r="C2293" s="5" t="str">
        <f>IFERROR(__xludf.DUMMYFUNCTION("GOOGLETRANSLATE(D:D,""auto"",""en"")"),"1,716 cases diagnosed medical personnel")</f>
        <v>1,716 cases diagnosed medical personnel</v>
      </c>
      <c r="D2293" s="4" t="s">
        <v>3348</v>
      </c>
      <c r="E2293" s="4">
        <v>0.0</v>
      </c>
      <c r="F2293" s="4">
        <v>42.0</v>
      </c>
      <c r="G2293" s="4" t="s">
        <v>3349</v>
      </c>
    </row>
    <row r="2294">
      <c r="A2294" s="1">
        <v>2292.0</v>
      </c>
      <c r="B2294" s="4" t="s">
        <v>3396</v>
      </c>
      <c r="C2294" s="5" t="str">
        <f>IFERROR(__xludf.DUMMYFUNCTION("GOOGLETRANSLATE(D:D,""auto"",""en"")"),"Announced the completion of the book do get married")</f>
        <v>Announced the completion of the book do get married</v>
      </c>
      <c r="D2294" s="4" t="s">
        <v>3463</v>
      </c>
      <c r="E2294" s="4">
        <v>0.0</v>
      </c>
      <c r="F2294" s="4">
        <v>43.0</v>
      </c>
      <c r="G2294" s="4" t="s">
        <v>3464</v>
      </c>
    </row>
    <row r="2295">
      <c r="A2295" s="1">
        <v>2293.0</v>
      </c>
      <c r="B2295" s="4" t="s">
        <v>3396</v>
      </c>
      <c r="C2295" s="5" t="str">
        <f>IFERROR(__xludf.DUMMYFUNCTION("GOOGLETRANSLATE(D:D,""auto"",""en"")"),"Bats are the most likely source")</f>
        <v>Bats are the most likely source</v>
      </c>
      <c r="D2295" s="4" t="s">
        <v>3465</v>
      </c>
      <c r="E2295" s="4">
        <v>0.0</v>
      </c>
      <c r="F2295" s="4">
        <v>44.0</v>
      </c>
      <c r="G2295" s="4" t="s">
        <v>3466</v>
      </c>
    </row>
    <row r="2296">
      <c r="A2296" s="1">
        <v>2294.0</v>
      </c>
      <c r="B2296" s="4" t="s">
        <v>3396</v>
      </c>
      <c r="C2296" s="5" t="str">
        <f>IFERROR(__xludf.DUMMYFUNCTION("GOOGLETRANSLATE(D:D,""auto"",""en"")"),"3000 villages no infection")</f>
        <v>3000 villages no infection</v>
      </c>
      <c r="D2296" s="4" t="s">
        <v>3346</v>
      </c>
      <c r="E2296" s="4">
        <v>0.0</v>
      </c>
      <c r="F2296" s="4">
        <v>45.0</v>
      </c>
      <c r="G2296" s="4" t="s">
        <v>3347</v>
      </c>
    </row>
    <row r="2297">
      <c r="A2297" s="1">
        <v>2295.0</v>
      </c>
      <c r="B2297" s="4" t="s">
        <v>3396</v>
      </c>
      <c r="C2297" s="5" t="str">
        <f>IFERROR(__xludf.DUMMYFUNCTION("GOOGLETRANSLATE(D:D,""auto"",""en"")"),"Lou Yi Xiao and Hu Fei farewell")</f>
        <v>Lou Yi Xiao and Hu Fei farewell</v>
      </c>
      <c r="D2297" s="4" t="s">
        <v>3360</v>
      </c>
      <c r="E2297" s="4">
        <v>0.0</v>
      </c>
      <c r="F2297" s="4">
        <v>46.0</v>
      </c>
      <c r="G2297" s="4" t="s">
        <v>3361</v>
      </c>
    </row>
    <row r="2298">
      <c r="A2298" s="1">
        <v>2296.0</v>
      </c>
      <c r="B2298" s="4" t="s">
        <v>3396</v>
      </c>
      <c r="C2298" s="5" t="str">
        <f>IFERROR(__xludf.DUMMYFUNCTION("GOOGLETRANSLATE(D:D,""auto"",""en"")"),"170 million migrant workers back to the city")</f>
        <v>170 million migrant workers back to the city</v>
      </c>
      <c r="D2298" s="4" t="s">
        <v>3340</v>
      </c>
      <c r="E2298" s="4">
        <v>0.0</v>
      </c>
      <c r="F2298" s="4">
        <v>47.0</v>
      </c>
      <c r="G2298" s="4" t="s">
        <v>3341</v>
      </c>
    </row>
    <row r="2299">
      <c r="A2299" s="1">
        <v>2297.0</v>
      </c>
      <c r="B2299" s="4" t="s">
        <v>3396</v>
      </c>
      <c r="C2299" s="5" t="str">
        <f>IFERROR(__xludf.DUMMYFUNCTION("GOOGLETRANSLATE(D:D,""auto"",""en"")"),"Adele crying airport crash")</f>
        <v>Adele crying airport crash</v>
      </c>
      <c r="D2299" s="4" t="s">
        <v>3467</v>
      </c>
      <c r="E2299" s="4">
        <v>0.0</v>
      </c>
      <c r="F2299" s="4">
        <v>48.0</v>
      </c>
      <c r="G2299" s="4" t="s">
        <v>3468</v>
      </c>
    </row>
    <row r="2300">
      <c r="A2300" s="1">
        <v>2298.0</v>
      </c>
      <c r="B2300" s="4" t="s">
        <v>3396</v>
      </c>
      <c r="C2300" s="5" t="str">
        <f>IFERROR(__xludf.DUMMYFUNCTION("GOOGLETRANSLATE(D:D,""auto"",""en"")"),"Jingzhou Hyun male parent father suspended")</f>
        <v>Jingzhou Hyun male parent father suspended</v>
      </c>
      <c r="D2300" s="4" t="s">
        <v>3469</v>
      </c>
      <c r="E2300" s="4">
        <v>0.0</v>
      </c>
      <c r="F2300" s="4">
        <v>49.0</v>
      </c>
      <c r="G2300" s="4" t="s">
        <v>3470</v>
      </c>
    </row>
    <row r="2301">
      <c r="A2301" s="1">
        <v>2299.0</v>
      </c>
      <c r="B2301" s="4" t="s">
        <v>3396</v>
      </c>
      <c r="C2301" s="5" t="str">
        <f>IFERROR(__xludf.DUMMYFUNCTION("GOOGLETRANSLATE(D:D,""auto"",""en"")"),"Hubei's first plasma donors")</f>
        <v>Hubei's first plasma donors</v>
      </c>
      <c r="D2301" s="4" t="s">
        <v>3362</v>
      </c>
      <c r="E2301" s="4">
        <v>0.0</v>
      </c>
      <c r="F2301" s="4">
        <v>50.0</v>
      </c>
      <c r="G2301" s="4" t="s">
        <v>3363</v>
      </c>
    </row>
    <row r="2302">
      <c r="A2302" s="1">
        <v>2300.0</v>
      </c>
      <c r="B2302" s="4" t="s">
        <v>3471</v>
      </c>
      <c r="C2302" s="5" t="str">
        <f>IFERROR(__xludf.DUMMYFUNCTION("GOOGLETRANSLATE(D:D,""auto"",""en"")"),"Primate now the new crown symptoms")</f>
        <v>Primate now the new crown symptoms</v>
      </c>
      <c r="D2302" s="4" t="s">
        <v>3411</v>
      </c>
      <c r="E2302" s="4">
        <v>0.0</v>
      </c>
      <c r="F2302" s="4">
        <v>1.0</v>
      </c>
      <c r="G2302" s="4" t="s">
        <v>3412</v>
      </c>
    </row>
    <row r="2303">
      <c r="A2303" s="1">
        <v>2301.0</v>
      </c>
      <c r="B2303" s="4" t="s">
        <v>3471</v>
      </c>
      <c r="C2303" s="5" t="str">
        <f>IFERROR(__xludf.DUMMYFUNCTION("GOOGLETRANSLATE(D:D,""auto"",""en"")"),"Niikappu pneumonia in Japan this epidemic")</f>
        <v>Niikappu pneumonia in Japan this epidemic</v>
      </c>
      <c r="D2303" s="4" t="s">
        <v>3472</v>
      </c>
      <c r="E2303" s="4">
        <v>0.0</v>
      </c>
      <c r="F2303" s="4">
        <v>2.0</v>
      </c>
      <c r="G2303" s="4" t="s">
        <v>3473</v>
      </c>
    </row>
    <row r="2304">
      <c r="A2304" s="1">
        <v>2302.0</v>
      </c>
      <c r="B2304" s="4" t="s">
        <v>3471</v>
      </c>
      <c r="C2304" s="5" t="str">
        <f>IFERROR(__xludf.DUMMYFUNCTION("GOOGLETRANSLATE(D:D,""auto"",""en"")"),"Antarctic temperatures of 20 degrees the first break")</f>
        <v>Antarctic temperatures of 20 degrees the first break</v>
      </c>
      <c r="D2304" s="4" t="s">
        <v>3461</v>
      </c>
      <c r="E2304" s="4">
        <v>0.0</v>
      </c>
      <c r="F2304" s="4">
        <v>3.0</v>
      </c>
      <c r="G2304" s="4" t="s">
        <v>3462</v>
      </c>
    </row>
    <row r="2305">
      <c r="A2305" s="1">
        <v>2303.0</v>
      </c>
      <c r="B2305" s="4" t="s">
        <v>3471</v>
      </c>
      <c r="C2305" s="5" t="str">
        <f>IFERROR(__xludf.DUMMYFUNCTION("GOOGLETRANSLATE(D:D,""auto"",""en"")"),"Vulcan Mountain leaking official response")</f>
        <v>Vulcan Mountain leaking official response</v>
      </c>
      <c r="D2305" s="4" t="s">
        <v>3474</v>
      </c>
      <c r="E2305" s="4">
        <v>0.0</v>
      </c>
      <c r="F2305" s="4">
        <v>4.0</v>
      </c>
      <c r="G2305" s="4" t="s">
        <v>3475</v>
      </c>
    </row>
    <row r="2306">
      <c r="A2306" s="1">
        <v>2304.0</v>
      </c>
      <c r="B2306" s="4" t="s">
        <v>3471</v>
      </c>
      <c r="C2306" s="5" t="str">
        <f>IFERROR(__xludf.DUMMYFUNCTION("GOOGLETRANSLATE(D:D,""auto"",""en"")"),"Zigong, Sichuan 4.4 earthquake")</f>
        <v>Zigong, Sichuan 4.4 earthquake</v>
      </c>
      <c r="D2306" s="4" t="s">
        <v>3476</v>
      </c>
      <c r="E2306" s="4">
        <v>0.0</v>
      </c>
      <c r="F2306" s="4">
        <v>5.0</v>
      </c>
      <c r="G2306" s="4" t="s">
        <v>3477</v>
      </c>
    </row>
    <row r="2307">
      <c r="A2307" s="1">
        <v>2305.0</v>
      </c>
      <c r="B2307" s="4" t="s">
        <v>3471</v>
      </c>
      <c r="C2307" s="5" t="str">
        <f>IFERROR(__xludf.DUMMYFUNCTION("GOOGLETRANSLATE(D:D,""auto"",""en"")"),"Ie cure taken away by police")</f>
        <v>Ie cure taken away by police</v>
      </c>
      <c r="D2307" s="4" t="s">
        <v>3435</v>
      </c>
      <c r="E2307" s="4">
        <v>0.0</v>
      </c>
      <c r="F2307" s="4">
        <v>6.0</v>
      </c>
      <c r="G2307" s="4" t="s">
        <v>3436</v>
      </c>
    </row>
    <row r="2308">
      <c r="A2308" s="1">
        <v>2306.0</v>
      </c>
      <c r="B2308" s="4" t="s">
        <v>3471</v>
      </c>
      <c r="C2308" s="5" t="str">
        <f>IFERROR(__xludf.DUMMYFUNCTION("GOOGLETRANSLATE(D:D,""auto"",""en"")"),"10 days after the onset of release isolation")</f>
        <v>10 days after the onset of release isolation</v>
      </c>
      <c r="D2308" s="4" t="s">
        <v>3478</v>
      </c>
      <c r="E2308" s="4">
        <v>0.0</v>
      </c>
      <c r="F2308" s="4">
        <v>7.0</v>
      </c>
      <c r="G2308" s="4" t="s">
        <v>3479</v>
      </c>
    </row>
    <row r="2309">
      <c r="A2309" s="1">
        <v>2307.0</v>
      </c>
      <c r="B2309" s="4" t="s">
        <v>3471</v>
      </c>
      <c r="C2309" s="5" t="str">
        <f>IFERROR(__xludf.DUMMYFUNCTION("GOOGLETRANSLATE(D:D,""auto"",""en"")"),"Company-wide staff diagnosed isolation")</f>
        <v>Company-wide staff diagnosed isolation</v>
      </c>
      <c r="D2309" s="4" t="s">
        <v>3480</v>
      </c>
      <c r="E2309" s="4">
        <v>0.0</v>
      </c>
      <c r="F2309" s="4">
        <v>8.0</v>
      </c>
      <c r="G2309" s="4" t="s">
        <v>3481</v>
      </c>
    </row>
    <row r="2310">
      <c r="A2310" s="1">
        <v>2308.0</v>
      </c>
      <c r="B2310" s="4" t="s">
        <v>3471</v>
      </c>
      <c r="C2310" s="5" t="str">
        <f>IFERROR(__xludf.DUMMYFUNCTION("GOOGLETRANSLATE(D:D,""auto"",""en"")"),"Hualien, Taiwan 6 earthquake")</f>
        <v>Hualien, Taiwan 6 earthquake</v>
      </c>
      <c r="D2310" s="4" t="s">
        <v>3482</v>
      </c>
      <c r="E2310" s="4">
        <v>0.0</v>
      </c>
      <c r="F2310" s="4">
        <v>9.0</v>
      </c>
      <c r="G2310" s="4" t="s">
        <v>3483</v>
      </c>
    </row>
    <row r="2311">
      <c r="A2311" s="1">
        <v>2309.0</v>
      </c>
      <c r="B2311" s="4" t="s">
        <v>3471</v>
      </c>
      <c r="C2311" s="5" t="str">
        <f>IFERROR(__xludf.DUMMYFUNCTION("GOOGLETRANSLATE(D:D,""auto"",""en"")"),"For the first time not informed of suspected cases")</f>
        <v>For the first time not informed of suspected cases</v>
      </c>
      <c r="D2311" s="4" t="s">
        <v>3484</v>
      </c>
      <c r="E2311" s="4">
        <v>0.0</v>
      </c>
      <c r="F2311" s="4">
        <v>10.0</v>
      </c>
      <c r="G2311" s="4" t="s">
        <v>3485</v>
      </c>
    </row>
    <row r="2312">
      <c r="A2312" s="1">
        <v>2310.0</v>
      </c>
      <c r="B2312" s="4" t="s">
        <v>3471</v>
      </c>
      <c r="C2312" s="5" t="str">
        <f>IFERROR(__xludf.DUMMYFUNCTION("GOOGLETRANSLATE(D:D,""auto"",""en"")"),"France's first deaths")</f>
        <v>France's first deaths</v>
      </c>
      <c r="D2312" s="4" t="s">
        <v>3417</v>
      </c>
      <c r="E2312" s="4">
        <v>0.0</v>
      </c>
      <c r="F2312" s="4">
        <v>11.0</v>
      </c>
      <c r="G2312" s="4" t="s">
        <v>3418</v>
      </c>
    </row>
    <row r="2313">
      <c r="A2313" s="1">
        <v>2311.0</v>
      </c>
      <c r="B2313" s="4" t="s">
        <v>3471</v>
      </c>
      <c r="C2313" s="5" t="str">
        <f>IFERROR(__xludf.DUMMYFUNCTION("GOOGLETRANSLATE(D:D,""auto"",""en"")"),"Shelter peak of hospital discharge")</f>
        <v>Shelter peak of hospital discharge</v>
      </c>
      <c r="D2313" s="4" t="s">
        <v>3486</v>
      </c>
      <c r="E2313" s="4">
        <v>0.0</v>
      </c>
      <c r="F2313" s="4">
        <v>12.0</v>
      </c>
      <c r="G2313" s="4" t="s">
        <v>3487</v>
      </c>
    </row>
    <row r="2314">
      <c r="A2314" s="1">
        <v>2312.0</v>
      </c>
      <c r="B2314" s="4" t="s">
        <v>3471</v>
      </c>
      <c r="C2314" s="5" t="str">
        <f>IFERROR(__xludf.DUMMYFUNCTION("GOOGLETRANSLATE(D:D,""auto"",""en"")"),"Malaysia Semporna Fire")</f>
        <v>Malaysia Semporna Fire</v>
      </c>
      <c r="D2314" s="4" t="s">
        <v>3488</v>
      </c>
      <c r="E2314" s="4">
        <v>0.0</v>
      </c>
      <c r="F2314" s="4">
        <v>13.0</v>
      </c>
      <c r="G2314" s="4" t="s">
        <v>3489</v>
      </c>
    </row>
    <row r="2315">
      <c r="A2315" s="1">
        <v>2313.0</v>
      </c>
      <c r="B2315" s="4" t="s">
        <v>3471</v>
      </c>
      <c r="C2315" s="5" t="str">
        <f>IFERROR(__xludf.DUMMYFUNCTION("GOOGLETRANSLATE(D:D,""auto"",""en"")"),"Hangzhou passenger will resume operations")</f>
        <v>Hangzhou passenger will resume operations</v>
      </c>
      <c r="D2315" s="4" t="s">
        <v>3490</v>
      </c>
      <c r="E2315" s="4">
        <v>0.0</v>
      </c>
      <c r="F2315" s="4">
        <v>14.0</v>
      </c>
      <c r="G2315" s="4" t="s">
        <v>3491</v>
      </c>
    </row>
    <row r="2316">
      <c r="A2316" s="1">
        <v>2314.0</v>
      </c>
      <c r="B2316" s="4" t="s">
        <v>3471</v>
      </c>
      <c r="C2316" s="5" t="str">
        <f>IFERROR(__xludf.DUMMYFUNCTION("GOOGLETRANSLATE(D:D,""auto"",""en"")"),"Cells should not limit the return")</f>
        <v>Cells should not limit the return</v>
      </c>
      <c r="D2316" s="4" t="s">
        <v>3492</v>
      </c>
      <c r="E2316" s="4">
        <v>0.0</v>
      </c>
      <c r="F2316" s="4">
        <v>15.0</v>
      </c>
      <c r="G2316" s="4" t="s">
        <v>3493</v>
      </c>
    </row>
    <row r="2317">
      <c r="A2317" s="1">
        <v>2315.0</v>
      </c>
      <c r="B2317" s="4" t="s">
        <v>3471</v>
      </c>
      <c r="C2317" s="5" t="str">
        <f>IFERROR(__xludf.DUMMYFUNCTION("GOOGLETRANSLATE(D:D,""auto"",""en"")"),"Hall retired officer issued a letter of apology")</f>
        <v>Hall retired officer issued a letter of apology</v>
      </c>
      <c r="D2317" s="4" t="s">
        <v>3494</v>
      </c>
      <c r="E2317" s="4">
        <v>0.0</v>
      </c>
      <c r="F2317" s="4">
        <v>16.0</v>
      </c>
      <c r="G2317" s="4" t="s">
        <v>3495</v>
      </c>
    </row>
    <row r="2318">
      <c r="A2318" s="1">
        <v>2316.0</v>
      </c>
      <c r="B2318" s="4" t="s">
        <v>3471</v>
      </c>
      <c r="C2318" s="5" t="str">
        <f>IFERROR(__xludf.DUMMYFUNCTION("GOOGLETRANSLATE(D:D,""auto"",""en"")"),"Interview with President of Raytheon Hill Hospital")</f>
        <v>Interview with President of Raytheon Hill Hospital</v>
      </c>
      <c r="D2318" s="4" t="s">
        <v>3496</v>
      </c>
      <c r="E2318" s="4">
        <v>0.0</v>
      </c>
      <c r="F2318" s="4">
        <v>17.0</v>
      </c>
      <c r="G2318" s="4" t="s">
        <v>3497</v>
      </c>
    </row>
    <row r="2319">
      <c r="A2319" s="1">
        <v>2317.0</v>
      </c>
      <c r="B2319" s="4" t="s">
        <v>3471</v>
      </c>
      <c r="C2319" s="5" t="str">
        <f>IFERROR(__xludf.DUMMYFUNCTION("GOOGLETRANSLATE(D:D,""auto"",""en"")"),"Wuhan will carry out a large investigation")</f>
        <v>Wuhan will carry out a large investigation</v>
      </c>
      <c r="D2319" s="4" t="s">
        <v>3498</v>
      </c>
      <c r="E2319" s="4">
        <v>0.0</v>
      </c>
      <c r="F2319" s="4">
        <v>18.0</v>
      </c>
      <c r="G2319" s="4" t="s">
        <v>3499</v>
      </c>
    </row>
    <row r="2320">
      <c r="A2320" s="1">
        <v>2318.0</v>
      </c>
      <c r="B2320" s="4" t="s">
        <v>3471</v>
      </c>
      <c r="C2320" s="5" t="str">
        <f>IFERROR(__xludf.DUMMYFUNCTION("GOOGLETRANSLATE(D:D,""auto"",""en"")"),"Yuan Shanshan heavily armed grocery shopping")</f>
        <v>Yuan Shanshan heavily armed grocery shopping</v>
      </c>
      <c r="D2320" s="4" t="s">
        <v>3433</v>
      </c>
      <c r="E2320" s="4">
        <v>0.0</v>
      </c>
      <c r="F2320" s="4">
        <v>19.0</v>
      </c>
      <c r="G2320" s="4" t="s">
        <v>3434</v>
      </c>
    </row>
    <row r="2321">
      <c r="A2321" s="1">
        <v>2319.0</v>
      </c>
      <c r="B2321" s="4" t="s">
        <v>3471</v>
      </c>
      <c r="C2321" s="5" t="str">
        <f>IFERROR(__xludf.DUMMYFUNCTION("GOOGLETRANSLATE(D:D,""auto"",""en"")"),"Hubei medical aid abusive detention")</f>
        <v>Hubei medical aid abusive detention</v>
      </c>
      <c r="D2321" s="4" t="s">
        <v>3500</v>
      </c>
      <c r="E2321" s="4">
        <v>0.0</v>
      </c>
      <c r="F2321" s="4">
        <v>20.0</v>
      </c>
      <c r="G2321" s="4" t="s">
        <v>3501</v>
      </c>
    </row>
    <row r="2322">
      <c r="A2322" s="1">
        <v>2320.0</v>
      </c>
      <c r="B2322" s="4" t="s">
        <v>3471</v>
      </c>
      <c r="C2322" s="5" t="str">
        <f>IFERROR(__xludf.DUMMYFUNCTION("GOOGLETRANSLATE(D:D,""auto"",""en"")"),"Ningxia isolation point 5 people jumping through the window")</f>
        <v>Ningxia isolation point 5 people jumping through the window</v>
      </c>
      <c r="D2322" s="4" t="s">
        <v>3502</v>
      </c>
      <c r="E2322" s="4">
        <v>0.0</v>
      </c>
      <c r="F2322" s="4">
        <v>21.0</v>
      </c>
      <c r="G2322" s="4" t="s">
        <v>3503</v>
      </c>
    </row>
    <row r="2323">
      <c r="A2323" s="1">
        <v>2321.0</v>
      </c>
      <c r="B2323" s="4" t="s">
        <v>3471</v>
      </c>
      <c r="C2323" s="5" t="str">
        <f>IFERROR(__xludf.DUMMYFUNCTION("GOOGLETRANSLATE(D:D,""auto"",""en"")"),"Hubei new non-fall of 12 days")</f>
        <v>Hubei new non-fall of 12 days</v>
      </c>
      <c r="D2323" s="4" t="s">
        <v>3504</v>
      </c>
      <c r="E2323" s="4">
        <v>0.0</v>
      </c>
      <c r="F2323" s="4">
        <v>22.0</v>
      </c>
      <c r="G2323" s="4" t="s">
        <v>3505</v>
      </c>
    </row>
    <row r="2324">
      <c r="A2324" s="1">
        <v>2322.0</v>
      </c>
      <c r="B2324" s="4" t="s">
        <v>3471</v>
      </c>
      <c r="C2324" s="5" t="str">
        <f>IFERROR(__xludf.DUMMYFUNCTION("GOOGLETRANSLATE(D:D,""auto"",""en"")"),"Experts respond virus weakens")</f>
        <v>Experts respond virus weakens</v>
      </c>
      <c r="D2324" s="4" t="s">
        <v>3506</v>
      </c>
      <c r="E2324" s="4">
        <v>0.0</v>
      </c>
      <c r="F2324" s="4">
        <v>23.0</v>
      </c>
      <c r="G2324" s="4" t="s">
        <v>3507</v>
      </c>
    </row>
    <row r="2325">
      <c r="A2325" s="1">
        <v>2323.0</v>
      </c>
      <c r="B2325" s="4" t="s">
        <v>3471</v>
      </c>
      <c r="C2325" s="5" t="str">
        <f>IFERROR(__xludf.DUMMYFUNCTION("GOOGLETRANSLATE(D:D,""auto"",""en"")"),"Wuhan, a community information omission")</f>
        <v>Wuhan, a community information omission</v>
      </c>
      <c r="D2325" s="4" t="s">
        <v>3508</v>
      </c>
      <c r="E2325" s="4">
        <v>0.0</v>
      </c>
      <c r="F2325" s="4">
        <v>24.0</v>
      </c>
      <c r="G2325" s="4" t="s">
        <v>3509</v>
      </c>
    </row>
    <row r="2326">
      <c r="A2326" s="1">
        <v>2324.0</v>
      </c>
      <c r="B2326" s="4" t="s">
        <v>3471</v>
      </c>
      <c r="C2326" s="5" t="str">
        <f>IFERROR(__xludf.DUMMYFUNCTION("GOOGLETRANSLATE(D:D,""auto"",""en"")"),"Effect has emerged epidemic prevention and control")</f>
        <v>Effect has emerged epidemic prevention and control</v>
      </c>
      <c r="D2326" s="4" t="s">
        <v>3510</v>
      </c>
      <c r="E2326" s="4">
        <v>0.0</v>
      </c>
      <c r="F2326" s="4">
        <v>25.0</v>
      </c>
      <c r="G2326" s="4" t="s">
        <v>3511</v>
      </c>
    </row>
    <row r="2327">
      <c r="A2327" s="1">
        <v>2325.0</v>
      </c>
      <c r="B2327" s="4" t="s">
        <v>3471</v>
      </c>
      <c r="C2327" s="5" t="str">
        <f>IFERROR(__xludf.DUMMYFUNCTION("GOOGLETRANSLATE(D:D,""auto"",""en"")"),"Berlin Burst shooting")</f>
        <v>Berlin Burst shooting</v>
      </c>
      <c r="D2327" s="4" t="s">
        <v>3512</v>
      </c>
      <c r="E2327" s="4">
        <v>0.0</v>
      </c>
      <c r="F2327" s="4">
        <v>26.0</v>
      </c>
      <c r="G2327" s="4" t="s">
        <v>3513</v>
      </c>
    </row>
    <row r="2328">
      <c r="A2328" s="1">
        <v>2326.0</v>
      </c>
      <c r="B2328" s="4" t="s">
        <v>3471</v>
      </c>
      <c r="C2328" s="5" t="str">
        <f>IFERROR(__xludf.DUMMYFUNCTION("GOOGLETRANSLATE(D:D,""auto"",""en"")"),"Hengda real estate percent off")</f>
        <v>Hengda real estate percent off</v>
      </c>
      <c r="D2328" s="4" t="s">
        <v>3514</v>
      </c>
      <c r="E2328" s="4">
        <v>0.0</v>
      </c>
      <c r="F2328" s="4">
        <v>27.0</v>
      </c>
      <c r="G2328" s="4" t="s">
        <v>3515</v>
      </c>
    </row>
    <row r="2329">
      <c r="A2329" s="1">
        <v>2327.0</v>
      </c>
      <c r="B2329" s="4" t="s">
        <v>3471</v>
      </c>
      <c r="C2329" s="5" t="str">
        <f>IFERROR(__xludf.DUMMYFUNCTION("GOOGLETRANSLATE(D:D,""auto"",""en"")"),"Xiaogan Huanggang cases rising fast")</f>
        <v>Xiaogan Huanggang cases rising fast</v>
      </c>
      <c r="D2329" s="4" t="s">
        <v>3407</v>
      </c>
      <c r="E2329" s="4">
        <v>0.0</v>
      </c>
      <c r="F2329" s="4">
        <v>28.0</v>
      </c>
      <c r="G2329" s="4" t="s">
        <v>3408</v>
      </c>
    </row>
    <row r="2330">
      <c r="A2330" s="1">
        <v>2328.0</v>
      </c>
      <c r="B2330" s="4" t="s">
        <v>3471</v>
      </c>
      <c r="C2330" s="5" t="str">
        <f>IFERROR(__xludf.DUMMYFUNCTION("GOOGLETRANSLATE(D:D,""auto"",""en"")"),"Japan epidemic suspected proliferation")</f>
        <v>Japan epidemic suspected proliferation</v>
      </c>
      <c r="D2330" s="4" t="s">
        <v>3516</v>
      </c>
      <c r="E2330" s="4">
        <v>0.0</v>
      </c>
      <c r="F2330" s="4">
        <v>29.0</v>
      </c>
      <c r="G2330" s="4" t="s">
        <v>3517</v>
      </c>
    </row>
    <row r="2331">
      <c r="A2331" s="1">
        <v>2329.0</v>
      </c>
      <c r="B2331" s="4" t="s">
        <v>3471</v>
      </c>
      <c r="C2331" s="5" t="str">
        <f>IFERROR(__xludf.DUMMYFUNCTION("GOOGLETRANSLATE(D:D,""auto"",""en"")"),"Han Foundation Flagged")</f>
        <v>Han Foundation Flagged</v>
      </c>
      <c r="D2331" s="4" t="s">
        <v>3403</v>
      </c>
      <c r="E2331" s="4">
        <v>0.0</v>
      </c>
      <c r="F2331" s="4">
        <v>30.0</v>
      </c>
      <c r="G2331" s="4" t="s">
        <v>3404</v>
      </c>
    </row>
    <row r="2332">
      <c r="A2332" s="1">
        <v>2330.0</v>
      </c>
      <c r="B2332" s="4" t="s">
        <v>3471</v>
      </c>
      <c r="C2332" s="5" t="str">
        <f>IFERROR(__xludf.DUMMYFUNCTION("GOOGLETRANSLATE(D:D,""auto"",""en"")"),"Hualien County, Taiwan earthquake")</f>
        <v>Hualien County, Taiwan earthquake</v>
      </c>
      <c r="D2332" s="4" t="s">
        <v>3415</v>
      </c>
      <c r="E2332" s="4">
        <v>0.0</v>
      </c>
      <c r="F2332" s="4">
        <v>31.0</v>
      </c>
      <c r="G2332" s="4" t="s">
        <v>3416</v>
      </c>
    </row>
    <row r="2333">
      <c r="A2333" s="1">
        <v>2331.0</v>
      </c>
      <c r="B2333" s="4" t="s">
        <v>3471</v>
      </c>
      <c r="C2333" s="5" t="str">
        <f>IFERROR(__xludf.DUMMYFUNCTION("GOOGLETRANSLATE(D:D,""auto"",""en"")"),"Many provinces no new confirmed cases")</f>
        <v>Many provinces no new confirmed cases</v>
      </c>
      <c r="D2333" s="4" t="s">
        <v>3518</v>
      </c>
      <c r="E2333" s="4">
        <v>0.0</v>
      </c>
      <c r="F2333" s="4">
        <v>32.0</v>
      </c>
      <c r="G2333" s="4" t="s">
        <v>3519</v>
      </c>
    </row>
    <row r="2334">
      <c r="A2334" s="1">
        <v>2332.0</v>
      </c>
      <c r="B2334" s="4" t="s">
        <v>3471</v>
      </c>
      <c r="C2334" s="5" t="str">
        <f>IFERROR(__xludf.DUMMYFUNCTION("GOOGLETRANSLATE(D:D,""auto"",""en"")"),"Sima 3 bogey response to report")</f>
        <v>Sima 3 bogey response to report</v>
      </c>
      <c r="D2334" s="4" t="s">
        <v>3520</v>
      </c>
      <c r="E2334" s="4">
        <v>0.0</v>
      </c>
      <c r="F2334" s="4">
        <v>33.0</v>
      </c>
      <c r="G2334" s="4" t="s">
        <v>3521</v>
      </c>
    </row>
    <row r="2335">
      <c r="A2335" s="1">
        <v>2333.0</v>
      </c>
      <c r="B2335" s="4" t="s">
        <v>3471</v>
      </c>
      <c r="C2335" s="5" t="str">
        <f>IFERROR(__xludf.DUMMYFUNCTION("GOOGLETRANSLATE(D:D,""auto"",""en"")"),"Gordon quit dunk contest")</f>
        <v>Gordon quit dunk contest</v>
      </c>
      <c r="D2335" s="4" t="s">
        <v>3522</v>
      </c>
      <c r="E2335" s="4">
        <v>0.0</v>
      </c>
      <c r="F2335" s="4">
        <v>34.0</v>
      </c>
      <c r="G2335" s="4" t="s">
        <v>3523</v>
      </c>
    </row>
    <row r="2336">
      <c r="A2336" s="1">
        <v>2334.0</v>
      </c>
      <c r="B2336" s="4" t="s">
        <v>3471</v>
      </c>
      <c r="C2336" s="5" t="str">
        <f>IFERROR(__xludf.DUMMYFUNCTION("GOOGLETRANSLATE(D:D,""auto"",""en"")"),"Taiwan 4.5 earthquake")</f>
        <v>Taiwan 4.5 earthquake</v>
      </c>
      <c r="D2336" s="4" t="s">
        <v>3524</v>
      </c>
      <c r="E2336" s="4">
        <v>0.0</v>
      </c>
      <c r="F2336" s="4">
        <v>35.0</v>
      </c>
      <c r="G2336" s="4" t="s">
        <v>3525</v>
      </c>
    </row>
    <row r="2337">
      <c r="A2337" s="1">
        <v>2335.0</v>
      </c>
      <c r="B2337" s="4" t="s">
        <v>3471</v>
      </c>
      <c r="C2337" s="5" t="str">
        <f>IFERROR(__xludf.DUMMYFUNCTION("GOOGLETRANSLATE(D:D,""auto"",""en"")"),"Vulcan Mountain ICU sleepless night")</f>
        <v>Vulcan Mountain ICU sleepless night</v>
      </c>
      <c r="D2337" s="4" t="s">
        <v>3526</v>
      </c>
      <c r="E2337" s="4">
        <v>0.0</v>
      </c>
      <c r="F2337" s="4">
        <v>36.0</v>
      </c>
      <c r="G2337" s="4" t="s">
        <v>3527</v>
      </c>
    </row>
    <row r="2338">
      <c r="A2338" s="1">
        <v>2336.0</v>
      </c>
      <c r="B2338" s="4" t="s">
        <v>3471</v>
      </c>
      <c r="C2338" s="5" t="str">
        <f>IFERROR(__xludf.DUMMYFUNCTION("GOOGLETRANSLATE(D:D,""auto"",""en"")"),"Huiyuan start delisting")</f>
        <v>Huiyuan start delisting</v>
      </c>
      <c r="D2338" s="4" t="s">
        <v>3528</v>
      </c>
      <c r="E2338" s="4">
        <v>0.0</v>
      </c>
      <c r="F2338" s="4">
        <v>37.0</v>
      </c>
      <c r="G2338" s="4" t="s">
        <v>3529</v>
      </c>
    </row>
    <row r="2339">
      <c r="A2339" s="1">
        <v>2337.0</v>
      </c>
      <c r="B2339" s="4" t="s">
        <v>3471</v>
      </c>
      <c r="C2339" s="5" t="str">
        <f>IFERROR(__xludf.DUMMYFUNCTION("GOOGLETRANSLATE(D:D,""auto"",""en"")"),"6 days do not go out awards 10 pounds face")</f>
        <v>6 days do not go out awards 10 pounds face</v>
      </c>
      <c r="D2339" s="4" t="s">
        <v>3530</v>
      </c>
      <c r="E2339" s="4">
        <v>0.0</v>
      </c>
      <c r="F2339" s="4">
        <v>38.0</v>
      </c>
      <c r="G2339" s="4" t="s">
        <v>3531</v>
      </c>
    </row>
    <row r="2340">
      <c r="A2340" s="1">
        <v>2338.0</v>
      </c>
      <c r="B2340" s="4" t="s">
        <v>3471</v>
      </c>
      <c r="C2340" s="5" t="str">
        <f>IFERROR(__xludf.DUMMYFUNCTION("GOOGLETRANSLATE(D:D,""auto"",""en"")"),"The number of patients with viral rumor zero")</f>
        <v>The number of patients with viral rumor zero</v>
      </c>
      <c r="D2340" s="4" t="s">
        <v>3532</v>
      </c>
      <c r="E2340" s="4">
        <v>0.0</v>
      </c>
      <c r="F2340" s="4">
        <v>39.0</v>
      </c>
      <c r="G2340" s="4" t="s">
        <v>3533</v>
      </c>
    </row>
    <row r="2341">
      <c r="A2341" s="1">
        <v>2339.0</v>
      </c>
      <c r="B2341" s="4" t="s">
        <v>3471</v>
      </c>
      <c r="C2341" s="5" t="str">
        <f>IFERROR(__xludf.DUMMYFUNCTION("GOOGLETRANSLATE(D:D,""auto"",""en"")"),"Nanning Luo suspect debut")</f>
        <v>Nanning Luo suspect debut</v>
      </c>
      <c r="D2341" s="4" t="s">
        <v>3534</v>
      </c>
      <c r="E2341" s="4">
        <v>0.0</v>
      </c>
      <c r="F2341" s="4">
        <v>40.0</v>
      </c>
      <c r="G2341" s="4" t="s">
        <v>3535</v>
      </c>
    </row>
    <row r="2342">
      <c r="A2342" s="1">
        <v>2340.0</v>
      </c>
      <c r="B2342" s="4" t="s">
        <v>3471</v>
      </c>
      <c r="C2342" s="5" t="str">
        <f>IFERROR(__xludf.DUMMYFUNCTION("GOOGLETRANSLATE(D:D,""auto"",""en"")"),"Experts on drug development difficulties")</f>
        <v>Experts on drug development difficulties</v>
      </c>
      <c r="D2342" s="4" t="s">
        <v>3423</v>
      </c>
      <c r="E2342" s="4">
        <v>0.0</v>
      </c>
      <c r="F2342" s="4">
        <v>41.0</v>
      </c>
      <c r="G2342" s="4" t="s">
        <v>3424</v>
      </c>
    </row>
    <row r="2343">
      <c r="A2343" s="1">
        <v>2341.0</v>
      </c>
      <c r="B2343" s="4" t="s">
        <v>3471</v>
      </c>
      <c r="C2343" s="5" t="str">
        <f>IFERROR(__xludf.DUMMYFUNCTION("GOOGLETRANSLATE(D:D,""auto"",""en"")"),"Adele crying airport crash")</f>
        <v>Adele crying airport crash</v>
      </c>
      <c r="D2343" s="4" t="s">
        <v>3467</v>
      </c>
      <c r="E2343" s="4">
        <v>0.0</v>
      </c>
      <c r="F2343" s="4">
        <v>42.0</v>
      </c>
      <c r="G2343" s="4" t="s">
        <v>3468</v>
      </c>
    </row>
    <row r="2344">
      <c r="A2344" s="1">
        <v>2342.0</v>
      </c>
      <c r="B2344" s="4" t="s">
        <v>3471</v>
      </c>
      <c r="C2344" s="5" t="str">
        <f>IFERROR(__xludf.DUMMYFUNCTION("GOOGLETRANSLATE(D:D,""auto"",""en"")"),"Employees work 12 days after the onset of")</f>
        <v>Employees work 12 days after the onset of</v>
      </c>
      <c r="D2344" s="4" t="s">
        <v>3536</v>
      </c>
      <c r="E2344" s="4">
        <v>0.0</v>
      </c>
      <c r="F2344" s="4">
        <v>43.0</v>
      </c>
      <c r="G2344" s="4" t="s">
        <v>3537</v>
      </c>
    </row>
    <row r="2345">
      <c r="A2345" s="1">
        <v>2343.0</v>
      </c>
      <c r="B2345" s="4" t="s">
        <v>3471</v>
      </c>
      <c r="C2345" s="5" t="str">
        <f>IFERROR(__xludf.DUMMYFUNCTION("GOOGLETRANSLATE(D:D,""auto"",""en"")"),"Guangzhou Bank received cash Destruction")</f>
        <v>Guangzhou Bank received cash Destruction</v>
      </c>
      <c r="D2345" s="4" t="s">
        <v>3538</v>
      </c>
      <c r="E2345" s="4">
        <v>0.0</v>
      </c>
      <c r="F2345" s="4">
        <v>44.0</v>
      </c>
      <c r="G2345" s="4" t="s">
        <v>3539</v>
      </c>
    </row>
    <row r="2346">
      <c r="A2346" s="1">
        <v>2344.0</v>
      </c>
      <c r="B2346" s="4" t="s">
        <v>3471</v>
      </c>
      <c r="C2346" s="5" t="str">
        <f>IFERROR(__xludf.DUMMYFUNCTION("GOOGLETRANSLATE(D:D,""auto"",""en"")"),"Wuhan cliff-style cool")</f>
        <v>Wuhan cliff-style cool</v>
      </c>
      <c r="D2346" s="4" t="s">
        <v>3427</v>
      </c>
      <c r="E2346" s="4">
        <v>0.0</v>
      </c>
      <c r="F2346" s="4">
        <v>45.0</v>
      </c>
      <c r="G2346" s="4" t="s">
        <v>3428</v>
      </c>
    </row>
    <row r="2347">
      <c r="A2347" s="1">
        <v>2345.0</v>
      </c>
      <c r="B2347" s="4" t="s">
        <v>3471</v>
      </c>
      <c r="C2347" s="5" t="str">
        <f>IFERROR(__xludf.DUMMYFUNCTION("GOOGLETRANSLATE(D:D,""auto"",""en"")"),"Patients in the dark shouting refueling")</f>
        <v>Patients in the dark shouting refueling</v>
      </c>
      <c r="D2347" s="4" t="s">
        <v>3540</v>
      </c>
      <c r="E2347" s="4">
        <v>0.0</v>
      </c>
      <c r="F2347" s="4">
        <v>46.0</v>
      </c>
      <c r="G2347" s="4" t="s">
        <v>3541</v>
      </c>
    </row>
    <row r="2348">
      <c r="A2348" s="1">
        <v>2346.0</v>
      </c>
      <c r="B2348" s="4" t="s">
        <v>3471</v>
      </c>
      <c r="C2348" s="5" t="str">
        <f>IFERROR(__xludf.DUMMYFUNCTION("GOOGLETRANSLATE(D:D,""auto"",""en"")"),"National toll roads free")</f>
        <v>National toll roads free</v>
      </c>
      <c r="D2348" s="4" t="s">
        <v>3421</v>
      </c>
      <c r="E2348" s="4">
        <v>0.0</v>
      </c>
      <c r="F2348" s="4">
        <v>47.0</v>
      </c>
      <c r="G2348" s="4" t="s">
        <v>3422</v>
      </c>
    </row>
    <row r="2349">
      <c r="A2349" s="1">
        <v>2347.0</v>
      </c>
      <c r="B2349" s="4" t="s">
        <v>3471</v>
      </c>
      <c r="C2349" s="5" t="str">
        <f>IFERROR(__xludf.DUMMYFUNCTION("GOOGLETRANSLATE(D:D,""auto"",""en"")"),"Guo unicorn to Fan busy dubbing")</f>
        <v>Guo unicorn to Fan busy dubbing</v>
      </c>
      <c r="D2349" s="4" t="s">
        <v>3542</v>
      </c>
      <c r="E2349" s="4">
        <v>0.0</v>
      </c>
      <c r="F2349" s="4">
        <v>48.0</v>
      </c>
      <c r="G2349" s="4" t="s">
        <v>3543</v>
      </c>
    </row>
    <row r="2350">
      <c r="A2350" s="1">
        <v>2348.0</v>
      </c>
      <c r="B2350" s="4" t="s">
        <v>3471</v>
      </c>
      <c r="C2350" s="5" t="str">
        <f>IFERROR(__xludf.DUMMYFUNCTION("GOOGLETRANSLATE(D:D,""auto"",""en"")"),"Hu Ge flop care Fans")</f>
        <v>Hu Ge flop care Fans</v>
      </c>
      <c r="D2350" s="4" t="s">
        <v>3544</v>
      </c>
      <c r="E2350" s="4">
        <v>0.0</v>
      </c>
      <c r="F2350" s="4">
        <v>49.0</v>
      </c>
      <c r="G2350" s="4" t="s">
        <v>3545</v>
      </c>
    </row>
    <row r="2351">
      <c r="A2351" s="1">
        <v>2349.0</v>
      </c>
      <c r="B2351" s="4" t="s">
        <v>3471</v>
      </c>
      <c r="C2351" s="5" t="str">
        <f>IFERROR(__xludf.DUMMYFUNCTION("GOOGLETRANSLATE(D:D,""auto"",""en"")"),"Conjunctival no evidence of the spread of temporary")</f>
        <v>Conjunctival no evidence of the spread of temporary</v>
      </c>
      <c r="D2351" s="4" t="s">
        <v>3546</v>
      </c>
      <c r="E2351" s="4">
        <v>0.0</v>
      </c>
      <c r="F2351" s="4">
        <v>50.0</v>
      </c>
      <c r="G2351" s="4" t="s">
        <v>3547</v>
      </c>
    </row>
    <row r="2352">
      <c r="A2352" s="1">
        <v>2350.0</v>
      </c>
      <c r="B2352" s="4" t="s">
        <v>3548</v>
      </c>
      <c r="C2352" s="5" t="str">
        <f>IFERROR(__xludf.DUMMYFUNCTION("GOOGLETRANSLATE(D:D,""auto"",""en"")"),"Wu Lei key goals")</f>
        <v>Wu Lei key goals</v>
      </c>
      <c r="D2352" s="4" t="s">
        <v>3549</v>
      </c>
      <c r="E2352" s="4">
        <v>0.0</v>
      </c>
      <c r="F2352" s="4">
        <v>1.0</v>
      </c>
      <c r="G2352" s="4" t="s">
        <v>3550</v>
      </c>
    </row>
    <row r="2353">
      <c r="A2353" s="1">
        <v>2351.0</v>
      </c>
      <c r="B2353" s="4" t="s">
        <v>3548</v>
      </c>
      <c r="C2353" s="5" t="str">
        <f>IFERROR(__xludf.DUMMYFUNCTION("GOOGLETRANSLATE(D:D,""auto"",""en"")"),"Wuhan will carry out a large investigation")</f>
        <v>Wuhan will carry out a large investigation</v>
      </c>
      <c r="D2353" s="4" t="s">
        <v>3498</v>
      </c>
      <c r="E2353" s="4">
        <v>0.0</v>
      </c>
      <c r="F2353" s="4">
        <v>2.0</v>
      </c>
      <c r="G2353" s="4" t="s">
        <v>3499</v>
      </c>
    </row>
    <row r="2354">
      <c r="A2354" s="1">
        <v>2352.0</v>
      </c>
      <c r="B2354" s="4" t="s">
        <v>3548</v>
      </c>
      <c r="C2354" s="5" t="str">
        <f>IFERROR(__xludf.DUMMYFUNCTION("GOOGLETRANSLATE(D:D,""auto"",""en"")"),"Nanning Luo suspect debut")</f>
        <v>Nanning Luo suspect debut</v>
      </c>
      <c r="D2354" s="4" t="s">
        <v>3534</v>
      </c>
      <c r="E2354" s="4">
        <v>0.0</v>
      </c>
      <c r="F2354" s="4">
        <v>3.0</v>
      </c>
      <c r="G2354" s="4" t="s">
        <v>3535</v>
      </c>
    </row>
    <row r="2355">
      <c r="A2355" s="1">
        <v>2353.0</v>
      </c>
      <c r="B2355" s="4" t="s">
        <v>3548</v>
      </c>
      <c r="C2355" s="5" t="str">
        <f>IFERROR(__xludf.DUMMYFUNCTION("GOOGLETRANSLATE(D:D,""auto"",""en"")"),"Interview with President of Raytheon Hill Hospital")</f>
        <v>Interview with President of Raytheon Hill Hospital</v>
      </c>
      <c r="D2355" s="4" t="s">
        <v>3496</v>
      </c>
      <c r="E2355" s="4">
        <v>0.0</v>
      </c>
      <c r="F2355" s="4">
        <v>4.0</v>
      </c>
      <c r="G2355" s="4" t="s">
        <v>3497</v>
      </c>
    </row>
    <row r="2356">
      <c r="A2356" s="1">
        <v>2354.0</v>
      </c>
      <c r="B2356" s="4" t="s">
        <v>3548</v>
      </c>
      <c r="C2356" s="5" t="str">
        <f>IFERROR(__xludf.DUMMYFUNCTION("GOOGLETRANSLATE(D:D,""auto"",""en"")"),"Xinyang appear extraordinary cases")</f>
        <v>Xinyang appear extraordinary cases</v>
      </c>
      <c r="D2356" s="4" t="s">
        <v>3551</v>
      </c>
      <c r="E2356" s="4">
        <v>0.0</v>
      </c>
      <c r="F2356" s="4">
        <v>5.0</v>
      </c>
      <c r="G2356" s="4" t="s">
        <v>3552</v>
      </c>
    </row>
    <row r="2357">
      <c r="A2357" s="1">
        <v>2355.0</v>
      </c>
      <c r="B2357" s="4" t="s">
        <v>3548</v>
      </c>
      <c r="C2357" s="5" t="str">
        <f>IFERROR(__xludf.DUMMYFUNCTION("GOOGLETRANSLATE(D:D,""auto"",""en"")"),"Of the total confirmed over 70,000")</f>
        <v>Of the total confirmed over 70,000</v>
      </c>
      <c r="D2357" s="4" t="s">
        <v>3553</v>
      </c>
      <c r="E2357" s="4">
        <v>0.0</v>
      </c>
      <c r="F2357" s="4">
        <v>6.0</v>
      </c>
      <c r="G2357" s="4" t="s">
        <v>3554</v>
      </c>
    </row>
    <row r="2358">
      <c r="A2358" s="1">
        <v>2356.0</v>
      </c>
      <c r="B2358" s="4" t="s">
        <v>3548</v>
      </c>
      <c r="C2358" s="5" t="str">
        <f>IFERROR(__xludf.DUMMYFUNCTION("GOOGLETRANSLATE(D:D,""auto"",""en"")"),"Howard refused shoe contract")</f>
        <v>Howard refused shoe contract</v>
      </c>
      <c r="D2358" s="4" t="s">
        <v>3555</v>
      </c>
      <c r="E2358" s="4">
        <v>0.0</v>
      </c>
      <c r="F2358" s="4">
        <v>7.0</v>
      </c>
      <c r="G2358" s="4" t="s">
        <v>3556</v>
      </c>
    </row>
    <row r="2359">
      <c r="A2359" s="1">
        <v>2357.0</v>
      </c>
      <c r="B2359" s="4" t="s">
        <v>3548</v>
      </c>
      <c r="C2359" s="5" t="str">
        <f>IFERROR(__xludf.DUMMYFUNCTION("GOOGLETRANSLATE(D:D,""auto"",""en"")"),"Hubei new non-fall of 13 days")</f>
        <v>Hubei new non-fall of 13 days</v>
      </c>
      <c r="D2359" s="4" t="s">
        <v>3557</v>
      </c>
      <c r="E2359" s="4">
        <v>0.0</v>
      </c>
      <c r="F2359" s="4">
        <v>8.0</v>
      </c>
      <c r="G2359" s="4" t="s">
        <v>3558</v>
      </c>
    </row>
    <row r="2360">
      <c r="A2360" s="1">
        <v>2358.0</v>
      </c>
      <c r="B2360" s="4" t="s">
        <v>3548</v>
      </c>
      <c r="C2360" s="5" t="str">
        <f>IFERROR(__xludf.DUMMYFUNCTION("GOOGLETRANSLATE(D:D,""auto"",""en"")"),"Nucleic acid detection clear day")</f>
        <v>Nucleic acid detection clear day</v>
      </c>
      <c r="D2360" s="4" t="s">
        <v>3559</v>
      </c>
      <c r="E2360" s="4">
        <v>0.0</v>
      </c>
      <c r="F2360" s="4">
        <v>9.0</v>
      </c>
      <c r="G2360" s="4" t="s">
        <v>3560</v>
      </c>
    </row>
    <row r="2361">
      <c r="A2361" s="1">
        <v>2359.0</v>
      </c>
      <c r="B2361" s="4" t="s">
        <v>3548</v>
      </c>
      <c r="C2361" s="5" t="str">
        <f>IFERROR(__xludf.DUMMYFUNCTION("GOOGLETRANSLATE(D:D,""auto"",""en"")"),"Zhang Liang Jing Kou same back to the villa")</f>
        <v>Zhang Liang Jing Kou same back to the villa</v>
      </c>
      <c r="D2361" s="4" t="s">
        <v>3561</v>
      </c>
      <c r="E2361" s="4">
        <v>0.0</v>
      </c>
      <c r="F2361" s="4">
        <v>10.0</v>
      </c>
      <c r="G2361" s="4" t="s">
        <v>3562</v>
      </c>
    </row>
    <row r="2362">
      <c r="A2362" s="1">
        <v>2360.0</v>
      </c>
      <c r="B2362" s="4" t="s">
        <v>3548</v>
      </c>
      <c r="C2362" s="5" t="str">
        <f>IFERROR(__xludf.DUMMYFUNCTION("GOOGLETRANSLATE(D:D,""auto"",""en"")"),"Chengdu residents to hide the roof of playing cards")</f>
        <v>Chengdu residents to hide the roof of playing cards</v>
      </c>
      <c r="D2362" s="4" t="s">
        <v>3563</v>
      </c>
      <c r="E2362" s="4">
        <v>0.0</v>
      </c>
      <c r="F2362" s="4">
        <v>11.0</v>
      </c>
      <c r="G2362" s="4" t="s">
        <v>3564</v>
      </c>
    </row>
    <row r="2363">
      <c r="A2363" s="1">
        <v>2361.0</v>
      </c>
      <c r="B2363" s="4" t="s">
        <v>3548</v>
      </c>
      <c r="C2363" s="5" t="str">
        <f>IFERROR(__xludf.DUMMYFUNCTION("GOOGLETRANSLATE(D:D,""auto"",""en"")"),"Zhejiang has thirty thousand soldiers locust duck")</f>
        <v>Zhejiang has thirty thousand soldiers locust duck</v>
      </c>
      <c r="D2363" s="4" t="s">
        <v>3565</v>
      </c>
      <c r="E2363" s="4">
        <v>0.0</v>
      </c>
      <c r="F2363" s="4">
        <v>12.0</v>
      </c>
      <c r="G2363" s="4" t="s">
        <v>3566</v>
      </c>
    </row>
    <row r="2364">
      <c r="A2364" s="1">
        <v>2362.0</v>
      </c>
      <c r="B2364" s="4" t="s">
        <v>3548</v>
      </c>
      <c r="C2364" s="5" t="str">
        <f>IFERROR(__xludf.DUMMYFUNCTION("GOOGLETRANSLATE(D:D,""auto"",""en"")"),"Wuhan Public field required scan code")</f>
        <v>Wuhan Public field required scan code</v>
      </c>
      <c r="D2364" s="4" t="s">
        <v>3567</v>
      </c>
      <c r="E2364" s="4">
        <v>0.0</v>
      </c>
      <c r="F2364" s="4">
        <v>13.0</v>
      </c>
      <c r="G2364" s="4" t="s">
        <v>3568</v>
      </c>
    </row>
    <row r="2365">
      <c r="A2365" s="1">
        <v>2363.0</v>
      </c>
      <c r="B2365" s="4" t="s">
        <v>3548</v>
      </c>
      <c r="C2365" s="5" t="str">
        <f>IFERROR(__xludf.DUMMYFUNCTION("GOOGLETRANSLATE(D:D,""auto"",""en"")"),"Ministry of Agriculture to talk about the impending plague of locusts")</f>
        <v>Ministry of Agriculture to talk about the impending plague of locusts</v>
      </c>
      <c r="D2365" s="4" t="s">
        <v>3569</v>
      </c>
      <c r="E2365" s="4">
        <v>0.0</v>
      </c>
      <c r="F2365" s="4">
        <v>14.0</v>
      </c>
      <c r="G2365" s="4" t="s">
        <v>3570</v>
      </c>
    </row>
    <row r="2366">
      <c r="A2366" s="1">
        <v>2364.0</v>
      </c>
      <c r="B2366" s="4" t="s">
        <v>3548</v>
      </c>
      <c r="C2366" s="5" t="str">
        <f>IFERROR(__xludf.DUMMYFUNCTION("GOOGLETRANSLATE(D:D,""auto"",""en"")"),"Artist Huang Zhibo been arrested")</f>
        <v>Artist Huang Zhibo been arrested</v>
      </c>
      <c r="D2366" s="4" t="s">
        <v>3571</v>
      </c>
      <c r="E2366" s="4">
        <v>0.0</v>
      </c>
      <c r="F2366" s="4">
        <v>15.0</v>
      </c>
      <c r="G2366" s="4" t="s">
        <v>3572</v>
      </c>
    </row>
    <row r="2367">
      <c r="A2367" s="1">
        <v>2365.0</v>
      </c>
      <c r="B2367" s="4" t="s">
        <v>3548</v>
      </c>
      <c r="C2367" s="5" t="str">
        <f>IFERROR(__xludf.DUMMYFUNCTION("GOOGLETRANSLATE(D:D,""auto"",""en"")"),"Cruise 40 Americans diagnosed")</f>
        <v>Cruise 40 Americans diagnosed</v>
      </c>
      <c r="D2367" s="4" t="s">
        <v>3573</v>
      </c>
      <c r="E2367" s="4">
        <v>0.0</v>
      </c>
      <c r="F2367" s="4">
        <v>16.0</v>
      </c>
      <c r="G2367" s="4" t="s">
        <v>3574</v>
      </c>
    </row>
    <row r="2368">
      <c r="A2368" s="1">
        <v>2366.0</v>
      </c>
      <c r="B2368" s="4" t="s">
        <v>3548</v>
      </c>
      <c r="C2368" s="5" t="str">
        <f>IFERROR(__xludf.DUMMYFUNCTION("GOOGLETRANSLATE(D:D,""auto"",""en"")"),"Henan enterprises to develop new isolation cap")</f>
        <v>Henan enterprises to develop new isolation cap</v>
      </c>
      <c r="D2368" s="4" t="s">
        <v>3575</v>
      </c>
      <c r="E2368" s="4">
        <v>0.0</v>
      </c>
      <c r="F2368" s="4">
        <v>17.0</v>
      </c>
      <c r="G2368" s="4" t="s">
        <v>3576</v>
      </c>
    </row>
    <row r="2369">
      <c r="A2369" s="1">
        <v>2367.0</v>
      </c>
      <c r="B2369" s="4" t="s">
        <v>3548</v>
      </c>
      <c r="C2369" s="5" t="str">
        <f>IFERROR(__xludf.DUMMYFUNCTION("GOOGLETRANSLATE(D:D,""auto"",""en"")"),"Full Jiao Chen issued a statement")</f>
        <v>Full Jiao Chen issued a statement</v>
      </c>
      <c r="D2369" s="4" t="s">
        <v>3577</v>
      </c>
      <c r="E2369" s="4">
        <v>0.0</v>
      </c>
      <c r="F2369" s="4">
        <v>18.0</v>
      </c>
      <c r="G2369" s="4" t="s">
        <v>3578</v>
      </c>
    </row>
    <row r="2370">
      <c r="A2370" s="1">
        <v>2368.0</v>
      </c>
      <c r="B2370" s="4" t="s">
        <v>3548</v>
      </c>
      <c r="C2370" s="5" t="str">
        <f>IFERROR(__xludf.DUMMYFUNCTION("GOOGLETRANSLATE(D:D,""auto"",""en"")"),"Hall retired officer issued a letter of apology")</f>
        <v>Hall retired officer issued a letter of apology</v>
      </c>
      <c r="D2370" s="4" t="s">
        <v>3494</v>
      </c>
      <c r="E2370" s="4">
        <v>0.0</v>
      </c>
      <c r="F2370" s="4">
        <v>19.0</v>
      </c>
      <c r="G2370" s="4" t="s">
        <v>3495</v>
      </c>
    </row>
    <row r="2371">
      <c r="A2371" s="1">
        <v>2369.0</v>
      </c>
      <c r="B2371" s="4" t="s">
        <v>3548</v>
      </c>
      <c r="C2371" s="5" t="str">
        <f>IFERROR(__xludf.DUMMYFUNCTION("GOOGLETRANSLATE(D:D,""auto"",""en"")"),"Ningxia isolation point 5 people jumping through the window")</f>
        <v>Ningxia isolation point 5 people jumping through the window</v>
      </c>
      <c r="D2371" s="4" t="s">
        <v>3502</v>
      </c>
      <c r="E2371" s="4">
        <v>0.0</v>
      </c>
      <c r="F2371" s="4">
        <v>20.0</v>
      </c>
      <c r="G2371" s="4" t="s">
        <v>3503</v>
      </c>
    </row>
    <row r="2372">
      <c r="A2372" s="1">
        <v>2370.0</v>
      </c>
      <c r="B2372" s="4" t="s">
        <v>3548</v>
      </c>
      <c r="C2372" s="5" t="str">
        <f>IFERROR(__xludf.DUMMYFUNCTION("GOOGLETRANSLATE(D:D,""auto"",""en"")"),"Super 30 million health care-acquired pneumonia")</f>
        <v>Super 30 million health care-acquired pneumonia</v>
      </c>
      <c r="D2372" s="4" t="s">
        <v>3579</v>
      </c>
      <c r="E2372" s="4">
        <v>0.0</v>
      </c>
      <c r="F2372" s="4">
        <v>21.0</v>
      </c>
      <c r="G2372" s="4" t="s">
        <v>3580</v>
      </c>
    </row>
    <row r="2373">
      <c r="A2373" s="1">
        <v>2371.0</v>
      </c>
      <c r="B2373" s="4" t="s">
        <v>3548</v>
      </c>
      <c r="C2373" s="5" t="str">
        <f>IFERROR(__xludf.DUMMYFUNCTION("GOOGLETRANSLATE(D:D,""auto"",""en"")"),"Experts on the outside turning point in Hubei Province")</f>
        <v>Experts on the outside turning point in Hubei Province</v>
      </c>
      <c r="D2373" s="4" t="s">
        <v>3581</v>
      </c>
      <c r="E2373" s="4">
        <v>0.0</v>
      </c>
      <c r="F2373" s="4">
        <v>22.0</v>
      </c>
      <c r="G2373" s="4" t="s">
        <v>3582</v>
      </c>
    </row>
    <row r="2374">
      <c r="A2374" s="1">
        <v>2372.0</v>
      </c>
      <c r="B2374" s="4" t="s">
        <v>3548</v>
      </c>
      <c r="C2374" s="5" t="str">
        <f>IFERROR(__xludf.DUMMYFUNCTION("GOOGLETRANSLATE(D:D,""auto"",""en"")"),"Return to work to get people staged war")</f>
        <v>Return to work to get people staged war</v>
      </c>
      <c r="D2374" s="4" t="s">
        <v>3583</v>
      </c>
      <c r="E2374" s="4">
        <v>0.0</v>
      </c>
      <c r="F2374" s="4">
        <v>23.0</v>
      </c>
      <c r="G2374" s="4" t="s">
        <v>3584</v>
      </c>
    </row>
    <row r="2375">
      <c r="A2375" s="1">
        <v>2373.0</v>
      </c>
      <c r="B2375" s="4" t="s">
        <v>3548</v>
      </c>
      <c r="C2375" s="5" t="str">
        <f>IFERROR(__xludf.DUMMYFUNCTION("GOOGLETRANSLATE(D:D,""auto"",""en"")"),"Huanggang Mayor choking thanks")</f>
        <v>Huanggang Mayor choking thanks</v>
      </c>
      <c r="D2375" s="4" t="s">
        <v>3585</v>
      </c>
      <c r="E2375" s="4">
        <v>0.0</v>
      </c>
      <c r="F2375" s="4">
        <v>24.0</v>
      </c>
      <c r="G2375" s="4" t="s">
        <v>3586</v>
      </c>
    </row>
    <row r="2376">
      <c r="A2376" s="1">
        <v>2374.0</v>
      </c>
      <c r="B2376" s="4" t="s">
        <v>3548</v>
      </c>
      <c r="C2376" s="5" t="str">
        <f>IFERROR(__xludf.DUMMYFUNCTION("GOOGLETRANSLATE(D:D,""auto"",""en"")"),"Zeng was traced to the right of cancer")</f>
        <v>Zeng was traced to the right of cancer</v>
      </c>
      <c r="D2376" s="4" t="s">
        <v>3587</v>
      </c>
      <c r="E2376" s="4">
        <v>0.0</v>
      </c>
      <c r="F2376" s="4">
        <v>25.0</v>
      </c>
      <c r="G2376" s="4" t="s">
        <v>3588</v>
      </c>
    </row>
    <row r="2377">
      <c r="A2377" s="1">
        <v>2375.0</v>
      </c>
      <c r="B2377" s="4" t="s">
        <v>3548</v>
      </c>
      <c r="C2377" s="5" t="str">
        <f>IFERROR(__xludf.DUMMYFUNCTION("GOOGLETRANSLATE(D:D,""auto"",""en"")"),"India locusts has been completed")</f>
        <v>India locusts has been completed</v>
      </c>
      <c r="D2377" s="4" t="s">
        <v>3589</v>
      </c>
      <c r="E2377" s="4">
        <v>0.0</v>
      </c>
      <c r="F2377" s="4">
        <v>26.0</v>
      </c>
      <c r="G2377" s="4" t="s">
        <v>3590</v>
      </c>
    </row>
    <row r="2378">
      <c r="A2378" s="1">
        <v>2376.0</v>
      </c>
      <c r="B2378" s="4" t="s">
        <v>3548</v>
      </c>
      <c r="C2378" s="5" t="str">
        <f>IFERROR(__xludf.DUMMYFUNCTION("GOOGLETRANSLATE(D:D,""auto"",""en"")"),"Experts respond virus weakens")</f>
        <v>Experts respond virus weakens</v>
      </c>
      <c r="D2378" s="4" t="s">
        <v>3506</v>
      </c>
      <c r="E2378" s="4">
        <v>0.0</v>
      </c>
      <c r="F2378" s="4">
        <v>27.0</v>
      </c>
      <c r="G2378" s="4" t="s">
        <v>3507</v>
      </c>
    </row>
    <row r="2379">
      <c r="A2379" s="1">
        <v>2377.0</v>
      </c>
      <c r="B2379" s="4" t="s">
        <v>3548</v>
      </c>
      <c r="C2379" s="5" t="str">
        <f>IFERROR(__xludf.DUMMYFUNCTION("GOOGLETRANSLATE(D:D,""auto"",""en"")"),"Many provinces no new confirmed cases")</f>
        <v>Many provinces no new confirmed cases</v>
      </c>
      <c r="D2379" s="4" t="s">
        <v>3518</v>
      </c>
      <c r="E2379" s="4">
        <v>0.0</v>
      </c>
      <c r="F2379" s="4">
        <v>28.0</v>
      </c>
      <c r="G2379" s="4" t="s">
        <v>3519</v>
      </c>
    </row>
    <row r="2380">
      <c r="A2380" s="1">
        <v>2378.0</v>
      </c>
      <c r="B2380" s="4" t="s">
        <v>3548</v>
      </c>
      <c r="C2380" s="5" t="str">
        <f>IFERROR(__xludf.DUMMYFUNCTION("GOOGLETRANSLATE(D:D,""auto"",""en"")"),"Effect has emerged epidemic prevention and control")</f>
        <v>Effect has emerged epidemic prevention and control</v>
      </c>
      <c r="D2380" s="4" t="s">
        <v>3510</v>
      </c>
      <c r="E2380" s="4">
        <v>0.0</v>
      </c>
      <c r="F2380" s="4">
        <v>29.0</v>
      </c>
      <c r="G2380" s="4" t="s">
        <v>3511</v>
      </c>
    </row>
    <row r="2381">
      <c r="A2381" s="1">
        <v>2379.0</v>
      </c>
      <c r="B2381" s="4" t="s">
        <v>3548</v>
      </c>
      <c r="C2381" s="5" t="str">
        <f>IFERROR(__xludf.DUMMYFUNCTION("GOOGLETRANSLATE(D:D,""auto"",""en"")"),"Leonard Bryant won MVP award")</f>
        <v>Leonard Bryant won MVP award</v>
      </c>
      <c r="D2381" s="4" t="s">
        <v>3591</v>
      </c>
      <c r="E2381" s="4">
        <v>0.0</v>
      </c>
      <c r="F2381" s="4">
        <v>30.0</v>
      </c>
      <c r="G2381" s="4" t="s">
        <v>3592</v>
      </c>
    </row>
    <row r="2382">
      <c r="A2382" s="1">
        <v>2380.0</v>
      </c>
      <c r="B2382" s="4" t="s">
        <v>3548</v>
      </c>
      <c r="C2382" s="5" t="str">
        <f>IFERROR(__xludf.DUMMYFUNCTION("GOOGLETRANSLATE(D:D,""auto"",""en"")"),"Cumulative cured cases broken million")</f>
        <v>Cumulative cured cases broken million</v>
      </c>
      <c r="D2382" s="4" t="s">
        <v>3593</v>
      </c>
      <c r="E2382" s="4">
        <v>0.0</v>
      </c>
      <c r="F2382" s="4">
        <v>31.0</v>
      </c>
      <c r="G2382" s="4" t="s">
        <v>3594</v>
      </c>
    </row>
    <row r="2383">
      <c r="A2383" s="1">
        <v>2381.0</v>
      </c>
      <c r="B2383" s="4" t="s">
        <v>3548</v>
      </c>
      <c r="C2383" s="5" t="str">
        <f>IFERROR(__xludf.DUMMYFUNCTION("GOOGLETRANSLATE(D:D,""auto"",""en"")"),"Xiaogan epidemic prevention and control 17 orders")</f>
        <v>Xiaogan epidemic prevention and control 17 orders</v>
      </c>
      <c r="D2383" s="4" t="s">
        <v>3595</v>
      </c>
      <c r="E2383" s="4">
        <v>0.0</v>
      </c>
      <c r="F2383" s="4">
        <v>32.0</v>
      </c>
      <c r="G2383" s="4" t="s">
        <v>3596</v>
      </c>
    </row>
    <row r="2384">
      <c r="A2384" s="1">
        <v>2382.0</v>
      </c>
      <c r="B2384" s="4" t="s">
        <v>3548</v>
      </c>
      <c r="C2384" s="5" t="str">
        <f>IFERROR(__xludf.DUMMYFUNCTION("GOOGLETRANSLATE(D:D,""auto"",""en"")"),"Shanxi scenic area of ​​free health care")</f>
        <v>Shanxi scenic area of ​​free health care</v>
      </c>
      <c r="D2384" s="4" t="s">
        <v>3597</v>
      </c>
      <c r="E2384" s="4">
        <v>0.0</v>
      </c>
      <c r="F2384" s="4">
        <v>33.0</v>
      </c>
      <c r="G2384" s="4" t="s">
        <v>3598</v>
      </c>
    </row>
    <row r="2385">
      <c r="A2385" s="1">
        <v>2383.0</v>
      </c>
      <c r="B2385" s="4" t="s">
        <v>3548</v>
      </c>
      <c r="C2385" s="5" t="str">
        <f>IFERROR(__xludf.DUMMYFUNCTION("GOOGLETRANSLATE(D:D,""auto"",""en"")"),"Han Foundation released accounts")</f>
        <v>Han Foundation released accounts</v>
      </c>
      <c r="D2385" s="4" t="s">
        <v>3599</v>
      </c>
      <c r="E2385" s="4">
        <v>0.0</v>
      </c>
      <c r="F2385" s="4">
        <v>34.0</v>
      </c>
      <c r="G2385" s="4" t="s">
        <v>3600</v>
      </c>
    </row>
    <row r="2386">
      <c r="A2386" s="1">
        <v>2384.0</v>
      </c>
      <c r="B2386" s="4" t="s">
        <v>3548</v>
      </c>
      <c r="C2386" s="5" t="str">
        <f>IFERROR(__xludf.DUMMYFUNCTION("GOOGLETRANSLATE(D:D,""auto"",""en"")"),"Cells should not limit the return")</f>
        <v>Cells should not limit the return</v>
      </c>
      <c r="D2386" s="4" t="s">
        <v>3492</v>
      </c>
      <c r="E2386" s="4">
        <v>0.0</v>
      </c>
      <c r="F2386" s="4">
        <v>35.0</v>
      </c>
      <c r="G2386" s="4" t="s">
        <v>3493</v>
      </c>
    </row>
    <row r="2387">
      <c r="A2387" s="1">
        <v>2385.0</v>
      </c>
      <c r="B2387" s="4" t="s">
        <v>3548</v>
      </c>
      <c r="C2387" s="5" t="str">
        <f>IFERROR(__xludf.DUMMYFUNCTION("GOOGLETRANSLATE(D:D,""auto"",""en"")"),"Wuhan, a community information omission")</f>
        <v>Wuhan, a community information omission</v>
      </c>
      <c r="D2387" s="4" t="s">
        <v>3508</v>
      </c>
      <c r="E2387" s="4">
        <v>0.0</v>
      </c>
      <c r="F2387" s="4">
        <v>36.0</v>
      </c>
      <c r="G2387" s="4" t="s">
        <v>3509</v>
      </c>
    </row>
    <row r="2388">
      <c r="A2388" s="1">
        <v>2386.0</v>
      </c>
      <c r="B2388" s="4" t="s">
        <v>3548</v>
      </c>
      <c r="C2388" s="5" t="str">
        <f>IFERROR(__xludf.DUMMYFUNCTION("GOOGLETRANSLATE(D:D,""auto"",""en"")"),"10 days after the onset of release isolation")</f>
        <v>10 days after the onset of release isolation</v>
      </c>
      <c r="D2388" s="4" t="s">
        <v>3478</v>
      </c>
      <c r="E2388" s="4">
        <v>0.0</v>
      </c>
      <c r="F2388" s="4">
        <v>37.0</v>
      </c>
      <c r="G2388" s="4" t="s">
        <v>3479</v>
      </c>
    </row>
    <row r="2389">
      <c r="A2389" s="1">
        <v>2387.0</v>
      </c>
      <c r="B2389" s="4" t="s">
        <v>3548</v>
      </c>
      <c r="C2389" s="5" t="str">
        <f>IFERROR(__xludf.DUMMYFUNCTION("GOOGLETRANSLATE(D:D,""auto"",""en"")"),"Huang Zhibo sister issued")</f>
        <v>Huang Zhibo sister issued</v>
      </c>
      <c r="D2389" s="4" t="s">
        <v>3601</v>
      </c>
      <c r="E2389" s="4">
        <v>0.0</v>
      </c>
      <c r="F2389" s="4">
        <v>38.0</v>
      </c>
      <c r="G2389" s="4" t="s">
        <v>3602</v>
      </c>
    </row>
    <row r="2390">
      <c r="A2390" s="1">
        <v>2388.0</v>
      </c>
      <c r="B2390" s="4" t="s">
        <v>3548</v>
      </c>
      <c r="C2390" s="5" t="str">
        <f>IFERROR(__xludf.DUMMYFUNCTION("GOOGLETRANSLATE(D:D,""auto"",""en"")"),"Hao Wenjie hand success")</f>
        <v>Hao Wenjie hand success</v>
      </c>
      <c r="D2390" s="4" t="s">
        <v>3603</v>
      </c>
      <c r="E2390" s="4">
        <v>0.0</v>
      </c>
      <c r="F2390" s="4">
        <v>39.0</v>
      </c>
      <c r="G2390" s="4" t="s">
        <v>3604</v>
      </c>
    </row>
    <row r="2391">
      <c r="A2391" s="1">
        <v>2389.0</v>
      </c>
      <c r="B2391" s="4" t="s">
        <v>3548</v>
      </c>
      <c r="C2391" s="5" t="str">
        <f>IFERROR(__xludf.DUMMYFUNCTION("GOOGLETRANSLATE(D:D,""auto"",""en"")"),"Wuhan 20 medical donate plasma")</f>
        <v>Wuhan 20 medical donate plasma</v>
      </c>
      <c r="D2391" s="4" t="s">
        <v>3605</v>
      </c>
      <c r="E2391" s="4">
        <v>0.0</v>
      </c>
      <c r="F2391" s="4">
        <v>40.0</v>
      </c>
      <c r="G2391" s="4" t="s">
        <v>3606</v>
      </c>
    </row>
    <row r="2392">
      <c r="A2392" s="1">
        <v>2390.0</v>
      </c>
      <c r="B2392" s="4" t="s">
        <v>3548</v>
      </c>
      <c r="C2392" s="5" t="str">
        <f>IFERROR(__xludf.DUMMYFUNCTION("GOOGLETRANSLATE(D:D,""auto"",""en"")"),"Wuhan severe fell to 18%")</f>
        <v>Wuhan severe fell to 18%</v>
      </c>
      <c r="D2392" s="4" t="s">
        <v>3607</v>
      </c>
      <c r="E2392" s="4">
        <v>0.0</v>
      </c>
      <c r="F2392" s="4">
        <v>41.0</v>
      </c>
      <c r="G2392" s="4" t="s">
        <v>3608</v>
      </c>
    </row>
    <row r="2393">
      <c r="A2393" s="1">
        <v>2391.0</v>
      </c>
      <c r="B2393" s="4" t="s">
        <v>3548</v>
      </c>
      <c r="C2393" s="5" t="str">
        <f>IFERROR(__xludf.DUMMYFUNCTION("GOOGLETRANSLATE(D:D,""auto"",""en"")"),"Expert doubts extraordinary cases")</f>
        <v>Expert doubts extraordinary cases</v>
      </c>
      <c r="D2393" s="4" t="s">
        <v>3609</v>
      </c>
      <c r="E2393" s="4">
        <v>0.0</v>
      </c>
      <c r="F2393" s="4">
        <v>42.0</v>
      </c>
      <c r="G2393" s="4" t="s">
        <v>3610</v>
      </c>
    </row>
    <row r="2394">
      <c r="A2394" s="1">
        <v>2392.0</v>
      </c>
      <c r="B2394" s="4" t="s">
        <v>3548</v>
      </c>
      <c r="C2394" s="5" t="str">
        <f>IFERROR(__xludf.DUMMYFUNCTION("GOOGLETRANSLATE(D:D,""auto"",""en"")"),"Store nine tons of alcohol arrest")</f>
        <v>Store nine tons of alcohol arrest</v>
      </c>
      <c r="D2394" s="4" t="s">
        <v>3611</v>
      </c>
      <c r="E2394" s="4">
        <v>0.0</v>
      </c>
      <c r="F2394" s="4">
        <v>43.0</v>
      </c>
      <c r="G2394" s="4" t="s">
        <v>3612</v>
      </c>
    </row>
    <row r="2395">
      <c r="A2395" s="1">
        <v>2393.0</v>
      </c>
      <c r="B2395" s="4" t="s">
        <v>3548</v>
      </c>
      <c r="C2395" s="5" t="str">
        <f>IFERROR(__xludf.DUMMYFUNCTION("GOOGLETRANSLATE(D:D,""auto"",""en"")"),"Hengda real estate percent off")</f>
        <v>Hengda real estate percent off</v>
      </c>
      <c r="D2395" s="4" t="s">
        <v>3514</v>
      </c>
      <c r="E2395" s="4">
        <v>0.0</v>
      </c>
      <c r="F2395" s="4">
        <v>44.0</v>
      </c>
      <c r="G2395" s="4" t="s">
        <v>3515</v>
      </c>
    </row>
    <row r="2396">
      <c r="A2396" s="1">
        <v>2394.0</v>
      </c>
      <c r="B2396" s="4" t="s">
        <v>3548</v>
      </c>
      <c r="C2396" s="5" t="str">
        <f>IFERROR(__xludf.DUMMYFUNCTION("GOOGLETRANSLATE(D:D,""auto"",""en"")"),"56-year-old uncle snow vigil")</f>
        <v>56-year-old uncle snow vigil</v>
      </c>
      <c r="D2396" s="4" t="s">
        <v>3613</v>
      </c>
      <c r="E2396" s="4">
        <v>0.0</v>
      </c>
      <c r="F2396" s="4">
        <v>45.0</v>
      </c>
      <c r="G2396" s="4" t="s">
        <v>3614</v>
      </c>
    </row>
    <row r="2397">
      <c r="A2397" s="1">
        <v>2395.0</v>
      </c>
      <c r="B2397" s="4" t="s">
        <v>3548</v>
      </c>
      <c r="C2397" s="5" t="str">
        <f>IFERROR(__xludf.DUMMYFUNCTION("GOOGLETRANSLATE(D:D,""auto"",""en"")"),"Shenzhen Metro ride real name")</f>
        <v>Shenzhen Metro ride real name</v>
      </c>
      <c r="D2397" s="4" t="s">
        <v>3615</v>
      </c>
      <c r="E2397" s="4">
        <v>0.0</v>
      </c>
      <c r="F2397" s="4">
        <v>46.0</v>
      </c>
      <c r="G2397" s="4" t="s">
        <v>3616</v>
      </c>
    </row>
    <row r="2398">
      <c r="A2398" s="1">
        <v>2396.0</v>
      </c>
      <c r="B2398" s="4" t="s">
        <v>3548</v>
      </c>
      <c r="C2398" s="5" t="str">
        <f>IFERROR(__xludf.DUMMYFUNCTION("GOOGLETRANSLATE(D:D,""auto"",""en"")"),"For the first time not informed of suspected cases")</f>
        <v>For the first time not informed of suspected cases</v>
      </c>
      <c r="D2398" s="4" t="s">
        <v>3484</v>
      </c>
      <c r="E2398" s="4">
        <v>0.0</v>
      </c>
      <c r="F2398" s="4">
        <v>47.0</v>
      </c>
      <c r="G2398" s="4" t="s">
        <v>3485</v>
      </c>
    </row>
    <row r="2399">
      <c r="A2399" s="1">
        <v>2397.0</v>
      </c>
      <c r="B2399" s="4" t="s">
        <v>3548</v>
      </c>
      <c r="C2399" s="5" t="str">
        <f>IFERROR(__xludf.DUMMYFUNCTION("GOOGLETRANSLATE(D:D,""auto"",""en"")"),"Experts on how the virus spread")</f>
        <v>Experts on how the virus spread</v>
      </c>
      <c r="D2399" s="4" t="s">
        <v>3617</v>
      </c>
      <c r="E2399" s="4">
        <v>0.0</v>
      </c>
      <c r="F2399" s="4">
        <v>48.0</v>
      </c>
      <c r="G2399" s="4" t="s">
        <v>3618</v>
      </c>
    </row>
    <row r="2400">
      <c r="A2400" s="1">
        <v>2398.0</v>
      </c>
      <c r="B2400" s="4" t="s">
        <v>3548</v>
      </c>
      <c r="C2400" s="5" t="str">
        <f>IFERROR(__xludf.DUMMYFUNCTION("GOOGLETRANSLATE(D:D,""auto"",""en"")"),"Antarctic temperatures of 20 degrees the first break")</f>
        <v>Antarctic temperatures of 20 degrees the first break</v>
      </c>
      <c r="D2400" s="4" t="s">
        <v>3461</v>
      </c>
      <c r="E2400" s="4">
        <v>0.0</v>
      </c>
      <c r="F2400" s="4">
        <v>49.0</v>
      </c>
      <c r="G2400" s="4" t="s">
        <v>3462</v>
      </c>
    </row>
    <row r="2401">
      <c r="A2401" s="1">
        <v>2399.0</v>
      </c>
      <c r="B2401" s="4" t="s">
        <v>3548</v>
      </c>
      <c r="C2401" s="5" t="str">
        <f>IFERROR(__xludf.DUMMYFUNCTION("GOOGLETRANSLATE(D:D,""auto"",""en"")"),"Hualien, Taiwan 6 earthquake")</f>
        <v>Hualien, Taiwan 6 earthquake</v>
      </c>
      <c r="D2401" s="4" t="s">
        <v>3482</v>
      </c>
      <c r="E2401" s="4">
        <v>0.0</v>
      </c>
      <c r="F2401" s="4">
        <v>50.0</v>
      </c>
      <c r="G2401" s="4" t="s">
        <v>3483</v>
      </c>
    </row>
    <row r="2402">
      <c r="A2402" s="1">
        <v>2400.0</v>
      </c>
      <c r="B2402" s="4" t="s">
        <v>3619</v>
      </c>
      <c r="C2402" s="5" t="str">
        <f>IFERROR(__xludf.DUMMYFUNCTION("GOOGLETRANSLATE(D:D,""auto"",""en"")"),"Zeng was traced to the right of cancer")</f>
        <v>Zeng was traced to the right of cancer</v>
      </c>
      <c r="D2402" s="4" t="s">
        <v>3587</v>
      </c>
      <c r="E2402" s="4">
        <v>0.0</v>
      </c>
      <c r="F2402" s="4">
        <v>1.0</v>
      </c>
      <c r="G2402" s="4" t="s">
        <v>3588</v>
      </c>
    </row>
    <row r="2403">
      <c r="A2403" s="1">
        <v>2401.0</v>
      </c>
      <c r="B2403" s="4" t="s">
        <v>3619</v>
      </c>
      <c r="C2403" s="5" t="str">
        <f>IFERROR(__xludf.DUMMYFUNCTION("GOOGLETRANSLATE(D:D,""auto"",""en"")"),"Wuhan to build 10 shelters")</f>
        <v>Wuhan to build 10 shelters</v>
      </c>
      <c r="D2403" s="4" t="s">
        <v>3620</v>
      </c>
      <c r="E2403" s="4">
        <v>0.0</v>
      </c>
      <c r="F2403" s="4">
        <v>2.0</v>
      </c>
      <c r="G2403" s="4" t="s">
        <v>3621</v>
      </c>
    </row>
    <row r="2404">
      <c r="A2404" s="1">
        <v>2402.0</v>
      </c>
      <c r="B2404" s="4" t="s">
        <v>3619</v>
      </c>
      <c r="C2404" s="5" t="str">
        <f>IFERROR(__xludf.DUMMYFUNCTION("GOOGLETRANSLATE(D:D,""auto"",""en"")"),"Doctors Xu Defu infected died")</f>
        <v>Doctors Xu Defu infected died</v>
      </c>
      <c r="D2404" s="4" t="s">
        <v>3622</v>
      </c>
      <c r="E2404" s="4">
        <v>0.0</v>
      </c>
      <c r="F2404" s="4">
        <v>3.0</v>
      </c>
      <c r="G2404" s="4" t="s">
        <v>3623</v>
      </c>
    </row>
    <row r="2405">
      <c r="A2405" s="1">
        <v>2403.0</v>
      </c>
      <c r="B2405" s="4" t="s">
        <v>3619</v>
      </c>
      <c r="C2405" s="5" t="str">
        <f>IFERROR(__xludf.DUMMYFUNCTION("GOOGLETRANSLATE(D:D,""auto"",""en"")"),"Zhong Nanshan response to the epidemic peak")</f>
        <v>Zhong Nanshan response to the epidemic peak</v>
      </c>
      <c r="D2405" s="4" t="s">
        <v>3624</v>
      </c>
      <c r="E2405" s="4">
        <v>0.0</v>
      </c>
      <c r="F2405" s="4">
        <v>4.0</v>
      </c>
      <c r="G2405" s="4" t="s">
        <v>3625</v>
      </c>
    </row>
    <row r="2406">
      <c r="A2406" s="1">
        <v>2404.0</v>
      </c>
      <c r="B2406" s="4" t="s">
        <v>3619</v>
      </c>
      <c r="C2406" s="5" t="str">
        <f>IFERROR(__xludf.DUMMYFUNCTION("GOOGLETRANSLATE(D:D,""auto"",""en"")"),"Full Jiao Chen issued a statement")</f>
        <v>Full Jiao Chen issued a statement</v>
      </c>
      <c r="D2406" s="4" t="s">
        <v>3577</v>
      </c>
      <c r="E2406" s="4">
        <v>0.0</v>
      </c>
      <c r="F2406" s="4">
        <v>5.0</v>
      </c>
      <c r="G2406" s="4" t="s">
        <v>3578</v>
      </c>
    </row>
    <row r="2407">
      <c r="A2407" s="1">
        <v>2405.0</v>
      </c>
      <c r="B2407" s="4" t="s">
        <v>3619</v>
      </c>
      <c r="C2407" s="5" t="str">
        <f>IFERROR(__xludf.DUMMYFUNCTION("GOOGLETRANSLATE(D:D,""auto"",""en"")"),"Wuhan large dragnet investigation")</f>
        <v>Wuhan large dragnet investigation</v>
      </c>
      <c r="D2407" s="4" t="s">
        <v>3626</v>
      </c>
      <c r="E2407" s="4">
        <v>0.0</v>
      </c>
      <c r="F2407" s="4">
        <v>6.0</v>
      </c>
      <c r="G2407" s="4" t="s">
        <v>3627</v>
      </c>
    </row>
    <row r="2408">
      <c r="A2408" s="1">
        <v>2406.0</v>
      </c>
      <c r="B2408" s="4" t="s">
        <v>3619</v>
      </c>
      <c r="C2408" s="5" t="str">
        <f>IFERROR(__xludf.DUMMYFUNCTION("GOOGLETRANSLATE(D:D,""auto"",""en"")"),"Hubei's first confirmed to be cleared")</f>
        <v>Hubei's first confirmed to be cleared</v>
      </c>
      <c r="D2408" s="4" t="s">
        <v>3628</v>
      </c>
      <c r="E2408" s="4">
        <v>0.0</v>
      </c>
      <c r="F2408" s="4">
        <v>7.0</v>
      </c>
      <c r="G2408" s="4" t="s">
        <v>3629</v>
      </c>
    </row>
    <row r="2409">
      <c r="A2409" s="1">
        <v>2407.0</v>
      </c>
      <c r="B2409" s="4" t="s">
        <v>3619</v>
      </c>
      <c r="C2409" s="5" t="str">
        <f>IFERROR(__xludf.DUMMYFUNCTION("GOOGLETRANSLATE(D:D,""auto"",""en"")"),"Vigilance ""Green Swan"" incoming")</f>
        <v>Vigilance "Green Swan" incoming</v>
      </c>
      <c r="D2409" s="4" t="s">
        <v>3630</v>
      </c>
      <c r="E2409" s="4">
        <v>0.0</v>
      </c>
      <c r="F2409" s="4">
        <v>8.0</v>
      </c>
      <c r="G2409" s="4" t="s">
        <v>3631</v>
      </c>
    </row>
    <row r="2410">
      <c r="A2410" s="1">
        <v>2408.0</v>
      </c>
      <c r="B2410" s="4" t="s">
        <v>3619</v>
      </c>
      <c r="C2410" s="5" t="str">
        <f>IFERROR(__xludf.DUMMYFUNCTION("GOOGLETRANSLATE(D:D,""auto"",""en"")"),"Two of the country intends to postpone the convening of")</f>
        <v>Two of the country intends to postpone the convening of</v>
      </c>
      <c r="D2410" s="4" t="s">
        <v>3632</v>
      </c>
      <c r="E2410" s="4">
        <v>0.0</v>
      </c>
      <c r="F2410" s="4">
        <v>9.0</v>
      </c>
      <c r="G2410" s="4" t="s">
        <v>3633</v>
      </c>
    </row>
    <row r="2411">
      <c r="A2411" s="1">
        <v>2409.0</v>
      </c>
      <c r="B2411" s="4" t="s">
        <v>3619</v>
      </c>
      <c r="C2411" s="5" t="str">
        <f>IFERROR(__xludf.DUMMYFUNCTION("GOOGLETRANSLATE(D:D,""auto"",""en"")"),"The central enterprises is developing new vaccines crown")</f>
        <v>The central enterprises is developing new vaccines crown</v>
      </c>
      <c r="D2411" s="4" t="s">
        <v>3634</v>
      </c>
      <c r="E2411" s="4">
        <v>0.0</v>
      </c>
      <c r="F2411" s="4">
        <v>10.0</v>
      </c>
      <c r="G2411" s="4" t="s">
        <v>3635</v>
      </c>
    </row>
    <row r="2412">
      <c r="A2412" s="1">
        <v>2410.0</v>
      </c>
      <c r="B2412" s="4" t="s">
        <v>3619</v>
      </c>
      <c r="C2412" s="5" t="str">
        <f>IFERROR(__xludf.DUMMYFUNCTION("GOOGLETRANSLATE(D:D,""auto"",""en"")"),"Jackie Chan, Eric Tsang party")</f>
        <v>Jackie Chan, Eric Tsang party</v>
      </c>
      <c r="D2412" s="4" t="s">
        <v>3636</v>
      </c>
      <c r="E2412" s="4">
        <v>0.0</v>
      </c>
      <c r="F2412" s="4">
        <v>11.0</v>
      </c>
      <c r="G2412" s="4" t="s">
        <v>3637</v>
      </c>
    </row>
    <row r="2413">
      <c r="A2413" s="1">
        <v>2411.0</v>
      </c>
      <c r="B2413" s="4" t="s">
        <v>3619</v>
      </c>
      <c r="C2413" s="5" t="str">
        <f>IFERROR(__xludf.DUMMYFUNCTION("GOOGLETRANSLATE(D:D,""auto"",""en"")"),"The number of confirmed outbreaks in Japan")</f>
        <v>The number of confirmed outbreaks in Japan</v>
      </c>
      <c r="D2413" s="4" t="s">
        <v>3638</v>
      </c>
      <c r="E2413" s="4">
        <v>0.0</v>
      </c>
      <c r="F2413" s="4">
        <v>12.0</v>
      </c>
      <c r="G2413" s="4" t="s">
        <v>3639</v>
      </c>
    </row>
    <row r="2414">
      <c r="A2414" s="1">
        <v>2412.0</v>
      </c>
      <c r="B2414" s="4" t="s">
        <v>3619</v>
      </c>
      <c r="C2414" s="5" t="str">
        <f>IFERROR(__xludf.DUMMYFUNCTION("GOOGLETRANSLATE(D:D,""auto"",""en"")"),"Dean died in hospital Wuchang")</f>
        <v>Dean died in hospital Wuchang</v>
      </c>
      <c r="D2414" s="4" t="s">
        <v>3640</v>
      </c>
      <c r="E2414" s="4">
        <v>0.0</v>
      </c>
      <c r="F2414" s="4">
        <v>13.0</v>
      </c>
      <c r="G2414" s="4" t="s">
        <v>3641</v>
      </c>
    </row>
    <row r="2415">
      <c r="A2415" s="1">
        <v>2413.0</v>
      </c>
      <c r="B2415" s="4" t="s">
        <v>3619</v>
      </c>
      <c r="C2415" s="5" t="str">
        <f>IFERROR(__xludf.DUMMYFUNCTION("GOOGLETRANSLATE(D:D,""auto"",""en"")"),"Epidemic first appeared three")</f>
        <v>Epidemic first appeared three</v>
      </c>
      <c r="D2415" s="4" t="s">
        <v>3642</v>
      </c>
      <c r="E2415" s="4">
        <v>0.0</v>
      </c>
      <c r="F2415" s="4">
        <v>14.0</v>
      </c>
      <c r="G2415" s="4" t="s">
        <v>3643</v>
      </c>
    </row>
    <row r="2416">
      <c r="A2416" s="1">
        <v>2414.0</v>
      </c>
      <c r="B2416" s="4" t="s">
        <v>3619</v>
      </c>
      <c r="C2416" s="5" t="str">
        <f>IFERROR(__xludf.DUMMYFUNCTION("GOOGLETRANSLATE(D:D,""auto"",""en"")"),"Hubei sealed off and then upgrade")</f>
        <v>Hubei sealed off and then upgrade</v>
      </c>
      <c r="D2416" s="4" t="s">
        <v>3644</v>
      </c>
      <c r="E2416" s="4">
        <v>0.0</v>
      </c>
      <c r="F2416" s="4">
        <v>15.0</v>
      </c>
      <c r="G2416" s="4" t="s">
        <v>3645</v>
      </c>
    </row>
    <row r="2417">
      <c r="A2417" s="1">
        <v>2415.0</v>
      </c>
      <c r="B2417" s="4" t="s">
        <v>3619</v>
      </c>
      <c r="C2417" s="5" t="str">
        <f>IFERROR(__xludf.DUMMYFUNCTION("GOOGLETRANSLATE(D:D,""auto"",""en"")"),"Return to work to get people staged war")</f>
        <v>Return to work to get people staged war</v>
      </c>
      <c r="D2417" s="4" t="s">
        <v>3583</v>
      </c>
      <c r="E2417" s="4">
        <v>0.0</v>
      </c>
      <c r="F2417" s="4">
        <v>16.0</v>
      </c>
      <c r="G2417" s="4" t="s">
        <v>3584</v>
      </c>
    </row>
    <row r="2418">
      <c r="A2418" s="1">
        <v>2416.0</v>
      </c>
      <c r="B2418" s="4" t="s">
        <v>3619</v>
      </c>
      <c r="C2418" s="5" t="str">
        <f>IFERROR(__xludf.DUMMYFUNCTION("GOOGLETRANSLATE(D:D,""auto"",""en"")"),"Huanggang Mayor choking thanks")</f>
        <v>Huanggang Mayor choking thanks</v>
      </c>
      <c r="D2418" s="4" t="s">
        <v>3585</v>
      </c>
      <c r="E2418" s="4">
        <v>0.0</v>
      </c>
      <c r="F2418" s="4">
        <v>17.0</v>
      </c>
      <c r="G2418" s="4" t="s">
        <v>3586</v>
      </c>
    </row>
    <row r="2419">
      <c r="A2419" s="1">
        <v>2417.0</v>
      </c>
      <c r="B2419" s="4" t="s">
        <v>3619</v>
      </c>
      <c r="C2419" s="5" t="str">
        <f>IFERROR(__xludf.DUMMYFUNCTION("GOOGLETRANSLATE(D:D,""auto"",""en"")"),"India locusts has been completed")</f>
        <v>India locusts has been completed</v>
      </c>
      <c r="D2419" s="4" t="s">
        <v>3589</v>
      </c>
      <c r="E2419" s="4">
        <v>0.0</v>
      </c>
      <c r="F2419" s="4">
        <v>18.0</v>
      </c>
      <c r="G2419" s="4" t="s">
        <v>3590</v>
      </c>
    </row>
    <row r="2420">
      <c r="A2420" s="1">
        <v>2418.0</v>
      </c>
      <c r="B2420" s="4" t="s">
        <v>3619</v>
      </c>
      <c r="C2420" s="5" t="str">
        <f>IFERROR(__xludf.DUMMYFUNCTION("GOOGLETRANSLATE(D:D,""auto"",""en"")"),"Super 30 million health care-acquired pneumonia")</f>
        <v>Super 30 million health care-acquired pneumonia</v>
      </c>
      <c r="D2420" s="4" t="s">
        <v>3579</v>
      </c>
      <c r="E2420" s="4">
        <v>0.0</v>
      </c>
      <c r="F2420" s="4">
        <v>19.0</v>
      </c>
      <c r="G2420" s="4" t="s">
        <v>3580</v>
      </c>
    </row>
    <row r="2421">
      <c r="A2421" s="1">
        <v>2419.0</v>
      </c>
      <c r="B2421" s="4" t="s">
        <v>3619</v>
      </c>
      <c r="C2421" s="5" t="str">
        <f>IFERROR(__xludf.DUMMYFUNCTION("GOOGLETRANSLATE(D:D,""auto"",""en"")"),"Strictly control not out of control")</f>
        <v>Strictly control not out of control</v>
      </c>
      <c r="D2421" s="4" t="s">
        <v>3646</v>
      </c>
      <c r="E2421" s="4">
        <v>0.0</v>
      </c>
      <c r="F2421" s="4">
        <v>20.0</v>
      </c>
      <c r="G2421" s="4" t="s">
        <v>3647</v>
      </c>
    </row>
    <row r="2422">
      <c r="A2422" s="1">
        <v>2420.0</v>
      </c>
      <c r="B2422" s="4" t="s">
        <v>3619</v>
      </c>
      <c r="C2422" s="5" t="str">
        <f>IFERROR(__xludf.DUMMYFUNCTION("GOOGLETRANSLATE(D:D,""auto"",""en"")"),"Hubei new non-fall of 14 days")</f>
        <v>Hubei new non-fall of 14 days</v>
      </c>
      <c r="D2422" s="4" t="s">
        <v>3648</v>
      </c>
      <c r="E2422" s="4">
        <v>0.0</v>
      </c>
      <c r="F2422" s="4">
        <v>21.0</v>
      </c>
      <c r="G2422" s="4" t="s">
        <v>3649</v>
      </c>
    </row>
    <row r="2423">
      <c r="A2423" s="1">
        <v>2421.0</v>
      </c>
      <c r="B2423" s="4" t="s">
        <v>3619</v>
      </c>
      <c r="C2423" s="5" t="str">
        <f>IFERROR(__xludf.DUMMYFUNCTION("GOOGLETRANSLATE(D:D,""auto"",""en"")"),"Chinese Shao home interior exposed")</f>
        <v>Chinese Shao home interior exposed</v>
      </c>
      <c r="D2423" s="4" t="s">
        <v>3650</v>
      </c>
      <c r="E2423" s="4">
        <v>0.0</v>
      </c>
      <c r="F2423" s="4">
        <v>22.0</v>
      </c>
      <c r="G2423" s="4" t="s">
        <v>3651</v>
      </c>
    </row>
    <row r="2424">
      <c r="A2424" s="1">
        <v>2422.0</v>
      </c>
      <c r="B2424" s="4" t="s">
        <v>3619</v>
      </c>
      <c r="C2424" s="5" t="str">
        <f>IFERROR(__xludf.DUMMYFUNCTION("GOOGLETRANSLATE(D:D,""auto"",""en"")"),"Three generations infected")</f>
        <v>Three generations infected</v>
      </c>
      <c r="D2424" s="4" t="s">
        <v>3652</v>
      </c>
      <c r="E2424" s="4">
        <v>0.0</v>
      </c>
      <c r="F2424" s="4">
        <v>23.0</v>
      </c>
      <c r="G2424" s="4" t="s">
        <v>3653</v>
      </c>
    </row>
    <row r="2425">
      <c r="A2425" s="1">
        <v>2423.0</v>
      </c>
      <c r="B2425" s="4" t="s">
        <v>3619</v>
      </c>
      <c r="C2425" s="5" t="str">
        <f>IFERROR(__xludf.DUMMYFUNCTION("GOOGLETRANSLATE(D:D,""auto"",""en"")"),"Baiyunshan approved chloroquine phosphate")</f>
        <v>Baiyunshan approved chloroquine phosphate</v>
      </c>
      <c r="D2425" s="4" t="s">
        <v>3654</v>
      </c>
      <c r="E2425" s="4">
        <v>0.0</v>
      </c>
      <c r="F2425" s="4">
        <v>24.0</v>
      </c>
      <c r="G2425" s="4" t="s">
        <v>3655</v>
      </c>
    </row>
    <row r="2426">
      <c r="A2426" s="1">
        <v>2424.0</v>
      </c>
      <c r="B2426" s="4" t="s">
        <v>3619</v>
      </c>
      <c r="C2426" s="5" t="str">
        <f>IFERROR(__xludf.DUMMYFUNCTION("GOOGLETRANSLATE(D:D,""auto"",""en"")"),"Experts on the virus infectivity")</f>
        <v>Experts on the virus infectivity</v>
      </c>
      <c r="D2426" s="4" t="s">
        <v>3656</v>
      </c>
      <c r="E2426" s="4">
        <v>0.0</v>
      </c>
      <c r="F2426" s="4">
        <v>25.0</v>
      </c>
      <c r="G2426" s="4" t="s">
        <v>3657</v>
      </c>
    </row>
    <row r="2427">
      <c r="A2427" s="1">
        <v>2425.0</v>
      </c>
      <c r="B2427" s="4" t="s">
        <v>3619</v>
      </c>
      <c r="C2427" s="5" t="str">
        <f>IFERROR(__xludf.DUMMYFUNCTION("GOOGLETRANSLATE(D:D,""auto"",""en"")"),"Female nurse shaved head Yin Zhengyi")</f>
        <v>Female nurse shaved head Yin Zhengyi</v>
      </c>
      <c r="D2427" s="4" t="s">
        <v>3658</v>
      </c>
      <c r="E2427" s="4">
        <v>0.0</v>
      </c>
      <c r="F2427" s="4">
        <v>26.0</v>
      </c>
      <c r="G2427" s="4" t="s">
        <v>3659</v>
      </c>
    </row>
    <row r="2428">
      <c r="A2428" s="1">
        <v>2426.0</v>
      </c>
      <c r="B2428" s="4" t="s">
        <v>3619</v>
      </c>
      <c r="C2428" s="5" t="str">
        <f>IFERROR(__xludf.DUMMYFUNCTION("GOOGLETRANSLATE(D:D,""auto"",""en"")"),"Experts on the outside turning point in Hubei Province")</f>
        <v>Experts on the outside turning point in Hubei Province</v>
      </c>
      <c r="D2428" s="4" t="s">
        <v>3581</v>
      </c>
      <c r="E2428" s="4">
        <v>0.0</v>
      </c>
      <c r="F2428" s="4">
        <v>27.0</v>
      </c>
      <c r="G2428" s="4" t="s">
        <v>3582</v>
      </c>
    </row>
    <row r="2429">
      <c r="A2429" s="1">
        <v>2427.0</v>
      </c>
      <c r="B2429" s="4" t="s">
        <v>3619</v>
      </c>
      <c r="C2429" s="5" t="str">
        <f>IFERROR(__xludf.DUMMYFUNCTION("GOOGLETRANSLATE(D:D,""auto"",""en"")"),"Yang Mi-hop dance act loving fox")</f>
        <v>Yang Mi-hop dance act loving fox</v>
      </c>
      <c r="D2429" s="4" t="s">
        <v>3660</v>
      </c>
      <c r="E2429" s="4">
        <v>0.0</v>
      </c>
      <c r="F2429" s="4">
        <v>28.0</v>
      </c>
      <c r="G2429" s="4" t="s">
        <v>3661</v>
      </c>
    </row>
    <row r="2430">
      <c r="A2430" s="1">
        <v>2428.0</v>
      </c>
      <c r="B2430" s="4" t="s">
        <v>3619</v>
      </c>
      <c r="C2430" s="5" t="str">
        <f>IFERROR(__xludf.DUMMYFUNCTION("GOOGLETRANSLATE(D:D,""auto"",""en"")"),"Niger stampede")</f>
        <v>Niger stampede</v>
      </c>
      <c r="D2430" s="4" t="s">
        <v>3662</v>
      </c>
      <c r="E2430" s="4">
        <v>0.0</v>
      </c>
      <c r="F2430" s="4">
        <v>29.0</v>
      </c>
      <c r="G2430" s="4" t="s">
        <v>3663</v>
      </c>
    </row>
    <row r="2431">
      <c r="A2431" s="1">
        <v>2429.0</v>
      </c>
      <c r="B2431" s="4" t="s">
        <v>3619</v>
      </c>
      <c r="C2431" s="5" t="str">
        <f>IFERROR(__xludf.DUMMYFUNCTION("GOOGLETRANSLATE(D:D,""auto"",""en"")"),"China HKUST major discovery")</f>
        <v>China HKUST major discovery</v>
      </c>
      <c r="D2431" s="4" t="s">
        <v>3664</v>
      </c>
      <c r="E2431" s="4">
        <v>0.0</v>
      </c>
      <c r="F2431" s="4">
        <v>30.0</v>
      </c>
      <c r="G2431" s="4" t="s">
        <v>3665</v>
      </c>
    </row>
    <row r="2432">
      <c r="A2432" s="1">
        <v>2430.0</v>
      </c>
      <c r="B2432" s="4" t="s">
        <v>3619</v>
      </c>
      <c r="C2432" s="5" t="str">
        <f>IFERROR(__xludf.DUMMYFUNCTION("GOOGLETRANSLATE(D:D,""auto"",""en"")"),"Jinan 4.1 earthquake")</f>
        <v>Jinan 4.1 earthquake</v>
      </c>
      <c r="D2432" s="4" t="s">
        <v>3666</v>
      </c>
      <c r="E2432" s="4">
        <v>0.0</v>
      </c>
      <c r="F2432" s="4">
        <v>31.0</v>
      </c>
      <c r="G2432" s="4" t="s">
        <v>3667</v>
      </c>
    </row>
    <row r="2433">
      <c r="A2433" s="1">
        <v>2431.0</v>
      </c>
      <c r="B2433" s="4" t="s">
        <v>3619</v>
      </c>
      <c r="C2433" s="5" t="str">
        <f>IFERROR(__xludf.DUMMYFUNCTION("GOOGLETRANSLATE(D:D,""auto"",""en"")"),"Zhong Nanshan talk about the virus mutates")</f>
        <v>Zhong Nanshan talk about the virus mutates</v>
      </c>
      <c r="D2433" s="4" t="s">
        <v>3668</v>
      </c>
      <c r="E2433" s="4">
        <v>0.0</v>
      </c>
      <c r="F2433" s="4">
        <v>32.0</v>
      </c>
      <c r="G2433" s="4" t="s">
        <v>3669</v>
      </c>
    </row>
    <row r="2434">
      <c r="A2434" s="1">
        <v>2432.0</v>
      </c>
      <c r="B2434" s="4" t="s">
        <v>3619</v>
      </c>
      <c r="C2434" s="5" t="str">
        <f>IFERROR(__xludf.DUMMYFUNCTION("GOOGLETRANSLATE(D:D,""auto"",""en"")"),"Hubei remain ineffective treatment")</f>
        <v>Hubei remain ineffective treatment</v>
      </c>
      <c r="D2434" s="4" t="s">
        <v>3670</v>
      </c>
      <c r="E2434" s="4">
        <v>0.0</v>
      </c>
      <c r="F2434" s="4">
        <v>33.0</v>
      </c>
      <c r="G2434" s="4" t="s">
        <v>3671</v>
      </c>
    </row>
    <row r="2435">
      <c r="A2435" s="1">
        <v>2433.0</v>
      </c>
      <c r="B2435" s="4" t="s">
        <v>3619</v>
      </c>
      <c r="C2435" s="5" t="str">
        <f>IFERROR(__xludf.DUMMYFUNCTION("GOOGLETRANSLATE(D:D,""auto"",""en"")"),"Store nine tons of alcohol arrest")</f>
        <v>Store nine tons of alcohol arrest</v>
      </c>
      <c r="D2435" s="4" t="s">
        <v>3611</v>
      </c>
      <c r="E2435" s="4">
        <v>0.0</v>
      </c>
      <c r="F2435" s="4">
        <v>34.0</v>
      </c>
      <c r="G2435" s="4" t="s">
        <v>3612</v>
      </c>
    </row>
    <row r="2436">
      <c r="A2436" s="1">
        <v>2434.0</v>
      </c>
      <c r="B2436" s="4" t="s">
        <v>3619</v>
      </c>
      <c r="C2436" s="5" t="str">
        <f>IFERROR(__xludf.DUMMYFUNCTION("GOOGLETRANSLATE(D:D,""auto"",""en"")"),"Wei Wei exposed photograph")</f>
        <v>Wei Wei exposed photograph</v>
      </c>
      <c r="D2436" s="4" t="s">
        <v>3672</v>
      </c>
      <c r="E2436" s="4">
        <v>0.0</v>
      </c>
      <c r="F2436" s="4">
        <v>35.0</v>
      </c>
      <c r="G2436" s="4" t="s">
        <v>3673</v>
      </c>
    </row>
    <row r="2437">
      <c r="A2437" s="1">
        <v>2435.0</v>
      </c>
      <c r="B2437" s="4" t="s">
        <v>3619</v>
      </c>
      <c r="C2437" s="5" t="str">
        <f>IFERROR(__xludf.DUMMYFUNCTION("GOOGLETRANSLATE(D:D,""auto"",""en"")"),"24 Chinese people diagnosed Thailand")</f>
        <v>24 Chinese people diagnosed Thailand</v>
      </c>
      <c r="D2437" s="4" t="s">
        <v>3674</v>
      </c>
      <c r="E2437" s="4">
        <v>0.0</v>
      </c>
      <c r="F2437" s="4">
        <v>36.0</v>
      </c>
      <c r="G2437" s="4" t="s">
        <v>3675</v>
      </c>
    </row>
    <row r="2438">
      <c r="A2438" s="1">
        <v>2436.0</v>
      </c>
      <c r="B2438" s="4" t="s">
        <v>3619</v>
      </c>
      <c r="C2438" s="5" t="str">
        <f>IFERROR(__xludf.DUMMYFUNCTION("GOOGLETRANSLATE(D:D,""auto"",""en"")"),"Wuhan did not stop person to person")</f>
        <v>Wuhan did not stop person to person</v>
      </c>
      <c r="D2438" s="4" t="s">
        <v>3676</v>
      </c>
      <c r="E2438" s="4">
        <v>0.0</v>
      </c>
      <c r="F2438" s="4">
        <v>37.0</v>
      </c>
      <c r="G2438" s="4" t="s">
        <v>3677</v>
      </c>
    </row>
    <row r="2439">
      <c r="A2439" s="1">
        <v>2437.0</v>
      </c>
      <c r="B2439" s="4" t="s">
        <v>3619</v>
      </c>
      <c r="C2439" s="5" t="str">
        <f>IFERROR(__xludf.DUMMYFUNCTION("GOOGLETRANSLATE(D:D,""auto"",""en"")"),"The new crown cure difficult birth")</f>
        <v>The new crown cure difficult birth</v>
      </c>
      <c r="D2439" s="4" t="s">
        <v>3678</v>
      </c>
      <c r="E2439" s="4">
        <v>0.0</v>
      </c>
      <c r="F2439" s="4">
        <v>38.0</v>
      </c>
      <c r="G2439" s="4" t="s">
        <v>3679</v>
      </c>
    </row>
    <row r="2440">
      <c r="A2440" s="1">
        <v>2438.0</v>
      </c>
      <c r="B2440" s="4" t="s">
        <v>3619</v>
      </c>
      <c r="C2440" s="5" t="str">
        <f>IFERROR(__xludf.DUMMYFUNCTION("GOOGLETRANSLATE(D:D,""auto"",""en"")"),"Yi Kwang - su traffic accidents")</f>
        <v>Yi Kwang - su traffic accidents</v>
      </c>
      <c r="D2440" s="4" t="s">
        <v>3680</v>
      </c>
      <c r="E2440" s="4">
        <v>0.0</v>
      </c>
      <c r="F2440" s="4">
        <v>39.0</v>
      </c>
      <c r="G2440" s="4" t="s">
        <v>3681</v>
      </c>
    </row>
    <row r="2441">
      <c r="A2441" s="1">
        <v>2439.0</v>
      </c>
      <c r="B2441" s="4" t="s">
        <v>3619</v>
      </c>
      <c r="C2441" s="5" t="str">
        <f>IFERROR(__xludf.DUMMYFUNCTION("GOOGLETRANSLATE(D:D,""auto"",""en"")"),"In addition to outside Wenzhou, Zhejiang canceled card points")</f>
        <v>In addition to outside Wenzhou, Zhejiang canceled card points</v>
      </c>
      <c r="D2441" s="4" t="s">
        <v>3682</v>
      </c>
      <c r="E2441" s="4">
        <v>0.0</v>
      </c>
      <c r="F2441" s="4">
        <v>40.0</v>
      </c>
      <c r="G2441" s="4" t="s">
        <v>3683</v>
      </c>
    </row>
    <row r="2442">
      <c r="A2442" s="1">
        <v>2440.0</v>
      </c>
      <c r="B2442" s="4" t="s">
        <v>3619</v>
      </c>
      <c r="C2442" s="5" t="str">
        <f>IFERROR(__xludf.DUMMYFUNCTION("GOOGLETRANSLATE(D:D,""auto"",""en"")"),"Artist Huang Zhibo been arrested")</f>
        <v>Artist Huang Zhibo been arrested</v>
      </c>
      <c r="D2442" s="4" t="s">
        <v>3571</v>
      </c>
      <c r="E2442" s="4">
        <v>0.0</v>
      </c>
      <c r="F2442" s="4">
        <v>41.0</v>
      </c>
      <c r="G2442" s="4" t="s">
        <v>3572</v>
      </c>
    </row>
    <row r="2443">
      <c r="A2443" s="1">
        <v>2441.0</v>
      </c>
      <c r="B2443" s="4" t="s">
        <v>3619</v>
      </c>
      <c r="C2443" s="5" t="str">
        <f>IFERROR(__xludf.DUMMYFUNCTION("GOOGLETRANSLATE(D:D,""auto"",""en"")"),"Thailand a nine confirmed")</f>
        <v>Thailand a nine confirmed</v>
      </c>
      <c r="D2443" s="4" t="s">
        <v>3684</v>
      </c>
      <c r="E2443" s="4">
        <v>0.0</v>
      </c>
      <c r="F2443" s="4">
        <v>42.0</v>
      </c>
      <c r="G2443" s="4" t="s">
        <v>3685</v>
      </c>
    </row>
    <row r="2444">
      <c r="A2444" s="1">
        <v>2442.0</v>
      </c>
      <c r="B2444" s="4" t="s">
        <v>3619</v>
      </c>
      <c r="C2444" s="5" t="str">
        <f>IFERROR(__xludf.DUMMYFUNCTION("GOOGLETRANSLATE(D:D,""auto"",""en"")"),"West centralized quarantine 178 people")</f>
        <v>West centralized quarantine 178 people</v>
      </c>
      <c r="D2444" s="4" t="s">
        <v>3686</v>
      </c>
      <c r="E2444" s="4">
        <v>0.0</v>
      </c>
      <c r="F2444" s="4">
        <v>43.0</v>
      </c>
      <c r="G2444" s="4" t="s">
        <v>3687</v>
      </c>
    </row>
    <row r="2445">
      <c r="A2445" s="1">
        <v>2443.0</v>
      </c>
      <c r="B2445" s="4" t="s">
        <v>3619</v>
      </c>
      <c r="C2445" s="5" t="str">
        <f>IFERROR(__xludf.DUMMYFUNCTION("GOOGLETRANSLATE(D:D,""auto"",""en"")"),"United States appeared masks shortage")</f>
        <v>United States appeared masks shortage</v>
      </c>
      <c r="D2445" s="4" t="s">
        <v>3688</v>
      </c>
      <c r="E2445" s="4">
        <v>0.0</v>
      </c>
      <c r="F2445" s="4">
        <v>44.0</v>
      </c>
      <c r="G2445" s="4" t="s">
        <v>3689</v>
      </c>
    </row>
    <row r="2446">
      <c r="A2446" s="1">
        <v>2444.0</v>
      </c>
      <c r="B2446" s="4" t="s">
        <v>3619</v>
      </c>
      <c r="C2446" s="5" t="str">
        <f>IFERROR(__xludf.DUMMYFUNCTION("GOOGLETRANSLATE(D:D,""auto"",""en"")"),"Wuhan, the largest shelter hospital")</f>
        <v>Wuhan, the largest shelter hospital</v>
      </c>
      <c r="D2446" s="4" t="s">
        <v>3690</v>
      </c>
      <c r="E2446" s="4">
        <v>0.0</v>
      </c>
      <c r="F2446" s="4">
        <v>45.0</v>
      </c>
      <c r="G2446" s="4" t="s">
        <v>3691</v>
      </c>
    </row>
    <row r="2447">
      <c r="A2447" s="1">
        <v>2445.0</v>
      </c>
      <c r="B2447" s="4" t="s">
        <v>3619</v>
      </c>
      <c r="C2447" s="5" t="str">
        <f>IFERROR(__xludf.DUMMYFUNCTION("GOOGLETRANSLATE(D:D,""auto"",""en"")"),"2020, oil prices down again")</f>
        <v>2020, oil prices down again</v>
      </c>
      <c r="D2447" s="4" t="s">
        <v>3692</v>
      </c>
      <c r="E2447" s="4">
        <v>0.0</v>
      </c>
      <c r="F2447" s="4">
        <v>46.0</v>
      </c>
      <c r="G2447" s="4" t="s">
        <v>3693</v>
      </c>
    </row>
    <row r="2448">
      <c r="A2448" s="1">
        <v>2446.0</v>
      </c>
      <c r="B2448" s="4" t="s">
        <v>3619</v>
      </c>
      <c r="C2448" s="5" t="str">
        <f>IFERROR(__xludf.DUMMYFUNCTION("GOOGLETRANSLATE(D:D,""auto"",""en"")"),"Han Foundation released accounts")</f>
        <v>Han Foundation released accounts</v>
      </c>
      <c r="D2448" s="4" t="s">
        <v>3599</v>
      </c>
      <c r="E2448" s="4">
        <v>0.0</v>
      </c>
      <c r="F2448" s="4">
        <v>47.0</v>
      </c>
      <c r="G2448" s="4" t="s">
        <v>3600</v>
      </c>
    </row>
    <row r="2449">
      <c r="A2449" s="1">
        <v>2447.0</v>
      </c>
      <c r="B2449" s="4" t="s">
        <v>3619</v>
      </c>
      <c r="C2449" s="5" t="str">
        <f>IFERROR(__xludf.DUMMYFUNCTION("GOOGLETRANSLATE(D:D,""auto"",""en"")"),"Of the total confirmed over 70,000")</f>
        <v>Of the total confirmed over 70,000</v>
      </c>
      <c r="D2449" s="4" t="s">
        <v>3553</v>
      </c>
      <c r="E2449" s="4">
        <v>0.0</v>
      </c>
      <c r="F2449" s="4">
        <v>48.0</v>
      </c>
      <c r="G2449" s="4" t="s">
        <v>3554</v>
      </c>
    </row>
    <row r="2450">
      <c r="A2450" s="1">
        <v>2448.0</v>
      </c>
      <c r="B2450" s="4" t="s">
        <v>3619</v>
      </c>
      <c r="C2450" s="5" t="str">
        <f>IFERROR(__xludf.DUMMYFUNCTION("GOOGLETRANSLATE(D:D,""auto"",""en"")"),"Zhejiang has thirty thousand soldiers locust duck")</f>
        <v>Zhejiang has thirty thousand soldiers locust duck</v>
      </c>
      <c r="D2450" s="4" t="s">
        <v>3565</v>
      </c>
      <c r="E2450" s="4">
        <v>0.0</v>
      </c>
      <c r="F2450" s="4">
        <v>49.0</v>
      </c>
      <c r="G2450" s="4" t="s">
        <v>3566</v>
      </c>
    </row>
    <row r="2451">
      <c r="A2451" s="1">
        <v>2449.0</v>
      </c>
      <c r="B2451" s="4" t="s">
        <v>3619</v>
      </c>
      <c r="C2451" s="5" t="str">
        <f>IFERROR(__xludf.DUMMYFUNCTION("GOOGLETRANSLATE(D:D,""auto"",""en"")"),"Ministry of Agriculture to talk about the impending plague of locusts")</f>
        <v>Ministry of Agriculture to talk about the impending plague of locusts</v>
      </c>
      <c r="D2451" s="4" t="s">
        <v>3569</v>
      </c>
      <c r="E2451" s="4">
        <v>0.0</v>
      </c>
      <c r="F2451" s="4">
        <v>50.0</v>
      </c>
      <c r="G2451" s="4" t="s">
        <v>3570</v>
      </c>
    </row>
    <row r="2452">
      <c r="A2452" s="1">
        <v>2450.0</v>
      </c>
      <c r="B2452" s="4" t="s">
        <v>3694</v>
      </c>
      <c r="C2452" s="5" t="str">
        <f>IFERROR(__xludf.DUMMYFUNCTION("GOOGLETRANSLATE(D:D,""auto"",""en"")"),"Dean died in hospital Wuchang")</f>
        <v>Dean died in hospital Wuchang</v>
      </c>
      <c r="D2452" s="4" t="s">
        <v>3640</v>
      </c>
      <c r="E2452" s="4">
        <v>0.0</v>
      </c>
      <c r="F2452" s="4">
        <v>1.0</v>
      </c>
      <c r="G2452" s="4" t="s">
        <v>3641</v>
      </c>
    </row>
    <row r="2453">
      <c r="A2453" s="1">
        <v>2451.0</v>
      </c>
      <c r="B2453" s="4" t="s">
        <v>3694</v>
      </c>
      <c r="C2453" s="5" t="str">
        <f>IFERROR(__xludf.DUMMYFUNCTION("GOOGLETRANSLATE(D:D,""auto"",""en"")"),"Epidemic first appeared three")</f>
        <v>Epidemic first appeared three</v>
      </c>
      <c r="D2453" s="4" t="s">
        <v>3642</v>
      </c>
      <c r="E2453" s="4">
        <v>0.0</v>
      </c>
      <c r="F2453" s="4">
        <v>2.0</v>
      </c>
      <c r="G2453" s="4" t="s">
        <v>3643</v>
      </c>
    </row>
    <row r="2454">
      <c r="A2454" s="1">
        <v>2452.0</v>
      </c>
      <c r="B2454" s="4" t="s">
        <v>3694</v>
      </c>
      <c r="C2454" s="5" t="str">
        <f>IFERROR(__xludf.DUMMYFUNCTION("GOOGLETRANSLATE(D:D,""auto"",""en"")"),"Gansu forest fires")</f>
        <v>Gansu forest fires</v>
      </c>
      <c r="D2454" s="4" t="s">
        <v>3695</v>
      </c>
      <c r="E2454" s="4">
        <v>0.0</v>
      </c>
      <c r="F2454" s="4">
        <v>3.0</v>
      </c>
      <c r="G2454" s="4" t="s">
        <v>3696</v>
      </c>
    </row>
    <row r="2455">
      <c r="A2455" s="1">
        <v>2453.0</v>
      </c>
      <c r="B2455" s="4" t="s">
        <v>3694</v>
      </c>
      <c r="C2455" s="5" t="str">
        <f>IFERROR(__xludf.DUMMYFUNCTION("GOOGLETRANSLATE(D:D,""auto"",""en"")"),"Of the total deaths over two thousand")</f>
        <v>Of the total deaths over two thousand</v>
      </c>
      <c r="D2455" s="4" t="s">
        <v>3697</v>
      </c>
      <c r="E2455" s="4">
        <v>0.0</v>
      </c>
      <c r="F2455" s="4">
        <v>4.0</v>
      </c>
      <c r="G2455" s="4" t="s">
        <v>3698</v>
      </c>
    </row>
    <row r="2456">
      <c r="A2456" s="1">
        <v>2454.0</v>
      </c>
      <c r="B2456" s="4" t="s">
        <v>3694</v>
      </c>
      <c r="C2456" s="5" t="str">
        <f>IFERROR(__xludf.DUMMYFUNCTION("GOOGLETRANSLATE(D:D,""auto"",""en"")"),"South China Seafood Market Situation")</f>
        <v>South China Seafood Market Situation</v>
      </c>
      <c r="D2456" s="4" t="s">
        <v>3699</v>
      </c>
      <c r="E2456" s="4">
        <v>0.0</v>
      </c>
      <c r="F2456" s="4">
        <v>5.0</v>
      </c>
      <c r="G2456" s="4" t="s">
        <v>3700</v>
      </c>
    </row>
    <row r="2457">
      <c r="A2457" s="1">
        <v>2455.0</v>
      </c>
      <c r="B2457" s="4" t="s">
        <v>3694</v>
      </c>
      <c r="C2457" s="5" t="str">
        <f>IFERROR(__xludf.DUMMYFUNCTION("GOOGLETRANSLATE(D:D,""auto"",""en"")"),"Hubei new non-fall of 15 days")</f>
        <v>Hubei new non-fall of 15 days</v>
      </c>
      <c r="D2457" s="4" t="s">
        <v>3701</v>
      </c>
      <c r="E2457" s="4">
        <v>0.0</v>
      </c>
      <c r="F2457" s="4">
        <v>6.0</v>
      </c>
      <c r="G2457" s="4" t="s">
        <v>3702</v>
      </c>
    </row>
    <row r="2458">
      <c r="A2458" s="1">
        <v>2456.0</v>
      </c>
      <c r="B2458" s="4" t="s">
        <v>3694</v>
      </c>
      <c r="C2458" s="5" t="str">
        <f>IFERROR(__xludf.DUMMYFUNCTION("GOOGLETRANSLATE(D:D,""auto"",""en"")"),"10 Contagion good news")</f>
        <v>10 Contagion good news</v>
      </c>
      <c r="D2458" s="4" t="s">
        <v>3703</v>
      </c>
      <c r="E2458" s="4">
        <v>0.0</v>
      </c>
      <c r="F2458" s="4">
        <v>7.0</v>
      </c>
      <c r="G2458" s="4" t="s">
        <v>3704</v>
      </c>
    </row>
    <row r="2459">
      <c r="A2459" s="1">
        <v>2457.0</v>
      </c>
      <c r="B2459" s="4" t="s">
        <v>3694</v>
      </c>
      <c r="C2459" s="5" t="str">
        <f>IFERROR(__xludf.DUMMYFUNCTION("GOOGLETRANSLATE(D:D,""auto"",""en"")"),"After the outbreak price trend")</f>
        <v>After the outbreak price trend</v>
      </c>
      <c r="D2459" s="4" t="s">
        <v>3705</v>
      </c>
      <c r="E2459" s="4">
        <v>0.0</v>
      </c>
      <c r="F2459" s="4">
        <v>8.0</v>
      </c>
      <c r="G2459" s="4" t="s">
        <v>3706</v>
      </c>
    </row>
    <row r="2460">
      <c r="A2460" s="1">
        <v>2458.0</v>
      </c>
      <c r="B2460" s="4" t="s">
        <v>3694</v>
      </c>
      <c r="C2460" s="5" t="str">
        <f>IFERROR(__xludf.DUMMYFUNCTION("GOOGLETRANSLATE(D:D,""auto"",""en"")"),"Exceptional promotion epidemic female cadres")</f>
        <v>Exceptional promotion epidemic female cadres</v>
      </c>
      <c r="D2460" s="4" t="s">
        <v>3707</v>
      </c>
      <c r="E2460" s="4">
        <v>0.0</v>
      </c>
      <c r="F2460" s="4">
        <v>9.0</v>
      </c>
      <c r="G2460" s="4" t="s">
        <v>3708</v>
      </c>
    </row>
    <row r="2461">
      <c r="A2461" s="1">
        <v>2459.0</v>
      </c>
      <c r="B2461" s="4" t="s">
        <v>3694</v>
      </c>
      <c r="C2461" s="5" t="str">
        <f>IFERROR(__xludf.DUMMYFUNCTION("GOOGLETRANSLATE(D:D,""auto"",""en"")"),"Forced to make hair more rest")</f>
        <v>Forced to make hair more rest</v>
      </c>
      <c r="D2461" s="4" t="s">
        <v>3709</v>
      </c>
      <c r="E2461" s="4">
        <v>0.0</v>
      </c>
      <c r="F2461" s="4">
        <v>10.0</v>
      </c>
      <c r="G2461" s="4" t="s">
        <v>3710</v>
      </c>
    </row>
    <row r="2462">
      <c r="A2462" s="1">
        <v>2460.0</v>
      </c>
      <c r="B2462" s="4" t="s">
        <v>3694</v>
      </c>
      <c r="C2462" s="5" t="str">
        <f>IFERROR(__xludf.DUMMYFUNCTION("GOOGLETRANSLATE(D:D,""auto"",""en"")"),"Hubei 41-year-old female cadres killed")</f>
        <v>Hubei 41-year-old female cadres killed</v>
      </c>
      <c r="D2462" s="4" t="s">
        <v>3711</v>
      </c>
      <c r="E2462" s="4">
        <v>0.0</v>
      </c>
      <c r="F2462" s="4">
        <v>11.0</v>
      </c>
      <c r="G2462" s="4" t="s">
        <v>3712</v>
      </c>
    </row>
    <row r="2463">
      <c r="A2463" s="1">
        <v>2461.0</v>
      </c>
      <c r="B2463" s="4" t="s">
        <v>3694</v>
      </c>
      <c r="C2463" s="5" t="str">
        <f>IFERROR(__xludf.DUMMYFUNCTION("GOOGLETRANSLATE(D:D,""auto"",""en"")"),"Wuhan investigation assignment today")</f>
        <v>Wuhan investigation assignment today</v>
      </c>
      <c r="D2463" s="4" t="s">
        <v>3713</v>
      </c>
      <c r="E2463" s="4">
        <v>0.0</v>
      </c>
      <c r="F2463" s="4">
        <v>12.0</v>
      </c>
      <c r="G2463" s="4" t="s">
        <v>3714</v>
      </c>
    </row>
    <row r="2464">
      <c r="A2464" s="1">
        <v>2462.0</v>
      </c>
      <c r="B2464" s="4" t="s">
        <v>3694</v>
      </c>
      <c r="C2464" s="5" t="str">
        <f>IFERROR(__xludf.DUMMYFUNCTION("GOOGLETRANSLATE(D:D,""auto"",""en"")"),"Cruise infection nationality announcement")</f>
        <v>Cruise infection nationality announcement</v>
      </c>
      <c r="D2464" s="4" t="s">
        <v>3715</v>
      </c>
      <c r="E2464" s="4">
        <v>0.0</v>
      </c>
      <c r="F2464" s="4">
        <v>13.0</v>
      </c>
      <c r="G2464" s="4" t="s">
        <v>3716</v>
      </c>
    </row>
    <row r="2465">
      <c r="A2465" s="1">
        <v>2463.0</v>
      </c>
      <c r="B2465" s="4" t="s">
        <v>3694</v>
      </c>
      <c r="C2465" s="5" t="str">
        <f>IFERROR(__xludf.DUMMYFUNCTION("GOOGLETRANSLATE(D:D,""auto"",""en"")"),"Capacity utilization over a hundred masks")</f>
        <v>Capacity utilization over a hundred masks</v>
      </c>
      <c r="D2465" s="4" t="s">
        <v>3717</v>
      </c>
      <c r="E2465" s="4">
        <v>0.0</v>
      </c>
      <c r="F2465" s="4">
        <v>14.0</v>
      </c>
      <c r="G2465" s="4" t="s">
        <v>3718</v>
      </c>
    </row>
    <row r="2466">
      <c r="A2466" s="1">
        <v>2464.0</v>
      </c>
      <c r="B2466" s="4" t="s">
        <v>3694</v>
      </c>
      <c r="C2466" s="5" t="str">
        <f>IFERROR(__xludf.DUMMYFUNCTION("GOOGLETRANSLATE(D:D,""auto"",""en"")"),"Wuhan traffic control upgrades")</f>
        <v>Wuhan traffic control upgrades</v>
      </c>
      <c r="D2466" s="4" t="s">
        <v>3719</v>
      </c>
      <c r="E2466" s="4">
        <v>0.0</v>
      </c>
      <c r="F2466" s="4">
        <v>15.0</v>
      </c>
      <c r="G2466" s="4" t="s">
        <v>3720</v>
      </c>
    </row>
    <row r="2467">
      <c r="A2467" s="1">
        <v>2465.0</v>
      </c>
      <c r="B2467" s="4" t="s">
        <v>3694</v>
      </c>
      <c r="C2467" s="5" t="str">
        <f>IFERROR(__xludf.DUMMYFUNCTION("GOOGLETRANSLATE(D:D,""auto"",""en"")"),"Patient Zero track")</f>
        <v>Patient Zero track</v>
      </c>
      <c r="D2467" s="4" t="s">
        <v>3721</v>
      </c>
      <c r="E2467" s="4">
        <v>0.0</v>
      </c>
      <c r="F2467" s="4">
        <v>16.0</v>
      </c>
      <c r="G2467" s="4" t="s">
        <v>3722</v>
      </c>
    </row>
    <row r="2468">
      <c r="A2468" s="1">
        <v>2466.0</v>
      </c>
      <c r="B2468" s="4" t="s">
        <v>3694</v>
      </c>
      <c r="C2468" s="5" t="str">
        <f>IFERROR(__xludf.DUMMYFUNCTION("GOOGLETRANSLATE(D:D,""auto"",""en"")"),"94-year-old daughter, mother Flag")</f>
        <v>94-year-old daughter, mother Flag</v>
      </c>
      <c r="D2468" s="4" t="s">
        <v>3723</v>
      </c>
      <c r="E2468" s="4">
        <v>0.0</v>
      </c>
      <c r="F2468" s="4">
        <v>17.0</v>
      </c>
      <c r="G2468" s="4" t="s">
        <v>3724</v>
      </c>
    </row>
    <row r="2469">
      <c r="A2469" s="1">
        <v>2467.0</v>
      </c>
      <c r="B2469" s="4" t="s">
        <v>3694</v>
      </c>
      <c r="C2469" s="5" t="str">
        <f>IFERROR(__xludf.DUMMYFUNCTION("GOOGLETRANSLATE(D:D,""auto"",""en"")"),"Pneumonia caused by the death of 15 health care")</f>
        <v>Pneumonia caused by the death of 15 health care</v>
      </c>
      <c r="D2469" s="4" t="s">
        <v>3725</v>
      </c>
      <c r="E2469" s="4">
        <v>0.0</v>
      </c>
      <c r="F2469" s="4">
        <v>18.0</v>
      </c>
      <c r="G2469" s="4" t="s">
        <v>3726</v>
      </c>
    </row>
    <row r="2470">
      <c r="A2470" s="1">
        <v>2468.0</v>
      </c>
      <c r="B2470" s="4" t="s">
        <v>3694</v>
      </c>
      <c r="C2470" s="5" t="str">
        <f>IFERROR(__xludf.DUMMYFUNCTION("GOOGLETRANSLATE(D:D,""auto"",""en"")"),"Home diagnosed will find accountability")</f>
        <v>Home diagnosed will find accountability</v>
      </c>
      <c r="D2470" s="4" t="s">
        <v>3727</v>
      </c>
      <c r="E2470" s="4">
        <v>0.0</v>
      </c>
      <c r="F2470" s="4">
        <v>19.0</v>
      </c>
      <c r="G2470" s="4" t="s">
        <v>3728</v>
      </c>
    </row>
    <row r="2471">
      <c r="A2471" s="1">
        <v>2469.0</v>
      </c>
      <c r="B2471" s="4" t="s">
        <v>3694</v>
      </c>
      <c r="C2471" s="5" t="str">
        <f>IFERROR(__xludf.DUMMYFUNCTION("GOOGLETRANSLATE(D:D,""auto"",""en"")"),"France occurred tomato virus")</f>
        <v>France occurred tomato virus</v>
      </c>
      <c r="D2471" s="4" t="s">
        <v>3729</v>
      </c>
      <c r="E2471" s="4">
        <v>0.0</v>
      </c>
      <c r="F2471" s="4">
        <v>20.0</v>
      </c>
      <c r="G2471" s="4" t="s">
        <v>3730</v>
      </c>
    </row>
    <row r="2472">
      <c r="A2472" s="1">
        <v>2470.0</v>
      </c>
      <c r="B2472" s="4" t="s">
        <v>3694</v>
      </c>
      <c r="C2472" s="5" t="str">
        <f>IFERROR(__xludf.DUMMYFUNCTION("GOOGLETRANSLATE(D:D,""auto"",""en"")"),"Zhong Nanshan talk about the virus mutates")</f>
        <v>Zhong Nanshan talk about the virus mutates</v>
      </c>
      <c r="D2472" s="4" t="s">
        <v>3668</v>
      </c>
      <c r="E2472" s="4">
        <v>0.0</v>
      </c>
      <c r="F2472" s="4">
        <v>21.0</v>
      </c>
      <c r="G2472" s="4" t="s">
        <v>3669</v>
      </c>
    </row>
    <row r="2473">
      <c r="A2473" s="1">
        <v>2471.0</v>
      </c>
      <c r="B2473" s="4" t="s">
        <v>3694</v>
      </c>
      <c r="C2473" s="5" t="str">
        <f>IFERROR(__xludf.DUMMYFUNCTION("GOOGLETRANSLATE(D:D,""auto"",""en"")"),"United States appeared masks shortage")</f>
        <v>United States appeared masks shortage</v>
      </c>
      <c r="D2473" s="4" t="s">
        <v>3688</v>
      </c>
      <c r="E2473" s="4">
        <v>0.0</v>
      </c>
      <c r="F2473" s="4">
        <v>22.0</v>
      </c>
      <c r="G2473" s="4" t="s">
        <v>3689</v>
      </c>
    </row>
    <row r="2474">
      <c r="A2474" s="1">
        <v>2472.0</v>
      </c>
      <c r="B2474" s="4" t="s">
        <v>3694</v>
      </c>
      <c r="C2474" s="5" t="str">
        <f>IFERROR(__xludf.DUMMYFUNCTION("GOOGLETRANSLATE(D:D,""auto"",""en"")"),"Hubei remain ineffective treatment")</f>
        <v>Hubei remain ineffective treatment</v>
      </c>
      <c r="D2474" s="4" t="s">
        <v>3670</v>
      </c>
      <c r="E2474" s="4">
        <v>0.0</v>
      </c>
      <c r="F2474" s="4">
        <v>23.0</v>
      </c>
      <c r="G2474" s="4" t="s">
        <v>3671</v>
      </c>
    </row>
    <row r="2475">
      <c r="A2475" s="1">
        <v>2473.0</v>
      </c>
      <c r="B2475" s="4" t="s">
        <v>3694</v>
      </c>
      <c r="C2475" s="5" t="str">
        <f>IFERROR(__xludf.DUMMYFUNCTION("GOOGLETRANSLATE(D:D,""auto"",""en"")"),"Hyun Bin Fang again denied the affair")</f>
        <v>Hyun Bin Fang again denied the affair</v>
      </c>
      <c r="D2475" s="4" t="s">
        <v>3731</v>
      </c>
      <c r="E2475" s="4">
        <v>0.0</v>
      </c>
      <c r="F2475" s="4">
        <v>24.0</v>
      </c>
      <c r="G2475" s="4" t="s">
        <v>3732</v>
      </c>
    </row>
    <row r="2476">
      <c r="A2476" s="1">
        <v>2474.0</v>
      </c>
      <c r="B2476" s="4" t="s">
        <v>3694</v>
      </c>
      <c r="C2476" s="5" t="str">
        <f>IFERROR(__xludf.DUMMYFUNCTION("GOOGLETRANSLATE(D:D,""auto"",""en"")"),"Experts on the virus infectivity")</f>
        <v>Experts on the virus infectivity</v>
      </c>
      <c r="D2476" s="4" t="s">
        <v>3656</v>
      </c>
      <c r="E2476" s="4">
        <v>0.0</v>
      </c>
      <c r="F2476" s="4">
        <v>25.0</v>
      </c>
      <c r="G2476" s="4" t="s">
        <v>3657</v>
      </c>
    </row>
    <row r="2477">
      <c r="A2477" s="1">
        <v>2475.0</v>
      </c>
      <c r="B2477" s="4" t="s">
        <v>3694</v>
      </c>
      <c r="C2477" s="5" t="str">
        <f>IFERROR(__xludf.DUMMYFUNCTION("GOOGLETRANSLATE(D:D,""auto"",""en"")"),"Lee jailed for 17 years")</f>
        <v>Lee jailed for 17 years</v>
      </c>
      <c r="D2477" s="4" t="s">
        <v>3733</v>
      </c>
      <c r="E2477" s="4">
        <v>0.0</v>
      </c>
      <c r="F2477" s="4">
        <v>26.0</v>
      </c>
      <c r="G2477" s="4" t="s">
        <v>3734</v>
      </c>
    </row>
    <row r="2478">
      <c r="A2478" s="1">
        <v>2476.0</v>
      </c>
      <c r="B2478" s="4" t="s">
        <v>3694</v>
      </c>
      <c r="C2478" s="5" t="str">
        <f>IFERROR(__xludf.DUMMYFUNCTION("GOOGLETRANSLATE(D:D,""auto"",""en"")"),"The new crown cure difficult birth")</f>
        <v>The new crown cure difficult birth</v>
      </c>
      <c r="D2478" s="4" t="s">
        <v>3678</v>
      </c>
      <c r="E2478" s="4">
        <v>0.0</v>
      </c>
      <c r="F2478" s="4">
        <v>27.0</v>
      </c>
      <c r="G2478" s="4" t="s">
        <v>3679</v>
      </c>
    </row>
    <row r="2479">
      <c r="A2479" s="1">
        <v>2477.0</v>
      </c>
      <c r="B2479" s="4" t="s">
        <v>3694</v>
      </c>
      <c r="C2479" s="5" t="str">
        <f>IFERROR(__xludf.DUMMYFUNCTION("GOOGLETRANSLATE(D:D,""auto"",""en"")"),"2020, oil prices down again")</f>
        <v>2020, oil prices down again</v>
      </c>
      <c r="D2479" s="4" t="s">
        <v>3692</v>
      </c>
      <c r="E2479" s="4">
        <v>0.0</v>
      </c>
      <c r="F2479" s="4">
        <v>28.0</v>
      </c>
      <c r="G2479" s="4" t="s">
        <v>3693</v>
      </c>
    </row>
    <row r="2480">
      <c r="A2480" s="1">
        <v>2478.0</v>
      </c>
      <c r="B2480" s="4" t="s">
        <v>3694</v>
      </c>
      <c r="C2480" s="5" t="str">
        <f>IFERROR(__xludf.DUMMYFUNCTION("GOOGLETRANSLATE(D:D,""auto"",""en"")"),"People comment nurse shaved head")</f>
        <v>People comment nurse shaved head</v>
      </c>
      <c r="D2480" s="4" t="s">
        <v>3735</v>
      </c>
      <c r="E2480" s="4">
        <v>0.0</v>
      </c>
      <c r="F2480" s="4">
        <v>29.0</v>
      </c>
      <c r="G2480" s="4" t="s">
        <v>3736</v>
      </c>
    </row>
    <row r="2481">
      <c r="A2481" s="1">
        <v>2479.0</v>
      </c>
      <c r="B2481" s="4" t="s">
        <v>3694</v>
      </c>
      <c r="C2481" s="5" t="str">
        <f>IFERROR(__xludf.DUMMYFUNCTION("GOOGLETRANSLATE(D:D,""auto"",""en"")"),"Sicong skiing with ex-girlfriend")</f>
        <v>Sicong skiing with ex-girlfriend</v>
      </c>
      <c r="D2481" s="4" t="s">
        <v>3737</v>
      </c>
      <c r="E2481" s="4">
        <v>0.0</v>
      </c>
      <c r="F2481" s="4">
        <v>30.0</v>
      </c>
      <c r="G2481" s="4" t="s">
        <v>3738</v>
      </c>
    </row>
    <row r="2482">
      <c r="A2482" s="1">
        <v>2480.0</v>
      </c>
      <c r="B2482" s="4" t="s">
        <v>3694</v>
      </c>
      <c r="C2482" s="5" t="str">
        <f>IFERROR(__xludf.DUMMYFUNCTION("GOOGLETRANSLATE(D:D,""auto"",""en"")"),"Liu Qiang East occasional users Couples")</f>
        <v>Liu Qiang East occasional users Couples</v>
      </c>
      <c r="D2482" s="4" t="s">
        <v>3739</v>
      </c>
      <c r="E2482" s="4">
        <v>0.0</v>
      </c>
      <c r="F2482" s="4">
        <v>31.0</v>
      </c>
      <c r="G2482" s="4" t="s">
        <v>3740</v>
      </c>
    </row>
    <row r="2483">
      <c r="A2483" s="1">
        <v>2481.0</v>
      </c>
      <c r="B2483" s="4" t="s">
        <v>3694</v>
      </c>
      <c r="C2483" s="5" t="str">
        <f>IFERROR(__xludf.DUMMYFUNCTION("GOOGLETRANSLATE(D:D,""auto"",""en"")"),"Wuhan Institute of Virology open letter")</f>
        <v>Wuhan Institute of Virology open letter</v>
      </c>
      <c r="D2483" s="4" t="s">
        <v>3741</v>
      </c>
      <c r="E2483" s="4">
        <v>0.0</v>
      </c>
      <c r="F2483" s="4">
        <v>32.0</v>
      </c>
      <c r="G2483" s="4" t="s">
        <v>3742</v>
      </c>
    </row>
    <row r="2484">
      <c r="A2484" s="1">
        <v>2482.0</v>
      </c>
      <c r="B2484" s="4" t="s">
        <v>3694</v>
      </c>
      <c r="C2484" s="5" t="str">
        <f>IFERROR(__xludf.DUMMYFUNCTION("GOOGLETRANSLATE(D:D,""auto"",""en"")"),"West centralized quarantine 178 people")</f>
        <v>West centralized quarantine 178 people</v>
      </c>
      <c r="D2484" s="4" t="s">
        <v>3686</v>
      </c>
      <c r="E2484" s="4">
        <v>0.0</v>
      </c>
      <c r="F2484" s="4">
        <v>33.0</v>
      </c>
      <c r="G2484" s="4" t="s">
        <v>3687</v>
      </c>
    </row>
    <row r="2485">
      <c r="A2485" s="1">
        <v>2483.0</v>
      </c>
      <c r="B2485" s="4" t="s">
        <v>3694</v>
      </c>
      <c r="C2485" s="5" t="str">
        <f>IFERROR(__xludf.DUMMYFUNCTION("GOOGLETRANSLATE(D:D,""auto"",""en"")"),"Changqing Garden Expo fire")</f>
        <v>Changqing Garden Expo fire</v>
      </c>
      <c r="D2485" s="4" t="s">
        <v>3743</v>
      </c>
      <c r="E2485" s="4">
        <v>0.0</v>
      </c>
      <c r="F2485" s="4">
        <v>34.0</v>
      </c>
      <c r="G2485" s="4" t="s">
        <v>3744</v>
      </c>
    </row>
    <row r="2486">
      <c r="A2486" s="1">
        <v>2484.0</v>
      </c>
      <c r="B2486" s="4" t="s">
        <v>3694</v>
      </c>
      <c r="C2486" s="5" t="str">
        <f>IFERROR(__xludf.DUMMYFUNCTION("GOOGLETRANSLATE(D:D,""auto"",""en"")"),"Trump Wanghua buy engine")</f>
        <v>Trump Wanghua buy engine</v>
      </c>
      <c r="D2486" s="4" t="s">
        <v>3745</v>
      </c>
      <c r="E2486" s="4">
        <v>0.0</v>
      </c>
      <c r="F2486" s="4">
        <v>35.0</v>
      </c>
      <c r="G2486" s="4" t="s">
        <v>3746</v>
      </c>
    </row>
    <row r="2487">
      <c r="A2487" s="1">
        <v>2485.0</v>
      </c>
      <c r="B2487" s="4" t="s">
        <v>3694</v>
      </c>
      <c r="C2487" s="5" t="str">
        <f>IFERROR(__xludf.DUMMYFUNCTION("GOOGLETRANSLATE(D:D,""auto"",""en"")"),"Song Weilong family portrait was traced")</f>
        <v>Song Weilong family portrait was traced</v>
      </c>
      <c r="D2487" s="4" t="s">
        <v>3747</v>
      </c>
      <c r="E2487" s="4">
        <v>0.0</v>
      </c>
      <c r="F2487" s="4">
        <v>36.0</v>
      </c>
      <c r="G2487" s="4" t="s">
        <v>3748</v>
      </c>
    </row>
    <row r="2488">
      <c r="A2488" s="1">
        <v>2486.0</v>
      </c>
      <c r="B2488" s="4" t="s">
        <v>3694</v>
      </c>
      <c r="C2488" s="5" t="str">
        <f>IFERROR(__xludf.DUMMYFUNCTION("GOOGLETRANSLATE(D:D,""auto"",""en"")"),"Beijing early March untrue school")</f>
        <v>Beijing early March untrue school</v>
      </c>
      <c r="D2488" s="4" t="s">
        <v>3749</v>
      </c>
      <c r="E2488" s="4">
        <v>0.0</v>
      </c>
      <c r="F2488" s="4">
        <v>37.0</v>
      </c>
      <c r="G2488" s="4" t="s">
        <v>3750</v>
      </c>
    </row>
    <row r="2489">
      <c r="A2489" s="1">
        <v>2487.0</v>
      </c>
      <c r="B2489" s="4" t="s">
        <v>3694</v>
      </c>
      <c r="C2489" s="5" t="str">
        <f>IFERROR(__xludf.DUMMYFUNCTION("GOOGLETRANSLATE(D:D,""auto"",""en"")"),"Wuhan did not stop person to person")</f>
        <v>Wuhan did not stop person to person</v>
      </c>
      <c r="D2489" s="4" t="s">
        <v>3676</v>
      </c>
      <c r="E2489" s="4">
        <v>0.0</v>
      </c>
      <c r="F2489" s="4">
        <v>38.0</v>
      </c>
      <c r="G2489" s="4" t="s">
        <v>3677</v>
      </c>
    </row>
    <row r="2490">
      <c r="A2490" s="1">
        <v>2488.0</v>
      </c>
      <c r="B2490" s="4" t="s">
        <v>3694</v>
      </c>
      <c r="C2490" s="5" t="str">
        <f>IFERROR(__xludf.DUMMYFUNCTION("GOOGLETRANSLATE(D:D,""auto"",""en"")"),"Jinan 4.1 earthquake")</f>
        <v>Jinan 4.1 earthquake</v>
      </c>
      <c r="D2490" s="4" t="s">
        <v>3666</v>
      </c>
      <c r="E2490" s="4">
        <v>0.0</v>
      </c>
      <c r="F2490" s="4">
        <v>39.0</v>
      </c>
      <c r="G2490" s="4" t="s">
        <v>3667</v>
      </c>
    </row>
    <row r="2491">
      <c r="A2491" s="1">
        <v>2489.0</v>
      </c>
      <c r="B2491" s="4" t="s">
        <v>3694</v>
      </c>
      <c r="C2491" s="5" t="str">
        <f>IFERROR(__xludf.DUMMYFUNCTION("GOOGLETRANSLATE(D:D,""auto"",""en"")"),"On the E-stored grain food stocks")</f>
        <v>On the E-stored grain food stocks</v>
      </c>
      <c r="D2491" s="4" t="s">
        <v>3751</v>
      </c>
      <c r="E2491" s="4">
        <v>0.0</v>
      </c>
      <c r="F2491" s="4">
        <v>40.0</v>
      </c>
      <c r="G2491" s="4" t="s">
        <v>3752</v>
      </c>
    </row>
    <row r="2492">
      <c r="A2492" s="1">
        <v>2490.0</v>
      </c>
      <c r="B2492" s="4" t="s">
        <v>3694</v>
      </c>
      <c r="C2492" s="5" t="str">
        <f>IFERROR(__xludf.DUMMYFUNCTION("GOOGLETRANSLATE(D:D,""auto"",""en"")"),"Yi Kwang - su traffic accidents")</f>
        <v>Yi Kwang - su traffic accidents</v>
      </c>
      <c r="D2492" s="4" t="s">
        <v>3680</v>
      </c>
      <c r="E2492" s="4">
        <v>0.0</v>
      </c>
      <c r="F2492" s="4">
        <v>41.0</v>
      </c>
      <c r="G2492" s="4" t="s">
        <v>3681</v>
      </c>
    </row>
    <row r="2493">
      <c r="A2493" s="1">
        <v>2491.0</v>
      </c>
      <c r="B2493" s="4" t="s">
        <v>3694</v>
      </c>
      <c r="C2493" s="5" t="str">
        <f>IFERROR(__xludf.DUMMYFUNCTION("GOOGLETRANSLATE(D:D,""auto"",""en"")"),"Wuhan non-hospital pneumonia treatment")</f>
        <v>Wuhan non-hospital pneumonia treatment</v>
      </c>
      <c r="D2493" s="4" t="s">
        <v>3753</v>
      </c>
      <c r="E2493" s="4">
        <v>0.0</v>
      </c>
      <c r="F2493" s="4">
        <v>42.0</v>
      </c>
      <c r="G2493" s="4" t="s">
        <v>3754</v>
      </c>
    </row>
    <row r="2494">
      <c r="A2494" s="1">
        <v>2492.0</v>
      </c>
      <c r="B2494" s="4" t="s">
        <v>3694</v>
      </c>
      <c r="C2494" s="5" t="str">
        <f>IFERROR(__xludf.DUMMYFUNCTION("GOOGLETRANSLATE(D:D,""auto"",""en"")"),"China HKUST major discovery")</f>
        <v>China HKUST major discovery</v>
      </c>
      <c r="D2494" s="4" t="s">
        <v>3664</v>
      </c>
      <c r="E2494" s="4">
        <v>0.0</v>
      </c>
      <c r="F2494" s="4">
        <v>43.0</v>
      </c>
      <c r="G2494" s="4" t="s">
        <v>3665</v>
      </c>
    </row>
    <row r="2495">
      <c r="A2495" s="1">
        <v>2493.0</v>
      </c>
      <c r="B2495" s="4" t="s">
        <v>3694</v>
      </c>
      <c r="C2495" s="5" t="str">
        <f>IFERROR(__xludf.DUMMYFUNCTION("GOOGLETRANSLATE(D:D,""auto"",""en"")"),"The number of confirmed outbreaks in Japan")</f>
        <v>The number of confirmed outbreaks in Japan</v>
      </c>
      <c r="D2495" s="4" t="s">
        <v>3638</v>
      </c>
      <c r="E2495" s="4">
        <v>0.0</v>
      </c>
      <c r="F2495" s="4">
        <v>44.0</v>
      </c>
      <c r="G2495" s="4" t="s">
        <v>3639</v>
      </c>
    </row>
    <row r="2496">
      <c r="A2496" s="1">
        <v>2494.0</v>
      </c>
      <c r="B2496" s="4" t="s">
        <v>3694</v>
      </c>
      <c r="C2496" s="5" t="str">
        <f>IFERROR(__xludf.DUMMYFUNCTION("GOOGLETRANSLATE(D:D,""auto"",""en"")"),"Vigilance ""Green Swan"" incoming")</f>
        <v>Vigilance "Green Swan" incoming</v>
      </c>
      <c r="D2496" s="4" t="s">
        <v>3630</v>
      </c>
      <c r="E2496" s="4">
        <v>0.0</v>
      </c>
      <c r="F2496" s="4">
        <v>45.0</v>
      </c>
      <c r="G2496" s="4" t="s">
        <v>3631</v>
      </c>
    </row>
    <row r="2497">
      <c r="A2497" s="1">
        <v>2495.0</v>
      </c>
      <c r="B2497" s="4" t="s">
        <v>3694</v>
      </c>
      <c r="C2497" s="5" t="str">
        <f>IFERROR(__xludf.DUMMYFUNCTION("GOOGLETRANSLATE(D:D,""auto"",""en"")"),"Jackie Chan, Eric Tsang party")</f>
        <v>Jackie Chan, Eric Tsang party</v>
      </c>
      <c r="D2497" s="4" t="s">
        <v>3636</v>
      </c>
      <c r="E2497" s="4">
        <v>0.0</v>
      </c>
      <c r="F2497" s="4">
        <v>46.0</v>
      </c>
      <c r="G2497" s="4" t="s">
        <v>3637</v>
      </c>
    </row>
    <row r="2498">
      <c r="A2498" s="1">
        <v>2496.0</v>
      </c>
      <c r="B2498" s="4" t="s">
        <v>3694</v>
      </c>
      <c r="C2498" s="5" t="str">
        <f>IFERROR(__xludf.DUMMYFUNCTION("GOOGLETRANSLATE(D:D,""auto"",""en"")"),"Chinese Shao home interior exposed")</f>
        <v>Chinese Shao home interior exposed</v>
      </c>
      <c r="D2498" s="4" t="s">
        <v>3650</v>
      </c>
      <c r="E2498" s="4">
        <v>0.0</v>
      </c>
      <c r="F2498" s="4">
        <v>47.0</v>
      </c>
      <c r="G2498" s="4" t="s">
        <v>3651</v>
      </c>
    </row>
    <row r="2499">
      <c r="A2499" s="1">
        <v>2497.0</v>
      </c>
      <c r="B2499" s="4" t="s">
        <v>3694</v>
      </c>
      <c r="C2499" s="5" t="str">
        <f>IFERROR(__xludf.DUMMYFUNCTION("GOOGLETRANSLATE(D:D,""auto"",""en"")"),"Doctors Xu Defu infected died")</f>
        <v>Doctors Xu Defu infected died</v>
      </c>
      <c r="D2499" s="4" t="s">
        <v>3622</v>
      </c>
      <c r="E2499" s="4">
        <v>0.0</v>
      </c>
      <c r="F2499" s="4">
        <v>48.0</v>
      </c>
      <c r="G2499" s="4" t="s">
        <v>3623</v>
      </c>
    </row>
    <row r="2500">
      <c r="A2500" s="1">
        <v>2498.0</v>
      </c>
      <c r="B2500" s="4" t="s">
        <v>3694</v>
      </c>
      <c r="C2500" s="5" t="str">
        <f>IFERROR(__xludf.DUMMYFUNCTION("GOOGLETRANSLATE(D:D,""auto"",""en"")"),"Zeng was traced right lung cancer")</f>
        <v>Zeng was traced right lung cancer</v>
      </c>
      <c r="D2500" s="4" t="s">
        <v>3755</v>
      </c>
      <c r="E2500" s="4">
        <v>0.0</v>
      </c>
      <c r="F2500" s="4">
        <v>49.0</v>
      </c>
      <c r="G2500" s="4" t="s">
        <v>3756</v>
      </c>
    </row>
    <row r="2501">
      <c r="A2501" s="1">
        <v>2499.0</v>
      </c>
      <c r="B2501" s="4" t="s">
        <v>3694</v>
      </c>
      <c r="C2501" s="5" t="str">
        <f>IFERROR(__xludf.DUMMYFUNCTION("GOOGLETRANSLATE(D:D,""auto"",""en"")"),"Henry Huo yawn dislocated jaw")</f>
        <v>Henry Huo yawn dislocated jaw</v>
      </c>
      <c r="D2501" s="4" t="s">
        <v>3757</v>
      </c>
      <c r="E2501" s="4">
        <v>0.0</v>
      </c>
      <c r="F2501" s="4">
        <v>50.0</v>
      </c>
      <c r="G2501" s="4" t="s">
        <v>3758</v>
      </c>
    </row>
    <row r="2502">
      <c r="A2502" s="1">
        <v>2500.0</v>
      </c>
      <c r="B2502" s="4" t="s">
        <v>3759</v>
      </c>
      <c r="C2502" s="5" t="str">
        <f>IFERROR(__xludf.DUMMYFUNCTION("GOOGLETRANSLATE(D:D,""auto"",""en"")"),"Patient Zero track")</f>
        <v>Patient Zero track</v>
      </c>
      <c r="D2502" s="4" t="s">
        <v>3721</v>
      </c>
      <c r="E2502" s="4">
        <v>0.0</v>
      </c>
      <c r="F2502" s="4">
        <v>1.0</v>
      </c>
      <c r="G2502" s="4" t="s">
        <v>3722</v>
      </c>
    </row>
    <row r="2503">
      <c r="A2503" s="1">
        <v>2501.0</v>
      </c>
      <c r="B2503" s="4" t="s">
        <v>3759</v>
      </c>
      <c r="C2503" s="5" t="str">
        <f>IFERROR(__xludf.DUMMYFUNCTION("GOOGLETRANSLATE(D:D,""auto"",""en"")"),"Ezhou police station to respond to events")</f>
        <v>Ezhou police station to respond to events</v>
      </c>
      <c r="D2503" s="4" t="s">
        <v>3760</v>
      </c>
      <c r="E2503" s="4">
        <v>0.0</v>
      </c>
      <c r="F2503" s="4">
        <v>2.0</v>
      </c>
      <c r="G2503" s="4" t="s">
        <v>3761</v>
      </c>
    </row>
    <row r="2504">
      <c r="A2504" s="1">
        <v>2502.0</v>
      </c>
      <c r="B2504" s="4" t="s">
        <v>3759</v>
      </c>
      <c r="C2504" s="5" t="str">
        <f>IFERROR(__xludf.DUMMYFUNCTION("GOOGLETRANSLATE(D:D,""auto"",""en"")"),"94-year-old daughter, mother Flag")</f>
        <v>94-year-old daughter, mother Flag</v>
      </c>
      <c r="D2504" s="4" t="s">
        <v>3723</v>
      </c>
      <c r="E2504" s="4">
        <v>0.0</v>
      </c>
      <c r="F2504" s="4">
        <v>3.0</v>
      </c>
      <c r="G2504" s="4" t="s">
        <v>3724</v>
      </c>
    </row>
    <row r="2505">
      <c r="A2505" s="1">
        <v>2503.0</v>
      </c>
      <c r="B2505" s="4" t="s">
        <v>3759</v>
      </c>
      <c r="C2505" s="5" t="str">
        <f>IFERROR(__xludf.DUMMYFUNCTION("GOOGLETRANSLATE(D:D,""auto"",""en"")"),"Beijing early March untrue school")</f>
        <v>Beijing early March untrue school</v>
      </c>
      <c r="D2505" s="4" t="s">
        <v>3749</v>
      </c>
      <c r="E2505" s="4">
        <v>0.0</v>
      </c>
      <c r="F2505" s="4">
        <v>4.0</v>
      </c>
      <c r="G2505" s="4" t="s">
        <v>3750</v>
      </c>
    </row>
    <row r="2506">
      <c r="A2506" s="1">
        <v>2504.0</v>
      </c>
      <c r="B2506" s="4" t="s">
        <v>3759</v>
      </c>
      <c r="C2506" s="5" t="str">
        <f>IFERROR(__xludf.DUMMYFUNCTION("GOOGLETRANSLATE(D:D,""auto"",""en"")"),"Cruise infection nationality announcement")</f>
        <v>Cruise infection nationality announcement</v>
      </c>
      <c r="D2506" s="4" t="s">
        <v>3715</v>
      </c>
      <c r="E2506" s="4">
        <v>0.0</v>
      </c>
      <c r="F2506" s="4">
        <v>5.0</v>
      </c>
      <c r="G2506" s="4" t="s">
        <v>3716</v>
      </c>
    </row>
    <row r="2507">
      <c r="A2507" s="1">
        <v>2505.0</v>
      </c>
      <c r="B2507" s="4" t="s">
        <v>3759</v>
      </c>
      <c r="C2507" s="5" t="str">
        <f>IFERROR(__xludf.DUMMYFUNCTION("GOOGLETRANSLATE(D:D,""auto"",""en"")"),"Capacity utilization over a hundred masks")</f>
        <v>Capacity utilization over a hundred masks</v>
      </c>
      <c r="D2507" s="4" t="s">
        <v>3717</v>
      </c>
      <c r="E2507" s="4">
        <v>0.0</v>
      </c>
      <c r="F2507" s="4">
        <v>6.0</v>
      </c>
      <c r="G2507" s="4" t="s">
        <v>3718</v>
      </c>
    </row>
    <row r="2508">
      <c r="A2508" s="1">
        <v>2506.0</v>
      </c>
      <c r="B2508" s="4" t="s">
        <v>3759</v>
      </c>
      <c r="C2508" s="5" t="str">
        <f>IFERROR(__xludf.DUMMYFUNCTION("GOOGLETRANSLATE(D:D,""auto"",""en"")"),"Virus or long-term coexistence with others")</f>
        <v>Virus or long-term coexistence with others</v>
      </c>
      <c r="D2508" s="4" t="s">
        <v>3762</v>
      </c>
      <c r="E2508" s="4">
        <v>0.0</v>
      </c>
      <c r="F2508" s="4">
        <v>7.0</v>
      </c>
      <c r="G2508" s="4" t="s">
        <v>3763</v>
      </c>
    </row>
    <row r="2509">
      <c r="A2509" s="1">
        <v>2507.0</v>
      </c>
      <c r="B2509" s="4" t="s">
        <v>3759</v>
      </c>
      <c r="C2509" s="5" t="str">
        <f>IFERROR(__xludf.DUMMYFUNCTION("GOOGLETRANSLATE(D:D,""auto"",""en"")"),"SUN Xiao fruit was executed")</f>
        <v>SUN Xiao fruit was executed</v>
      </c>
      <c r="D2509" s="4" t="s">
        <v>3764</v>
      </c>
      <c r="E2509" s="4">
        <v>0.0</v>
      </c>
      <c r="F2509" s="4">
        <v>8.0</v>
      </c>
      <c r="G2509" s="4" t="s">
        <v>3765</v>
      </c>
    </row>
    <row r="2510">
      <c r="A2510" s="1">
        <v>2508.0</v>
      </c>
      <c r="B2510" s="4" t="s">
        <v>3759</v>
      </c>
      <c r="C2510" s="5" t="str">
        <f>IFERROR(__xludf.DUMMYFUNCTION("GOOGLETRANSLATE(D:D,""auto"",""en"")"),"Canada 200 vehicles collided")</f>
        <v>Canada 200 vehicles collided</v>
      </c>
      <c r="D2510" s="4" t="s">
        <v>3766</v>
      </c>
      <c r="E2510" s="4">
        <v>0.0</v>
      </c>
      <c r="F2510" s="4">
        <v>9.0</v>
      </c>
      <c r="G2510" s="4" t="s">
        <v>3767</v>
      </c>
    </row>
    <row r="2511">
      <c r="A2511" s="1">
        <v>2509.0</v>
      </c>
      <c r="B2511" s="4" t="s">
        <v>3759</v>
      </c>
      <c r="C2511" s="5" t="str">
        <f>IFERROR(__xludf.DUMMYFUNCTION("GOOGLETRANSLATE(D:D,""auto"",""en"")"),"In the direction of Japan's emergency donation")</f>
        <v>In the direction of Japan's emergency donation</v>
      </c>
      <c r="D2511" s="4" t="s">
        <v>3768</v>
      </c>
      <c r="E2511" s="4">
        <v>0.0</v>
      </c>
      <c r="F2511" s="4">
        <v>10.0</v>
      </c>
      <c r="G2511" s="4" t="s">
        <v>3769</v>
      </c>
    </row>
    <row r="2512">
      <c r="A2512" s="1">
        <v>2510.0</v>
      </c>
      <c r="B2512" s="4" t="s">
        <v>3759</v>
      </c>
      <c r="C2512" s="5" t="str">
        <f>IFERROR(__xludf.DUMMYFUNCTION("GOOGLETRANSLATE(D:D,""auto"",""en"")"),"Hubei new triple-digit drops")</f>
        <v>Hubei new triple-digit drops</v>
      </c>
      <c r="D2512" s="4" t="s">
        <v>3770</v>
      </c>
      <c r="E2512" s="4">
        <v>0.0</v>
      </c>
      <c r="F2512" s="4">
        <v>11.0</v>
      </c>
      <c r="G2512" s="4" t="s">
        <v>3771</v>
      </c>
    </row>
    <row r="2513">
      <c r="A2513" s="1">
        <v>2511.0</v>
      </c>
      <c r="B2513" s="4" t="s">
        <v>3759</v>
      </c>
      <c r="C2513" s="5" t="str">
        <f>IFERROR(__xludf.DUMMYFUNCTION("GOOGLETRANSLATE(D:D,""auto"",""en"")"),"Guangzhou will be opening in three tranches")</f>
        <v>Guangzhou will be opening in three tranches</v>
      </c>
      <c r="D2513" s="4" t="s">
        <v>3772</v>
      </c>
      <c r="E2513" s="4">
        <v>0.0</v>
      </c>
      <c r="F2513" s="4">
        <v>12.0</v>
      </c>
      <c r="G2513" s="4" t="s">
        <v>3773</v>
      </c>
    </row>
    <row r="2514">
      <c r="A2514" s="1">
        <v>2512.0</v>
      </c>
      <c r="B2514" s="4" t="s">
        <v>3759</v>
      </c>
      <c r="C2514" s="5" t="str">
        <f>IFERROR(__xludf.DUMMYFUNCTION("GOOGLETRANSLATE(D:D,""auto"",""en"")"),"Anhui development of new vaccines crown")</f>
        <v>Anhui development of new vaccines crown</v>
      </c>
      <c r="D2514" s="4" t="s">
        <v>3774</v>
      </c>
      <c r="E2514" s="4">
        <v>0.0</v>
      </c>
      <c r="F2514" s="4">
        <v>13.0</v>
      </c>
      <c r="G2514" s="4" t="s">
        <v>3775</v>
      </c>
    </row>
    <row r="2515">
      <c r="A2515" s="1">
        <v>2513.0</v>
      </c>
      <c r="B2515" s="4" t="s">
        <v>3759</v>
      </c>
      <c r="C2515" s="5" t="str">
        <f>IFERROR(__xludf.DUMMYFUNCTION("GOOGLETRANSLATE(D:D,""auto"",""en"")"),"Jingdong respond Shenzhou prosecution")</f>
        <v>Jingdong respond Shenzhou prosecution</v>
      </c>
      <c r="D2515" s="4" t="s">
        <v>3776</v>
      </c>
      <c r="E2515" s="4">
        <v>0.0</v>
      </c>
      <c r="F2515" s="4">
        <v>14.0</v>
      </c>
      <c r="G2515" s="4" t="s">
        <v>3777</v>
      </c>
    </row>
    <row r="2516">
      <c r="A2516" s="1">
        <v>2514.0</v>
      </c>
      <c r="B2516" s="4" t="s">
        <v>3759</v>
      </c>
      <c r="C2516" s="5" t="str">
        <f>IFERROR(__xludf.DUMMYFUNCTION("GOOGLETRANSLATE(D:D,""auto"",""en"")"),"Central Steering Group mourn the dead")</f>
        <v>Central Steering Group mourn the dead</v>
      </c>
      <c r="D2516" s="4" t="s">
        <v>3778</v>
      </c>
      <c r="E2516" s="4">
        <v>0.0</v>
      </c>
      <c r="F2516" s="4">
        <v>15.0</v>
      </c>
      <c r="G2516" s="4" t="s">
        <v>3779</v>
      </c>
    </row>
    <row r="2517">
      <c r="A2517" s="1">
        <v>2515.0</v>
      </c>
      <c r="B2517" s="4" t="s">
        <v>3759</v>
      </c>
      <c r="C2517" s="5" t="str">
        <f>IFERROR(__xludf.DUMMYFUNCTION("GOOGLETRANSLATE(D:D,""auto"",""en"")"),"Pangolin smuggling in the current virus")</f>
        <v>Pangolin smuggling in the current virus</v>
      </c>
      <c r="D2517" s="4" t="s">
        <v>3780</v>
      </c>
      <c r="E2517" s="4">
        <v>0.0</v>
      </c>
      <c r="F2517" s="4">
        <v>16.0</v>
      </c>
      <c r="G2517" s="4" t="s">
        <v>3781</v>
      </c>
    </row>
    <row r="2518">
      <c r="A2518" s="1">
        <v>2516.0</v>
      </c>
      <c r="B2518" s="4" t="s">
        <v>3759</v>
      </c>
      <c r="C2518" s="5" t="str">
        <f>IFERROR(__xludf.DUMMYFUNCTION("GOOGLETRANSLATE(D:D,""auto"",""en"")"),"The new virus from the animal world crown")</f>
        <v>The new virus from the animal world crown</v>
      </c>
      <c r="D2518" s="4" t="s">
        <v>3782</v>
      </c>
      <c r="E2518" s="4">
        <v>0.0</v>
      </c>
      <c r="F2518" s="4">
        <v>17.0</v>
      </c>
      <c r="G2518" s="4" t="s">
        <v>3783</v>
      </c>
    </row>
    <row r="2519">
      <c r="A2519" s="1">
        <v>2517.0</v>
      </c>
      <c r="B2519" s="4" t="s">
        <v>3759</v>
      </c>
      <c r="C2519" s="5" t="str">
        <f>IFERROR(__xludf.DUMMYFUNCTION("GOOGLETRANSLATE(D:D,""auto"",""en"")"),"New World did not die outcome Gimhae")</f>
        <v>New World did not die outcome Gimhae</v>
      </c>
      <c r="D2519" s="4" t="s">
        <v>3784</v>
      </c>
      <c r="E2519" s="4">
        <v>0.0</v>
      </c>
      <c r="F2519" s="4">
        <v>18.0</v>
      </c>
      <c r="G2519" s="4" t="s">
        <v>3785</v>
      </c>
    </row>
    <row r="2520">
      <c r="A2520" s="1">
        <v>2518.0</v>
      </c>
      <c r="B2520" s="4" t="s">
        <v>3759</v>
      </c>
      <c r="C2520" s="5" t="str">
        <f>IFERROR(__xludf.DUMMYFUNCTION("GOOGLETRANSLATE(D:D,""auto"",""en"")"),"Japanese citizens have 3 days holiday")</f>
        <v>Japanese citizens have 3 days holiday</v>
      </c>
      <c r="D2520" s="4" t="s">
        <v>3786</v>
      </c>
      <c r="E2520" s="4">
        <v>0.0</v>
      </c>
      <c r="F2520" s="4">
        <v>19.0</v>
      </c>
      <c r="G2520" s="4" t="s">
        <v>3787</v>
      </c>
    </row>
    <row r="2521">
      <c r="A2521" s="1">
        <v>2519.0</v>
      </c>
      <c r="B2521" s="4" t="s">
        <v>3759</v>
      </c>
      <c r="C2521" s="5" t="str">
        <f>IFERROR(__xludf.DUMMYFUNCTION("GOOGLETRANSLATE(D:D,""auto"",""en"")"),"Central Steering Group approved Hubei")</f>
        <v>Central Steering Group approved Hubei</v>
      </c>
      <c r="D2521" s="4" t="s">
        <v>3788</v>
      </c>
      <c r="E2521" s="4">
        <v>0.0</v>
      </c>
      <c r="F2521" s="4">
        <v>20.0</v>
      </c>
      <c r="G2521" s="4" t="s">
        <v>3789</v>
      </c>
    </row>
    <row r="2522">
      <c r="A2522" s="1">
        <v>2520.0</v>
      </c>
      <c r="B2522" s="4" t="s">
        <v>3759</v>
      </c>
      <c r="C2522" s="5" t="str">
        <f>IFERROR(__xludf.DUMMYFUNCTION("GOOGLETRANSLATE(D:D,""auto"",""en"")"),"Henan after March 1 opening")</f>
        <v>Henan after March 1 opening</v>
      </c>
      <c r="D2522" s="4" t="s">
        <v>3790</v>
      </c>
      <c r="E2522" s="4">
        <v>0.0</v>
      </c>
      <c r="F2522" s="4">
        <v>21.0</v>
      </c>
      <c r="G2522" s="4" t="s">
        <v>3791</v>
      </c>
    </row>
    <row r="2523">
      <c r="A2523" s="1">
        <v>2521.0</v>
      </c>
      <c r="B2523" s="4" t="s">
        <v>3759</v>
      </c>
      <c r="C2523" s="5" t="str">
        <f>IFERROR(__xludf.DUMMYFUNCTION("GOOGLETRANSLATE(D:D,""auto"",""en"")"),"Ning Huanyu announced the marriage")</f>
        <v>Ning Huanyu announced the marriage</v>
      </c>
      <c r="D2523" s="4" t="s">
        <v>3792</v>
      </c>
      <c r="E2523" s="4">
        <v>0.0</v>
      </c>
      <c r="F2523" s="4">
        <v>22.0</v>
      </c>
      <c r="G2523" s="4" t="s">
        <v>3793</v>
      </c>
    </row>
    <row r="2524">
      <c r="A2524" s="1">
        <v>2522.0</v>
      </c>
      <c r="B2524" s="4" t="s">
        <v>3759</v>
      </c>
      <c r="C2524" s="5" t="str">
        <f>IFERROR(__xludf.DUMMYFUNCTION("GOOGLETRANSLATE(D:D,""auto"",""en"")"),"Wuhan epidemic situation is still very grim")</f>
        <v>Wuhan epidemic situation is still very grim</v>
      </c>
      <c r="D2524" s="4" t="s">
        <v>3794</v>
      </c>
      <c r="E2524" s="4">
        <v>0.0</v>
      </c>
      <c r="F2524" s="4">
        <v>23.0</v>
      </c>
      <c r="G2524" s="4" t="s">
        <v>3795</v>
      </c>
    </row>
    <row r="2525">
      <c r="A2525" s="1">
        <v>2523.0</v>
      </c>
      <c r="B2525" s="4" t="s">
        <v>3759</v>
      </c>
      <c r="C2525" s="5" t="str">
        <f>IFERROR(__xludf.DUMMYFUNCTION("GOOGLETRANSLATE(D:D,""auto"",""en"")"),"France occurred tomato virus")</f>
        <v>France occurred tomato virus</v>
      </c>
      <c r="D2525" s="4" t="s">
        <v>3729</v>
      </c>
      <c r="E2525" s="4">
        <v>0.0</v>
      </c>
      <c r="F2525" s="4">
        <v>24.0</v>
      </c>
      <c r="G2525" s="4" t="s">
        <v>3730</v>
      </c>
    </row>
    <row r="2526">
      <c r="A2526" s="1">
        <v>2524.0</v>
      </c>
      <c r="B2526" s="4" t="s">
        <v>3759</v>
      </c>
      <c r="C2526" s="5" t="str">
        <f>IFERROR(__xludf.DUMMYFUNCTION("GOOGLETRANSLATE(D:D,""auto"",""en"")"),"Hubei 41-year-old female cadres killed")</f>
        <v>Hubei 41-year-old female cadres killed</v>
      </c>
      <c r="D2526" s="4" t="s">
        <v>3711</v>
      </c>
      <c r="E2526" s="4">
        <v>0.0</v>
      </c>
      <c r="F2526" s="4">
        <v>25.0</v>
      </c>
      <c r="G2526" s="4" t="s">
        <v>3712</v>
      </c>
    </row>
    <row r="2527">
      <c r="A2527" s="1">
        <v>2525.0</v>
      </c>
      <c r="B2527" s="4" t="s">
        <v>3759</v>
      </c>
      <c r="C2527" s="5" t="str">
        <f>IFERROR(__xludf.DUMMYFUNCTION("GOOGLETRANSLATE(D:D,""auto"",""en"")"),"Trump Wanghua buy engine")</f>
        <v>Trump Wanghua buy engine</v>
      </c>
      <c r="D2527" s="4" t="s">
        <v>3745</v>
      </c>
      <c r="E2527" s="4">
        <v>0.0</v>
      </c>
      <c r="F2527" s="4">
        <v>26.0</v>
      </c>
      <c r="G2527" s="4" t="s">
        <v>3746</v>
      </c>
    </row>
    <row r="2528">
      <c r="A2528" s="1">
        <v>2526.0</v>
      </c>
      <c r="B2528" s="4" t="s">
        <v>3759</v>
      </c>
      <c r="C2528" s="5" t="str">
        <f>IFERROR(__xludf.DUMMYFUNCTION("GOOGLETRANSLATE(D:D,""auto"",""en"")"),"Wuhan asked to sign a liability form")</f>
        <v>Wuhan asked to sign a liability form</v>
      </c>
      <c r="D2528" s="4" t="s">
        <v>3796</v>
      </c>
      <c r="E2528" s="4">
        <v>0.0</v>
      </c>
      <c r="F2528" s="4">
        <v>27.0</v>
      </c>
      <c r="G2528" s="4" t="s">
        <v>3797</v>
      </c>
    </row>
    <row r="2529">
      <c r="A2529" s="1">
        <v>2527.0</v>
      </c>
      <c r="B2529" s="4" t="s">
        <v>3759</v>
      </c>
      <c r="C2529" s="5" t="str">
        <f>IFERROR(__xludf.DUMMYFUNCTION("GOOGLETRANSLATE(D:D,""auto"",""en"")"),"Japan whistleblower apology")</f>
        <v>Japan whistleblower apology</v>
      </c>
      <c r="D2529" s="4" t="s">
        <v>3798</v>
      </c>
      <c r="E2529" s="4">
        <v>0.0</v>
      </c>
      <c r="F2529" s="4">
        <v>28.0</v>
      </c>
      <c r="G2529" s="4" t="s">
        <v>3799</v>
      </c>
    </row>
    <row r="2530">
      <c r="A2530" s="1">
        <v>2528.0</v>
      </c>
      <c r="B2530" s="4" t="s">
        <v>3759</v>
      </c>
      <c r="C2530" s="5" t="str">
        <f>IFERROR(__xludf.DUMMYFUNCTION("GOOGLETRANSLATE(D:D,""auto"",""en"")"),"Hubei cumulative number over a million hospital discharge")</f>
        <v>Hubei cumulative number over a million hospital discharge</v>
      </c>
      <c r="D2530" s="4" t="s">
        <v>3800</v>
      </c>
      <c r="E2530" s="4">
        <v>0.0</v>
      </c>
      <c r="F2530" s="4">
        <v>29.0</v>
      </c>
      <c r="G2530" s="4" t="s">
        <v>3801</v>
      </c>
    </row>
    <row r="2531">
      <c r="A2531" s="1">
        <v>2529.0</v>
      </c>
      <c r="B2531" s="4" t="s">
        <v>3759</v>
      </c>
      <c r="C2531" s="5" t="str">
        <f>IFERROR(__xludf.DUMMYFUNCTION("GOOGLETRANSLATE(D:D,""auto"",""en"")"),"Zhejiang's first deaths")</f>
        <v>Zhejiang's first deaths</v>
      </c>
      <c r="D2531" s="4" t="s">
        <v>3802</v>
      </c>
      <c r="E2531" s="4">
        <v>0.0</v>
      </c>
      <c r="F2531" s="4">
        <v>30.0</v>
      </c>
      <c r="G2531" s="4" t="s">
        <v>3803</v>
      </c>
    </row>
    <row r="2532">
      <c r="A2532" s="1">
        <v>2530.0</v>
      </c>
      <c r="B2532" s="4" t="s">
        <v>3759</v>
      </c>
      <c r="C2532" s="5" t="str">
        <f>IFERROR(__xludf.DUMMYFUNCTION("GOOGLETRANSLATE(D:D,""auto"",""en"")"),"Forced to make hair more rest")</f>
        <v>Forced to make hair more rest</v>
      </c>
      <c r="D2532" s="4" t="s">
        <v>3709</v>
      </c>
      <c r="E2532" s="4">
        <v>0.0</v>
      </c>
      <c r="F2532" s="4">
        <v>31.0</v>
      </c>
      <c r="G2532" s="4" t="s">
        <v>3710</v>
      </c>
    </row>
    <row r="2533">
      <c r="A2533" s="1">
        <v>2531.0</v>
      </c>
      <c r="B2533" s="4" t="s">
        <v>3759</v>
      </c>
      <c r="C2533" s="5" t="str">
        <f>IFERROR(__xludf.DUMMYFUNCTION("GOOGLETRANSLATE(D:D,""auto"",""en"")"),"Hunan Provincial Department of Education issued a notice")</f>
        <v>Hunan Provincial Department of Education issued a notice</v>
      </c>
      <c r="D2533" s="4" t="s">
        <v>3804</v>
      </c>
      <c r="E2533" s="4">
        <v>0.0</v>
      </c>
      <c r="F2533" s="4">
        <v>32.0</v>
      </c>
      <c r="G2533" s="4" t="s">
        <v>3805</v>
      </c>
    </row>
    <row r="2534">
      <c r="A2534" s="1">
        <v>2532.0</v>
      </c>
      <c r="B2534" s="4" t="s">
        <v>3759</v>
      </c>
      <c r="C2534" s="5" t="str">
        <f>IFERROR(__xludf.DUMMYFUNCTION("GOOGLETRANSLATE(D:D,""auto"",""en"")"),"Wuhan 15 districts assignment")</f>
        <v>Wuhan 15 districts assignment</v>
      </c>
      <c r="D2534" s="4" t="s">
        <v>3806</v>
      </c>
      <c r="E2534" s="4">
        <v>0.0</v>
      </c>
      <c r="F2534" s="4">
        <v>33.0</v>
      </c>
      <c r="G2534" s="4" t="s">
        <v>3807</v>
      </c>
    </row>
    <row r="2535">
      <c r="A2535" s="1">
        <v>2533.0</v>
      </c>
      <c r="B2535" s="4" t="s">
        <v>3759</v>
      </c>
      <c r="C2535" s="5" t="str">
        <f>IFERROR(__xludf.DUMMYFUNCTION("GOOGLETRANSLATE(D:D,""auto"",""en"")"),"Shandong Jinan 3.1 earthquake")</f>
        <v>Shandong Jinan 3.1 earthquake</v>
      </c>
      <c r="D2535" s="4" t="s">
        <v>3808</v>
      </c>
      <c r="E2535" s="4">
        <v>0.0</v>
      </c>
      <c r="F2535" s="4">
        <v>34.0</v>
      </c>
      <c r="G2535" s="4" t="s">
        <v>3809</v>
      </c>
    </row>
    <row r="2536">
      <c r="A2536" s="1">
        <v>2534.0</v>
      </c>
      <c r="B2536" s="4" t="s">
        <v>3759</v>
      </c>
      <c r="C2536" s="5" t="str">
        <f>IFERROR(__xludf.DUMMYFUNCTION("GOOGLETRANSLATE(D:D,""auto"",""en"")"),"Part of the district passes Cancel")</f>
        <v>Part of the district passes Cancel</v>
      </c>
      <c r="D2536" s="4" t="s">
        <v>3810</v>
      </c>
      <c r="E2536" s="4">
        <v>0.0</v>
      </c>
      <c r="F2536" s="4">
        <v>35.0</v>
      </c>
      <c r="G2536" s="4" t="s">
        <v>3811</v>
      </c>
    </row>
    <row r="2537">
      <c r="A2537" s="1">
        <v>2535.0</v>
      </c>
      <c r="B2537" s="4" t="s">
        <v>3759</v>
      </c>
      <c r="C2537" s="5" t="str">
        <f>IFERROR(__xludf.DUMMYFUNCTION("GOOGLETRANSLATE(D:D,""auto"",""en"")"),"Shen Teng Yang Mi respond to rumors")</f>
        <v>Shen Teng Yang Mi respond to rumors</v>
      </c>
      <c r="D2537" s="4" t="s">
        <v>3812</v>
      </c>
      <c r="E2537" s="4">
        <v>0.0</v>
      </c>
      <c r="F2537" s="4">
        <v>36.0</v>
      </c>
      <c r="G2537" s="4" t="s">
        <v>3813</v>
      </c>
    </row>
    <row r="2538">
      <c r="A2538" s="1">
        <v>2536.0</v>
      </c>
      <c r="B2538" s="4" t="s">
        <v>3759</v>
      </c>
      <c r="C2538" s="5" t="str">
        <f>IFERROR(__xludf.DUMMYFUNCTION("GOOGLETRANSLATE(D:D,""auto"",""en"")"),"Li Lanjuan inquiry into the ICU")</f>
        <v>Li Lanjuan inquiry into the ICU</v>
      </c>
      <c r="D2538" s="4" t="s">
        <v>3814</v>
      </c>
      <c r="E2538" s="4">
        <v>0.0</v>
      </c>
      <c r="F2538" s="4">
        <v>37.0</v>
      </c>
      <c r="G2538" s="4" t="s">
        <v>3815</v>
      </c>
    </row>
    <row r="2539">
      <c r="A2539" s="1">
        <v>2537.0</v>
      </c>
      <c r="B2539" s="4" t="s">
        <v>3759</v>
      </c>
      <c r="C2539" s="5" t="str">
        <f>IFERROR(__xludf.DUMMYFUNCTION("GOOGLETRANSLATE(D:D,""auto"",""en"")"),"Wuhan Institute of Virology open letter")</f>
        <v>Wuhan Institute of Virology open letter</v>
      </c>
      <c r="D2539" s="4" t="s">
        <v>3741</v>
      </c>
      <c r="E2539" s="4">
        <v>0.0</v>
      </c>
      <c r="F2539" s="4">
        <v>38.0</v>
      </c>
      <c r="G2539" s="4" t="s">
        <v>3742</v>
      </c>
    </row>
    <row r="2540">
      <c r="A2540" s="1">
        <v>2538.0</v>
      </c>
      <c r="B2540" s="4" t="s">
        <v>3759</v>
      </c>
      <c r="C2540" s="5" t="str">
        <f>IFERROR(__xludf.DUMMYFUNCTION("GOOGLETRANSLATE(D:D,""auto"",""en"")"),"Admiralty issued an apology big")</f>
        <v>Admiralty issued an apology big</v>
      </c>
      <c r="D2540" s="4" t="s">
        <v>3816</v>
      </c>
      <c r="E2540" s="4">
        <v>0.0</v>
      </c>
      <c r="F2540" s="4">
        <v>39.0</v>
      </c>
      <c r="G2540" s="4" t="s">
        <v>3817</v>
      </c>
    </row>
    <row r="2541">
      <c r="A2541" s="1">
        <v>2539.0</v>
      </c>
      <c r="B2541" s="4" t="s">
        <v>3759</v>
      </c>
      <c r="C2541" s="5" t="str">
        <f>IFERROR(__xludf.DUMMYFUNCTION("GOOGLETRANSLATE(D:D,""auto"",""en"")"),"After the outbreak price trend")</f>
        <v>After the outbreak price trend</v>
      </c>
      <c r="D2541" s="4" t="s">
        <v>3705</v>
      </c>
      <c r="E2541" s="4">
        <v>0.0</v>
      </c>
      <c r="F2541" s="4">
        <v>40.0</v>
      </c>
      <c r="G2541" s="4" t="s">
        <v>3706</v>
      </c>
    </row>
    <row r="2542">
      <c r="A2542" s="1">
        <v>2540.0</v>
      </c>
      <c r="B2542" s="4" t="s">
        <v>3759</v>
      </c>
      <c r="C2542" s="5" t="str">
        <f>IFERROR(__xludf.DUMMYFUNCTION("GOOGLETRANSLATE(D:D,""auto"",""en"")"),"Lu Wei to be sent quickly by ice")</f>
        <v>Lu Wei to be sent quickly by ice</v>
      </c>
      <c r="D2542" s="4" t="s">
        <v>3818</v>
      </c>
      <c r="E2542" s="4">
        <v>0.0</v>
      </c>
      <c r="F2542" s="4">
        <v>41.0</v>
      </c>
      <c r="G2542" s="4" t="s">
        <v>3819</v>
      </c>
    </row>
    <row r="2543">
      <c r="A2543" s="1">
        <v>2541.0</v>
      </c>
      <c r="B2543" s="4" t="s">
        <v>3759</v>
      </c>
      <c r="C2543" s="5" t="str">
        <f>IFERROR(__xludf.DUMMYFUNCTION("GOOGLETRANSLATE(D:D,""auto"",""en"")"),"Zhong Nanshan joint Harvard University")</f>
        <v>Zhong Nanshan joint Harvard University</v>
      </c>
      <c r="D2543" s="4" t="s">
        <v>3820</v>
      </c>
      <c r="E2543" s="4">
        <v>0.0</v>
      </c>
      <c r="F2543" s="4">
        <v>42.0</v>
      </c>
      <c r="G2543" s="4" t="s">
        <v>3821</v>
      </c>
    </row>
    <row r="2544">
      <c r="A2544" s="1">
        <v>2542.0</v>
      </c>
      <c r="B2544" s="4" t="s">
        <v>3759</v>
      </c>
      <c r="C2544" s="5" t="str">
        <f>IFERROR(__xludf.DUMMYFUNCTION("GOOGLETRANSLATE(D:D,""auto"",""en"")"),"Japanese professor informant recorded video")</f>
        <v>Japanese professor informant recorded video</v>
      </c>
      <c r="D2544" s="4" t="s">
        <v>3822</v>
      </c>
      <c r="E2544" s="4">
        <v>0.0</v>
      </c>
      <c r="F2544" s="4">
        <v>43.0</v>
      </c>
      <c r="G2544" s="4" t="s">
        <v>3823</v>
      </c>
    </row>
    <row r="2545">
      <c r="A2545" s="1">
        <v>2543.0</v>
      </c>
      <c r="B2545" s="4" t="s">
        <v>3759</v>
      </c>
      <c r="C2545" s="5" t="str">
        <f>IFERROR(__xludf.DUMMYFUNCTION("GOOGLETRANSLATE(D:D,""auto"",""en"")"),"The central bank announced cut LPR")</f>
        <v>The central bank announced cut LPR</v>
      </c>
      <c r="D2545" s="4" t="s">
        <v>3824</v>
      </c>
      <c r="E2545" s="4">
        <v>0.0</v>
      </c>
      <c r="F2545" s="4">
        <v>44.0</v>
      </c>
      <c r="G2545" s="4" t="s">
        <v>3825</v>
      </c>
    </row>
    <row r="2546">
      <c r="A2546" s="1">
        <v>2544.0</v>
      </c>
      <c r="B2546" s="4" t="s">
        <v>3759</v>
      </c>
      <c r="C2546" s="5" t="str">
        <f>IFERROR(__xludf.DUMMYFUNCTION("GOOGLETRANSLATE(D:D,""auto"",""en"")"),"Lee jailed for 17 years")</f>
        <v>Lee jailed for 17 years</v>
      </c>
      <c r="D2546" s="4" t="s">
        <v>3733</v>
      </c>
      <c r="E2546" s="4">
        <v>0.0</v>
      </c>
      <c r="F2546" s="4">
        <v>45.0</v>
      </c>
      <c r="G2546" s="4" t="s">
        <v>3734</v>
      </c>
    </row>
    <row r="2547">
      <c r="A2547" s="1">
        <v>2545.0</v>
      </c>
      <c r="B2547" s="4" t="s">
        <v>3759</v>
      </c>
      <c r="C2547" s="5" t="str">
        <f>IFERROR(__xludf.DUMMYFUNCTION("GOOGLETRANSLATE(D:D,""auto"",""en"")"),"Sicong skiing with ex-girlfriend")</f>
        <v>Sicong skiing with ex-girlfriend</v>
      </c>
      <c r="D2547" s="4" t="s">
        <v>3737</v>
      </c>
      <c r="E2547" s="4">
        <v>0.0</v>
      </c>
      <c r="F2547" s="4">
        <v>46.0</v>
      </c>
      <c r="G2547" s="4" t="s">
        <v>3738</v>
      </c>
    </row>
    <row r="2548">
      <c r="A2548" s="1">
        <v>2546.0</v>
      </c>
      <c r="B2548" s="4" t="s">
        <v>3759</v>
      </c>
      <c r="C2548" s="5" t="str">
        <f>IFERROR(__xludf.DUMMYFUNCTION("GOOGLETRANSLATE(D:D,""auto"",""en"")"),"Of the total deaths over two thousand")</f>
        <v>Of the total deaths over two thousand</v>
      </c>
      <c r="D2548" s="4" t="s">
        <v>3697</v>
      </c>
      <c r="E2548" s="4">
        <v>0.0</v>
      </c>
      <c r="F2548" s="4">
        <v>47.0</v>
      </c>
      <c r="G2548" s="4" t="s">
        <v>3698</v>
      </c>
    </row>
    <row r="2549">
      <c r="A2549" s="1">
        <v>2547.0</v>
      </c>
      <c r="B2549" s="4" t="s">
        <v>3759</v>
      </c>
      <c r="C2549" s="5" t="str">
        <f>IFERROR(__xludf.DUMMYFUNCTION("GOOGLETRANSLATE(D:D,""auto"",""en"")"),"New Non-fall of 16, Hubei")</f>
        <v>New Non-fall of 16, Hubei</v>
      </c>
      <c r="D2549" s="4" t="s">
        <v>3826</v>
      </c>
      <c r="E2549" s="4">
        <v>0.0</v>
      </c>
      <c r="F2549" s="4">
        <v>48.0</v>
      </c>
      <c r="G2549" s="4" t="s">
        <v>3827</v>
      </c>
    </row>
    <row r="2550">
      <c r="A2550" s="1">
        <v>2548.0</v>
      </c>
      <c r="B2550" s="4" t="s">
        <v>3759</v>
      </c>
      <c r="C2550" s="5" t="str">
        <f>IFERROR(__xludf.DUMMYFUNCTION("GOOGLETRANSLATE(D:D,""auto"",""en"")"),"Gansu forest fires")</f>
        <v>Gansu forest fires</v>
      </c>
      <c r="D2550" s="4" t="s">
        <v>3695</v>
      </c>
      <c r="E2550" s="4">
        <v>0.0</v>
      </c>
      <c r="F2550" s="4">
        <v>49.0</v>
      </c>
      <c r="G2550" s="4" t="s">
        <v>3696</v>
      </c>
    </row>
    <row r="2551">
      <c r="A2551" s="1">
        <v>2549.0</v>
      </c>
      <c r="B2551" s="4" t="s">
        <v>3759</v>
      </c>
      <c r="C2551" s="5" t="str">
        <f>IFERROR(__xludf.DUMMYFUNCTION("GOOGLETRANSLATE(D:D,""auto"",""en"")"),"Hubei remain ineffective treatment")</f>
        <v>Hubei remain ineffective treatment</v>
      </c>
      <c r="D2551" s="4" t="s">
        <v>3670</v>
      </c>
      <c r="E2551" s="4">
        <v>0.0</v>
      </c>
      <c r="F2551" s="4">
        <v>50.0</v>
      </c>
      <c r="G2551" s="4" t="s">
        <v>3671</v>
      </c>
    </row>
    <row r="2552">
      <c r="A2552" s="1">
        <v>2550.0</v>
      </c>
      <c r="B2552" s="4" t="s">
        <v>3828</v>
      </c>
      <c r="C2552" s="5" t="str">
        <f>IFERROR(__xludf.DUMMYFUNCTION("GOOGLETRANSLATE(D:D,""auto"",""en"")"),"Ning Huanyu announced the marriage")</f>
        <v>Ning Huanyu announced the marriage</v>
      </c>
      <c r="D2552" s="4" t="s">
        <v>3792</v>
      </c>
      <c r="E2552" s="4">
        <v>0.0</v>
      </c>
      <c r="F2552" s="4">
        <v>1.0</v>
      </c>
      <c r="G2552" s="4" t="s">
        <v>3793</v>
      </c>
    </row>
    <row r="2553">
      <c r="A2553" s="1">
        <v>2551.0</v>
      </c>
      <c r="B2553" s="4" t="s">
        <v>3828</v>
      </c>
      <c r="C2553" s="5" t="str">
        <f>IFERROR(__xludf.DUMMYFUNCTION("GOOGLETRANSLATE(D:D,""auto"",""en"")"),"Japanese citizens have 3 days holiday")</f>
        <v>Japanese citizens have 3 days holiday</v>
      </c>
      <c r="D2553" s="4" t="s">
        <v>3786</v>
      </c>
      <c r="E2553" s="4">
        <v>0.0</v>
      </c>
      <c r="F2553" s="4">
        <v>2.0</v>
      </c>
      <c r="G2553" s="4" t="s">
        <v>3787</v>
      </c>
    </row>
    <row r="2554">
      <c r="A2554" s="1">
        <v>2552.0</v>
      </c>
      <c r="B2554" s="4" t="s">
        <v>3828</v>
      </c>
      <c r="C2554" s="5" t="str">
        <f>IFERROR(__xludf.DUMMYFUNCTION("GOOGLETRANSLATE(D:D,""auto"",""en"")"),"Li Lanjuan inquiry into the ICU")</f>
        <v>Li Lanjuan inquiry into the ICU</v>
      </c>
      <c r="D2554" s="4" t="s">
        <v>3814</v>
      </c>
      <c r="E2554" s="4">
        <v>0.0</v>
      </c>
      <c r="F2554" s="4">
        <v>3.0</v>
      </c>
      <c r="G2554" s="4" t="s">
        <v>3815</v>
      </c>
    </row>
    <row r="2555">
      <c r="A2555" s="1">
        <v>2553.0</v>
      </c>
      <c r="B2555" s="4" t="s">
        <v>3828</v>
      </c>
      <c r="C2555" s="5" t="str">
        <f>IFERROR(__xludf.DUMMYFUNCTION("GOOGLETRANSLATE(D:D,""auto"",""en"")"),"Pangolin smuggling in the current virus")</f>
        <v>Pangolin smuggling in the current virus</v>
      </c>
      <c r="D2555" s="4" t="s">
        <v>3780</v>
      </c>
      <c r="E2555" s="4">
        <v>0.0</v>
      </c>
      <c r="F2555" s="4">
        <v>4.0</v>
      </c>
      <c r="G2555" s="4" t="s">
        <v>3781</v>
      </c>
    </row>
    <row r="2556">
      <c r="A2556" s="1">
        <v>2554.0</v>
      </c>
      <c r="B2556" s="4" t="s">
        <v>3828</v>
      </c>
      <c r="C2556" s="5" t="str">
        <f>IFERROR(__xludf.DUMMYFUNCTION("GOOGLETRANSLATE(D:D,""auto"",""en"")"),"Wuhan epidemic situation is still very grim")</f>
        <v>Wuhan epidemic situation is still very grim</v>
      </c>
      <c r="D2556" s="4" t="s">
        <v>3794</v>
      </c>
      <c r="E2556" s="4">
        <v>0.0</v>
      </c>
      <c r="F2556" s="4">
        <v>5.0</v>
      </c>
      <c r="G2556" s="4" t="s">
        <v>3795</v>
      </c>
    </row>
    <row r="2557">
      <c r="A2557" s="1">
        <v>2555.0</v>
      </c>
      <c r="B2557" s="4" t="s">
        <v>3828</v>
      </c>
      <c r="C2557" s="5" t="str">
        <f>IFERROR(__xludf.DUMMYFUNCTION("GOOGLETRANSLATE(D:D,""auto"",""en"")"),"Hubei time return to work notice")</f>
        <v>Hubei time return to work notice</v>
      </c>
      <c r="D2557" s="4" t="s">
        <v>3829</v>
      </c>
      <c r="E2557" s="4">
        <v>0.0</v>
      </c>
      <c r="F2557" s="4">
        <v>6.0</v>
      </c>
      <c r="G2557" s="4" t="s">
        <v>3830</v>
      </c>
    </row>
    <row r="2558">
      <c r="A2558" s="1">
        <v>2556.0</v>
      </c>
      <c r="B2558" s="4" t="s">
        <v>3828</v>
      </c>
      <c r="C2558" s="5" t="str">
        <f>IFERROR(__xludf.DUMMYFUNCTION("GOOGLETRANSLATE(D:D,""auto"",""en"")"),"Central Steering Group approved Hubei")</f>
        <v>Central Steering Group approved Hubei</v>
      </c>
      <c r="D2558" s="4" t="s">
        <v>3788</v>
      </c>
      <c r="E2558" s="4">
        <v>0.0</v>
      </c>
      <c r="F2558" s="4">
        <v>7.0</v>
      </c>
      <c r="G2558" s="4" t="s">
        <v>3789</v>
      </c>
    </row>
    <row r="2559">
      <c r="A2559" s="1">
        <v>2557.0</v>
      </c>
      <c r="B2559" s="4" t="s">
        <v>3828</v>
      </c>
      <c r="C2559" s="5" t="str">
        <f>IFERROR(__xludf.DUMMYFUNCTION("GOOGLETRANSLATE(D:D,""auto"",""en"")"),"Zhejiang's first deaths")</f>
        <v>Zhejiang's first deaths</v>
      </c>
      <c r="D2559" s="4" t="s">
        <v>3802</v>
      </c>
      <c r="E2559" s="4">
        <v>0.0</v>
      </c>
      <c r="F2559" s="4">
        <v>8.0</v>
      </c>
      <c r="G2559" s="4" t="s">
        <v>3803</v>
      </c>
    </row>
    <row r="2560">
      <c r="A2560" s="1">
        <v>2558.0</v>
      </c>
      <c r="B2560" s="4" t="s">
        <v>3828</v>
      </c>
      <c r="C2560" s="5" t="str">
        <f>IFERROR(__xludf.DUMMYFUNCTION("GOOGLETRANSLATE(D:D,""auto"",""en"")"),"Dr Peng Yinhua infection died")</f>
        <v>Dr Peng Yinhua infection died</v>
      </c>
      <c r="D2560" s="4" t="s">
        <v>3831</v>
      </c>
      <c r="E2560" s="4">
        <v>0.0</v>
      </c>
      <c r="F2560" s="4">
        <v>9.0</v>
      </c>
      <c r="G2560" s="4" t="s">
        <v>3832</v>
      </c>
    </row>
    <row r="2561">
      <c r="A2561" s="1">
        <v>2559.0</v>
      </c>
      <c r="B2561" s="4" t="s">
        <v>3828</v>
      </c>
      <c r="C2561" s="5" t="str">
        <f>IFERROR(__xludf.DUMMYFUNCTION("GOOGLETRANSLATE(D:D,""auto"",""en"")"),"Sima 3 bogey will apply for reconsideration")</f>
        <v>Sima 3 bogey will apply for reconsideration</v>
      </c>
      <c r="D2561" s="4" t="s">
        <v>3833</v>
      </c>
      <c r="E2561" s="4">
        <v>0.0</v>
      </c>
      <c r="F2561" s="4">
        <v>10.0</v>
      </c>
      <c r="G2561" s="4" t="s">
        <v>3834</v>
      </c>
    </row>
    <row r="2562">
      <c r="A2562" s="1">
        <v>2560.0</v>
      </c>
      <c r="B2562" s="4" t="s">
        <v>3828</v>
      </c>
      <c r="C2562" s="5" t="str">
        <f>IFERROR(__xludf.DUMMYFUNCTION("GOOGLETRANSLATE(D:D,""auto"",""en"")"),"Dining king died of pneumonia")</f>
        <v>Dining king died of pneumonia</v>
      </c>
      <c r="D2562" s="4" t="s">
        <v>3835</v>
      </c>
      <c r="E2562" s="4">
        <v>0.0</v>
      </c>
      <c r="F2562" s="4">
        <v>11.0</v>
      </c>
      <c r="G2562" s="4" t="s">
        <v>3836</v>
      </c>
    </row>
    <row r="2563">
      <c r="A2563" s="1">
        <v>2561.0</v>
      </c>
      <c r="B2563" s="4" t="s">
        <v>3828</v>
      </c>
      <c r="C2563" s="5" t="str">
        <f>IFERROR(__xludf.DUMMYFUNCTION("GOOGLETRANSLATE(D:D,""auto"",""en"")"),"Hubei new non-rebound")</f>
        <v>Hubei new non-rebound</v>
      </c>
      <c r="D2563" s="4" t="s">
        <v>3837</v>
      </c>
      <c r="E2563" s="4">
        <v>0.0</v>
      </c>
      <c r="F2563" s="4">
        <v>12.0</v>
      </c>
      <c r="G2563" s="4" t="s">
        <v>3838</v>
      </c>
    </row>
    <row r="2564">
      <c r="A2564" s="1">
        <v>2562.0</v>
      </c>
      <c r="B2564" s="4" t="s">
        <v>3828</v>
      </c>
      <c r="C2564" s="5" t="str">
        <f>IFERROR(__xludf.DUMMYFUNCTION("GOOGLETRANSLATE(D:D,""auto"",""en"")"),"Chongqing, Hubei tune plasma reinforcements")</f>
        <v>Chongqing, Hubei tune plasma reinforcements</v>
      </c>
      <c r="D2564" s="4" t="s">
        <v>3839</v>
      </c>
      <c r="E2564" s="4">
        <v>0.0</v>
      </c>
      <c r="F2564" s="4">
        <v>13.0</v>
      </c>
      <c r="G2564" s="4" t="s">
        <v>3840</v>
      </c>
    </row>
    <row r="2565">
      <c r="A2565" s="1">
        <v>2563.0</v>
      </c>
      <c r="B2565" s="4" t="s">
        <v>3828</v>
      </c>
      <c r="C2565" s="5" t="str">
        <f>IFERROR(__xludf.DUMMYFUNCTION("GOOGLETRANSLATE(D:D,""auto"",""en"")"),"Espanyol 0-4 Wolves")</f>
        <v>Espanyol 0-4 Wolves</v>
      </c>
      <c r="D2565" s="4" t="s">
        <v>3841</v>
      </c>
      <c r="E2565" s="4">
        <v>0.0</v>
      </c>
      <c r="F2565" s="4">
        <v>14.0</v>
      </c>
      <c r="G2565" s="4" t="s">
        <v>3842</v>
      </c>
    </row>
    <row r="2566">
      <c r="A2566" s="1">
        <v>2564.0</v>
      </c>
      <c r="B2566" s="4" t="s">
        <v>3828</v>
      </c>
      <c r="C2566" s="5" t="str">
        <f>IFERROR(__xludf.DUMMYFUNCTION("GOOGLETRANSLATE(D:D,""auto"",""en"")"),"The revised data Hubei new crown")</f>
        <v>The revised data Hubei new crown</v>
      </c>
      <c r="D2566" s="4" t="s">
        <v>3843</v>
      </c>
      <c r="E2566" s="4">
        <v>0.0</v>
      </c>
      <c r="F2566" s="4">
        <v>15.0</v>
      </c>
      <c r="G2566" s="4" t="s">
        <v>3844</v>
      </c>
    </row>
    <row r="2567">
      <c r="A2567" s="1">
        <v>2565.0</v>
      </c>
      <c r="B2567" s="4" t="s">
        <v>3828</v>
      </c>
      <c r="C2567" s="5" t="str">
        <f>IFERROR(__xludf.DUMMYFUNCTION("GOOGLETRANSLATE(D:D,""auto"",""en"")"),"Reprimanded for no reason health care is suspended")</f>
        <v>Reprimanded for no reason health care is suspended</v>
      </c>
      <c r="D2567" s="4" t="s">
        <v>3845</v>
      </c>
      <c r="E2567" s="4">
        <v>0.0</v>
      </c>
      <c r="F2567" s="4">
        <v>16.0</v>
      </c>
      <c r="G2567" s="4" t="s">
        <v>3846</v>
      </c>
    </row>
    <row r="2568">
      <c r="A2568" s="1">
        <v>2566.0</v>
      </c>
      <c r="B2568" s="4" t="s">
        <v>3828</v>
      </c>
      <c r="C2568" s="5" t="str">
        <f>IFERROR(__xludf.DUMMYFUNCTION("GOOGLETRANSLATE(D:D,""auto"",""en"")"),"Wuhan hospital intends to build shelter")</f>
        <v>Wuhan hospital intends to build shelter</v>
      </c>
      <c r="D2568" s="4" t="s">
        <v>3847</v>
      </c>
      <c r="E2568" s="4">
        <v>0.0</v>
      </c>
      <c r="F2568" s="4">
        <v>17.0</v>
      </c>
      <c r="G2568" s="4" t="s">
        <v>3848</v>
      </c>
    </row>
    <row r="2569">
      <c r="A2569" s="1">
        <v>2567.0</v>
      </c>
      <c r="B2569" s="4" t="s">
        <v>3828</v>
      </c>
      <c r="C2569" s="5" t="str">
        <f>IFERROR(__xludf.DUMMYFUNCTION("GOOGLETRANSLATE(D:D,""auto"",""en"")"),"Wuhan emergence bed et al phenomenon")</f>
        <v>Wuhan emergence bed et al phenomenon</v>
      </c>
      <c r="D2569" s="4" t="s">
        <v>3849</v>
      </c>
      <c r="E2569" s="4">
        <v>0.0</v>
      </c>
      <c r="F2569" s="4">
        <v>18.0</v>
      </c>
      <c r="G2569" s="4" t="s">
        <v>3850</v>
      </c>
    </row>
    <row r="2570">
      <c r="A2570" s="1">
        <v>2568.0</v>
      </c>
      <c r="B2570" s="4" t="s">
        <v>3828</v>
      </c>
      <c r="C2570" s="5" t="str">
        <f>IFERROR(__xludf.DUMMYFUNCTION("GOOGLETRANSLATE(D:D,""auto"",""en"")"),"Jieyang official response to loud noise")</f>
        <v>Jieyang official response to loud noise</v>
      </c>
      <c r="D2570" s="4" t="s">
        <v>3851</v>
      </c>
      <c r="E2570" s="4">
        <v>0.0</v>
      </c>
      <c r="F2570" s="4">
        <v>19.0</v>
      </c>
      <c r="G2570" s="4" t="s">
        <v>3852</v>
      </c>
    </row>
    <row r="2571">
      <c r="A2571" s="1">
        <v>2569.0</v>
      </c>
      <c r="B2571" s="4" t="s">
        <v>3828</v>
      </c>
      <c r="C2571" s="5" t="str">
        <f>IFERROR(__xludf.DUMMYFUNCTION("GOOGLETRANSLATE(D:D,""auto"",""en"")"),"Politburo meeting talked about the turning point")</f>
        <v>Politburo meeting talked about the turning point</v>
      </c>
      <c r="D2571" s="4" t="s">
        <v>3853</v>
      </c>
      <c r="E2571" s="4">
        <v>0.0</v>
      </c>
      <c r="F2571" s="4">
        <v>20.0</v>
      </c>
      <c r="G2571" s="4" t="s">
        <v>3854</v>
      </c>
    </row>
    <row r="2572">
      <c r="A2572" s="1">
        <v>2570.0</v>
      </c>
      <c r="B2572" s="4" t="s">
        <v>3828</v>
      </c>
      <c r="C2572" s="5" t="str">
        <f>IFERROR(__xludf.DUMMYFUNCTION("GOOGLETRANSLATE(D:D,""auto"",""en"")"),"Henan after March 1 opening")</f>
        <v>Henan after March 1 opening</v>
      </c>
      <c r="D2572" s="4" t="s">
        <v>3790</v>
      </c>
      <c r="E2572" s="4">
        <v>0.0</v>
      </c>
      <c r="F2572" s="4">
        <v>21.0</v>
      </c>
      <c r="G2572" s="4" t="s">
        <v>3791</v>
      </c>
    </row>
    <row r="2573">
      <c r="A2573" s="1">
        <v>2571.0</v>
      </c>
      <c r="B2573" s="4" t="s">
        <v>3828</v>
      </c>
      <c r="C2573" s="5" t="str">
        <f>IFERROR(__xludf.DUMMYFUNCTION("GOOGLETRANSLATE(D:D,""auto"",""en"")"),"New World did not die outcome Gimhae")</f>
        <v>New World did not die outcome Gimhae</v>
      </c>
      <c r="D2573" s="4" t="s">
        <v>3784</v>
      </c>
      <c r="E2573" s="4">
        <v>0.0</v>
      </c>
      <c r="F2573" s="4">
        <v>22.0</v>
      </c>
      <c r="G2573" s="4" t="s">
        <v>3785</v>
      </c>
    </row>
    <row r="2574">
      <c r="A2574" s="1">
        <v>2572.0</v>
      </c>
      <c r="B2574" s="4" t="s">
        <v>3828</v>
      </c>
      <c r="C2574" s="5" t="str">
        <f>IFERROR(__xludf.DUMMYFUNCTION("GOOGLETRANSLATE(D:D,""auto"",""en"")"),"Shandong a prison outbreak")</f>
        <v>Shandong a prison outbreak</v>
      </c>
      <c r="D2574" s="4" t="s">
        <v>3855</v>
      </c>
      <c r="E2574" s="4">
        <v>0.0</v>
      </c>
      <c r="F2574" s="4">
        <v>23.0</v>
      </c>
      <c r="G2574" s="4" t="s">
        <v>3856</v>
      </c>
    </row>
    <row r="2575">
      <c r="A2575" s="1">
        <v>2573.0</v>
      </c>
      <c r="B2575" s="4" t="s">
        <v>3828</v>
      </c>
      <c r="C2575" s="5" t="str">
        <f>IFERROR(__xludf.DUMMYFUNCTION("GOOGLETRANSLATE(D:D,""auto"",""en"")"),"Shandong and Zhejiang people have been removed from office")</f>
        <v>Shandong and Zhejiang people have been removed from office</v>
      </c>
      <c r="D2575" s="4" t="s">
        <v>3857</v>
      </c>
      <c r="E2575" s="4">
        <v>0.0</v>
      </c>
      <c r="F2575" s="4">
        <v>24.0</v>
      </c>
      <c r="G2575" s="4" t="s">
        <v>3858</v>
      </c>
    </row>
    <row r="2576">
      <c r="A2576" s="1">
        <v>2574.0</v>
      </c>
      <c r="B2576" s="4" t="s">
        <v>3828</v>
      </c>
      <c r="C2576" s="5" t="str">
        <f>IFERROR(__xludf.DUMMYFUNCTION("GOOGLETRANSLATE(D:D,""auto"",""en"")"),"Gansu Province, three emergency response")</f>
        <v>Gansu Province, three emergency response</v>
      </c>
      <c r="D2576" s="4" t="s">
        <v>3859</v>
      </c>
      <c r="E2576" s="4">
        <v>0.0</v>
      </c>
      <c r="F2576" s="4">
        <v>25.0</v>
      </c>
      <c r="G2576" s="4" t="s">
        <v>3860</v>
      </c>
    </row>
    <row r="2577">
      <c r="A2577" s="1">
        <v>2575.0</v>
      </c>
      <c r="B2577" s="4" t="s">
        <v>3828</v>
      </c>
      <c r="C2577" s="5" t="str">
        <f>IFERROR(__xludf.DUMMYFUNCTION("GOOGLETRANSLATE(D:D,""auto"",""en"")"),"33 community workers killed")</f>
        <v>33 community workers killed</v>
      </c>
      <c r="D2577" s="4" t="s">
        <v>3861</v>
      </c>
      <c r="E2577" s="4">
        <v>0.0</v>
      </c>
      <c r="F2577" s="4">
        <v>26.0</v>
      </c>
      <c r="G2577" s="4" t="s">
        <v>3862</v>
      </c>
    </row>
    <row r="2578">
      <c r="A2578" s="1">
        <v>2576.0</v>
      </c>
      <c r="B2578" s="4" t="s">
        <v>3828</v>
      </c>
      <c r="C2578" s="5" t="str">
        <f>IFERROR(__xludf.DUMMYFUNCTION("GOOGLETRANSLATE(D:D,""auto"",""en"")"),"10-day cure a positive review")</f>
        <v>10-day cure a positive review</v>
      </c>
      <c r="D2578" s="4" t="s">
        <v>3863</v>
      </c>
      <c r="E2578" s="4">
        <v>0.0</v>
      </c>
      <c r="F2578" s="4">
        <v>27.0</v>
      </c>
      <c r="G2578" s="4" t="s">
        <v>3864</v>
      </c>
    </row>
    <row r="2579">
      <c r="A2579" s="1">
        <v>2577.0</v>
      </c>
      <c r="B2579" s="4" t="s">
        <v>3828</v>
      </c>
      <c r="C2579" s="5" t="str">
        <f>IFERROR(__xludf.DUMMYFUNCTION("GOOGLETRANSLATE(D:D,""auto"",""en"")"),"Employees return to work nine days after diagnosis")</f>
        <v>Employees return to work nine days after diagnosis</v>
      </c>
      <c r="D2579" s="4" t="s">
        <v>3865</v>
      </c>
      <c r="E2579" s="4">
        <v>0.0</v>
      </c>
      <c r="F2579" s="4">
        <v>28.0</v>
      </c>
      <c r="G2579" s="4" t="s">
        <v>3866</v>
      </c>
    </row>
    <row r="2580">
      <c r="A2580" s="1">
        <v>2578.0</v>
      </c>
      <c r="B2580" s="4" t="s">
        <v>3828</v>
      </c>
      <c r="C2580" s="5" t="str">
        <f>IFERROR(__xludf.DUMMYFUNCTION("GOOGLETRANSLATE(D:D,""auto"",""en"")"),"Japan imported Chinese masks")</f>
        <v>Japan imported Chinese masks</v>
      </c>
      <c r="D2580" s="4" t="s">
        <v>3867</v>
      </c>
      <c r="E2580" s="4">
        <v>0.0</v>
      </c>
      <c r="F2580" s="4">
        <v>29.0</v>
      </c>
      <c r="G2580" s="4" t="s">
        <v>3868</v>
      </c>
    </row>
    <row r="2581">
      <c r="A2581" s="1">
        <v>2579.0</v>
      </c>
      <c r="B2581" s="4" t="s">
        <v>3828</v>
      </c>
      <c r="C2581" s="5" t="str">
        <f>IFERROR(__xludf.DUMMYFUNCTION("GOOGLETRANSLATE(D:D,""auto"",""en"")"),"Wuhan enabled Cruise Hotel")</f>
        <v>Wuhan enabled Cruise Hotel</v>
      </c>
      <c r="D2581" s="4" t="s">
        <v>3869</v>
      </c>
      <c r="E2581" s="4">
        <v>0.0</v>
      </c>
      <c r="F2581" s="4">
        <v>30.0</v>
      </c>
      <c r="G2581" s="4" t="s">
        <v>3870</v>
      </c>
    </row>
    <row r="2582">
      <c r="A2582" s="1">
        <v>2580.0</v>
      </c>
      <c r="B2582" s="4" t="s">
        <v>3828</v>
      </c>
      <c r="C2582" s="5" t="str">
        <f>IFERROR(__xludf.DUMMYFUNCTION("GOOGLETRANSLATE(D:D,""auto"",""en"")"),"Victory will be held March 6 army")</f>
        <v>Victory will be held March 6 army</v>
      </c>
      <c r="D2582" s="4" t="s">
        <v>3871</v>
      </c>
      <c r="E2582" s="4">
        <v>0.0</v>
      </c>
      <c r="F2582" s="4">
        <v>31.0</v>
      </c>
      <c r="G2582" s="4" t="s">
        <v>3872</v>
      </c>
    </row>
    <row r="2583">
      <c r="A2583" s="1">
        <v>2581.0</v>
      </c>
      <c r="B2583" s="4" t="s">
        <v>3828</v>
      </c>
      <c r="C2583" s="5" t="str">
        <f>IFERROR(__xludf.DUMMYFUNCTION("GOOGLETRANSLATE(D:D,""auto"",""en"")"),"Liu Ping has exposed the true awakening")</f>
        <v>Liu Ping has exposed the true awakening</v>
      </c>
      <c r="D2583" s="4" t="s">
        <v>3873</v>
      </c>
      <c r="E2583" s="4">
        <v>0.0</v>
      </c>
      <c r="F2583" s="4">
        <v>32.0</v>
      </c>
      <c r="G2583" s="4" t="s">
        <v>3874</v>
      </c>
    </row>
    <row r="2584">
      <c r="A2584" s="1">
        <v>2582.0</v>
      </c>
      <c r="B2584" s="4" t="s">
        <v>3828</v>
      </c>
      <c r="C2584" s="5" t="str">
        <f>IFERROR(__xludf.DUMMYFUNCTION("GOOGLETRANSLATE(D:D,""auto"",""en"")"),"Qian'an nearly 30 people infected with details")</f>
        <v>Qian'an nearly 30 people infected with details</v>
      </c>
      <c r="D2584" s="4" t="s">
        <v>3875</v>
      </c>
      <c r="E2584" s="4">
        <v>0.0</v>
      </c>
      <c r="F2584" s="4">
        <v>33.0</v>
      </c>
      <c r="G2584" s="4" t="s">
        <v>3876</v>
      </c>
    </row>
    <row r="2585">
      <c r="A2585" s="1">
        <v>2583.0</v>
      </c>
      <c r="B2585" s="4" t="s">
        <v>3828</v>
      </c>
      <c r="C2585" s="5" t="str">
        <f>IFERROR(__xludf.DUMMYFUNCTION("GOOGLETRANSLATE(D:D,""auto"",""en"")"),"Westbrook was expelled")</f>
        <v>Westbrook was expelled</v>
      </c>
      <c r="D2585" s="4" t="s">
        <v>3877</v>
      </c>
      <c r="E2585" s="4">
        <v>0.0</v>
      </c>
      <c r="F2585" s="4">
        <v>34.0</v>
      </c>
      <c r="G2585" s="4" t="s">
        <v>3878</v>
      </c>
    </row>
    <row r="2586">
      <c r="A2586" s="1">
        <v>2584.0</v>
      </c>
      <c r="B2586" s="4" t="s">
        <v>3828</v>
      </c>
      <c r="C2586" s="5" t="str">
        <f>IFERROR(__xludf.DUMMYFUNCTION("GOOGLETRANSLATE(D:D,""auto"",""en"")"),"Buffon apologized to Chinese fans")</f>
        <v>Buffon apologized to Chinese fans</v>
      </c>
      <c r="D2586" s="4" t="s">
        <v>3879</v>
      </c>
      <c r="E2586" s="4">
        <v>0.0</v>
      </c>
      <c r="F2586" s="4">
        <v>35.0</v>
      </c>
      <c r="G2586" s="4" t="s">
        <v>3880</v>
      </c>
    </row>
    <row r="2587">
      <c r="A2587" s="1">
        <v>2585.0</v>
      </c>
      <c r="B2587" s="4" t="s">
        <v>3828</v>
      </c>
      <c r="C2587" s="5" t="str">
        <f>IFERROR(__xludf.DUMMYFUNCTION("GOOGLETRANSLATE(D:D,""auto"",""en"")"),"South Korea suspect now super-spreaders")</f>
        <v>South Korea suspect now super-spreaders</v>
      </c>
      <c r="D2587" s="4" t="s">
        <v>3881</v>
      </c>
      <c r="E2587" s="4">
        <v>0.0</v>
      </c>
      <c r="F2587" s="4">
        <v>36.0</v>
      </c>
      <c r="G2587" s="4" t="s">
        <v>3882</v>
      </c>
    </row>
    <row r="2588">
      <c r="A2588" s="1">
        <v>2586.0</v>
      </c>
      <c r="B2588" s="4" t="s">
        <v>3828</v>
      </c>
      <c r="C2588" s="5" t="str">
        <f>IFERROR(__xludf.DUMMYFUNCTION("GOOGLETRANSLATE(D:D,""auto"",""en"")"),"Zhejiang prison diagnosed 34 cases")</f>
        <v>Zhejiang prison diagnosed 34 cases</v>
      </c>
      <c r="D2588" s="4" t="s">
        <v>3883</v>
      </c>
      <c r="E2588" s="4">
        <v>0.0</v>
      </c>
      <c r="F2588" s="4">
        <v>37.0</v>
      </c>
      <c r="G2588" s="4" t="s">
        <v>3884</v>
      </c>
    </row>
    <row r="2589">
      <c r="A2589" s="1">
        <v>2587.0</v>
      </c>
      <c r="B2589" s="4" t="s">
        <v>3828</v>
      </c>
      <c r="C2589" s="5" t="str">
        <f>IFERROR(__xludf.DUMMYFUNCTION("GOOGLETRANSLATE(D:D,""auto"",""en"")"),"13 new country to zero")</f>
        <v>13 new country to zero</v>
      </c>
      <c r="D2589" s="4" t="s">
        <v>3885</v>
      </c>
      <c r="E2589" s="4">
        <v>0.0</v>
      </c>
      <c r="F2589" s="4">
        <v>38.0</v>
      </c>
      <c r="G2589" s="4" t="s">
        <v>3886</v>
      </c>
    </row>
    <row r="2590">
      <c r="A2590" s="1">
        <v>2588.0</v>
      </c>
      <c r="B2590" s="4" t="s">
        <v>3828</v>
      </c>
      <c r="C2590" s="5" t="str">
        <f>IFERROR(__xludf.DUMMYFUNCTION("GOOGLETRANSLATE(D:D,""auto"",""en"")"),"No licensing of Jacky Heung admit")</f>
        <v>No licensing of Jacky Heung admit</v>
      </c>
      <c r="D2590" s="4" t="s">
        <v>3887</v>
      </c>
      <c r="E2590" s="4">
        <v>0.0</v>
      </c>
      <c r="F2590" s="4">
        <v>39.0</v>
      </c>
      <c r="G2590" s="4" t="s">
        <v>3888</v>
      </c>
    </row>
    <row r="2591">
      <c r="A2591" s="1">
        <v>2589.0</v>
      </c>
      <c r="B2591" s="4" t="s">
        <v>3828</v>
      </c>
      <c r="C2591" s="5" t="str">
        <f>IFERROR(__xludf.DUMMYFUNCTION("GOOGLETRANSLATE(D:D,""auto"",""en"")"),"In the direction of Japan's emergency donation")</f>
        <v>In the direction of Japan's emergency donation</v>
      </c>
      <c r="D2591" s="4" t="s">
        <v>3768</v>
      </c>
      <c r="E2591" s="4">
        <v>0.0</v>
      </c>
      <c r="F2591" s="4">
        <v>40.0</v>
      </c>
      <c r="G2591" s="4" t="s">
        <v>3769</v>
      </c>
    </row>
    <row r="2592">
      <c r="A2592" s="1">
        <v>2590.0</v>
      </c>
      <c r="B2592" s="4" t="s">
        <v>3828</v>
      </c>
      <c r="C2592" s="5" t="str">
        <f>IFERROR(__xludf.DUMMYFUNCTION("GOOGLETRANSLATE(D:D,""auto"",""en"")"),"Lijiang tourism industry business")</f>
        <v>Lijiang tourism industry business</v>
      </c>
      <c r="D2592" s="4" t="s">
        <v>3889</v>
      </c>
      <c r="E2592" s="4">
        <v>0.0</v>
      </c>
      <c r="F2592" s="4">
        <v>41.0</v>
      </c>
      <c r="G2592" s="4" t="s">
        <v>3890</v>
      </c>
    </row>
    <row r="2593">
      <c r="A2593" s="1">
        <v>2591.0</v>
      </c>
      <c r="B2593" s="4" t="s">
        <v>3828</v>
      </c>
      <c r="C2593" s="5" t="str">
        <f>IFERROR(__xludf.DUMMYFUNCTION("GOOGLETRANSLATE(D:D,""auto"",""en"")"),"Baoqiang divorce insider suspected exposure")</f>
        <v>Baoqiang divorce insider suspected exposure</v>
      </c>
      <c r="D2593" s="4" t="s">
        <v>3891</v>
      </c>
      <c r="E2593" s="4">
        <v>0.0</v>
      </c>
      <c r="F2593" s="4">
        <v>42.0</v>
      </c>
      <c r="G2593" s="4" t="s">
        <v>3892</v>
      </c>
    </row>
    <row r="2594">
      <c r="A2594" s="1">
        <v>2592.0</v>
      </c>
      <c r="B2594" s="4" t="s">
        <v>3828</v>
      </c>
      <c r="C2594" s="5" t="str">
        <f>IFERROR(__xludf.DUMMYFUNCTION("GOOGLETRANSLATE(D:D,""auto"",""en"")"),"SUN Xiao fruit was executed")</f>
        <v>SUN Xiao fruit was executed</v>
      </c>
      <c r="D2594" s="4" t="s">
        <v>3764</v>
      </c>
      <c r="E2594" s="4">
        <v>0.0</v>
      </c>
      <c r="F2594" s="4">
        <v>43.0</v>
      </c>
      <c r="G2594" s="4" t="s">
        <v>3765</v>
      </c>
    </row>
    <row r="2595">
      <c r="A2595" s="1">
        <v>2593.0</v>
      </c>
      <c r="B2595" s="4" t="s">
        <v>3828</v>
      </c>
      <c r="C2595" s="5" t="str">
        <f>IFERROR(__xludf.DUMMYFUNCTION("GOOGLETRANSLATE(D:D,""auto"",""en"")"),"Guangzhou will be opening in three tranches")</f>
        <v>Guangzhou will be opening in three tranches</v>
      </c>
      <c r="D2595" s="4" t="s">
        <v>3772</v>
      </c>
      <c r="E2595" s="4">
        <v>0.0</v>
      </c>
      <c r="F2595" s="4">
        <v>44.0</v>
      </c>
      <c r="G2595" s="4" t="s">
        <v>3773</v>
      </c>
    </row>
    <row r="2596">
      <c r="A2596" s="1">
        <v>2594.0</v>
      </c>
      <c r="B2596" s="4" t="s">
        <v>3828</v>
      </c>
      <c r="C2596" s="5" t="str">
        <f>IFERROR(__xludf.DUMMYFUNCTION("GOOGLETRANSLATE(D:D,""auto"",""en"")"),"Shen Teng Yang Mi respond to rumors")</f>
        <v>Shen Teng Yang Mi respond to rumors</v>
      </c>
      <c r="D2596" s="4" t="s">
        <v>3812</v>
      </c>
      <c r="E2596" s="4">
        <v>0.0</v>
      </c>
      <c r="F2596" s="4">
        <v>45.0</v>
      </c>
      <c r="G2596" s="4" t="s">
        <v>3813</v>
      </c>
    </row>
    <row r="2597">
      <c r="A2597" s="1">
        <v>2595.0</v>
      </c>
      <c r="B2597" s="4" t="s">
        <v>3828</v>
      </c>
      <c r="C2597" s="5" t="str">
        <f>IFERROR(__xludf.DUMMYFUNCTION("GOOGLETRANSLATE(D:D,""auto"",""en"")"),"Japan does not enforce cancel activities")</f>
        <v>Japan does not enforce cancel activities</v>
      </c>
      <c r="D2597" s="4" t="s">
        <v>3893</v>
      </c>
      <c r="E2597" s="4">
        <v>0.0</v>
      </c>
      <c r="F2597" s="4">
        <v>46.0</v>
      </c>
      <c r="G2597" s="4" t="s">
        <v>3894</v>
      </c>
    </row>
    <row r="2598">
      <c r="A2598" s="1">
        <v>2596.0</v>
      </c>
      <c r="B2598" s="4" t="s">
        <v>3828</v>
      </c>
      <c r="C2598" s="5" t="str">
        <f>IFERROR(__xludf.DUMMYFUNCTION("GOOGLETRANSLATE(D:D,""auto"",""en"")"),"Japan whistleblower apology")</f>
        <v>Japan whistleblower apology</v>
      </c>
      <c r="D2598" s="4" t="s">
        <v>3798</v>
      </c>
      <c r="E2598" s="4">
        <v>0.0</v>
      </c>
      <c r="F2598" s="4">
        <v>47.0</v>
      </c>
      <c r="G2598" s="4" t="s">
        <v>3799</v>
      </c>
    </row>
    <row r="2599">
      <c r="A2599" s="1">
        <v>2597.0</v>
      </c>
      <c r="B2599" s="4" t="s">
        <v>3828</v>
      </c>
      <c r="C2599" s="5" t="str">
        <f>IFERROR(__xludf.DUMMYFUNCTION("GOOGLETRANSLATE(D:D,""auto"",""en"")"),"Not wearing masks conversation infected")</f>
        <v>Not wearing masks conversation infected</v>
      </c>
      <c r="D2599" s="4" t="s">
        <v>3895</v>
      </c>
      <c r="E2599" s="4">
        <v>0.0</v>
      </c>
      <c r="F2599" s="4">
        <v>48.0</v>
      </c>
      <c r="G2599" s="4" t="s">
        <v>3896</v>
      </c>
    </row>
    <row r="2600">
      <c r="A2600" s="1">
        <v>2598.0</v>
      </c>
      <c r="B2600" s="4" t="s">
        <v>3828</v>
      </c>
      <c r="C2600" s="5" t="str">
        <f>IFERROR(__xludf.DUMMYFUNCTION("GOOGLETRANSLATE(D:D,""auto"",""en"")"),"Fang manifest were discharged Pobai")</f>
        <v>Fang manifest were discharged Pobai</v>
      </c>
      <c r="D2600" s="4" t="s">
        <v>3897</v>
      </c>
      <c r="E2600" s="4">
        <v>0.0</v>
      </c>
      <c r="F2600" s="4">
        <v>49.0</v>
      </c>
      <c r="G2600" s="4" t="s">
        <v>3898</v>
      </c>
    </row>
    <row r="2601">
      <c r="A2601" s="1">
        <v>2599.0</v>
      </c>
      <c r="B2601" s="4" t="s">
        <v>3828</v>
      </c>
      <c r="C2601" s="5" t="str">
        <f>IFERROR(__xludf.DUMMYFUNCTION("GOOGLETRANSLATE(D:D,""auto"",""en"")"),"The key target for vaccine development")</f>
        <v>The key target for vaccine development</v>
      </c>
      <c r="D2601" s="4" t="s">
        <v>3899</v>
      </c>
      <c r="E2601" s="4">
        <v>0.0</v>
      </c>
      <c r="F2601" s="4">
        <v>50.0</v>
      </c>
      <c r="G2601" s="4" t="s">
        <v>3900</v>
      </c>
    </row>
    <row r="2602">
      <c r="A2602" s="1">
        <v>2600.0</v>
      </c>
      <c r="B2602" s="4" t="s">
        <v>3901</v>
      </c>
      <c r="C2602" s="5" t="str">
        <f>IFERROR(__xludf.DUMMYFUNCTION("GOOGLETRANSLATE(D:D,""auto"",""en"")"),"Jinan 2.4 earthquake")</f>
        <v>Jinan 2.4 earthquake</v>
      </c>
      <c r="D2602" s="4" t="s">
        <v>3902</v>
      </c>
      <c r="E2602" s="4">
        <v>0.0</v>
      </c>
      <c r="F2602" s="4">
        <v>1.0</v>
      </c>
      <c r="G2602" s="4" t="s">
        <v>3903</v>
      </c>
    </row>
    <row r="2603">
      <c r="A2603" s="1">
        <v>2601.0</v>
      </c>
      <c r="B2603" s="4" t="s">
        <v>3901</v>
      </c>
      <c r="C2603" s="5" t="str">
        <f>IFERROR(__xludf.DUMMYFUNCTION("GOOGLETRANSLATE(D:D,""auto"",""en"")"),"Politburo meeting talked about the turning point")</f>
        <v>Politburo meeting talked about the turning point</v>
      </c>
      <c r="D2603" s="4" t="s">
        <v>3853</v>
      </c>
      <c r="E2603" s="4">
        <v>0.0</v>
      </c>
      <c r="F2603" s="4">
        <v>2.0</v>
      </c>
      <c r="G2603" s="4" t="s">
        <v>3854</v>
      </c>
    </row>
    <row r="2604">
      <c r="A2604" s="1">
        <v>2602.0</v>
      </c>
      <c r="B2604" s="4" t="s">
        <v>3901</v>
      </c>
      <c r="C2604" s="5" t="str">
        <f>IFERROR(__xludf.DUMMYFUNCTION("GOOGLETRANSLATE(D:D,""auto"",""en"")"),"9 national restrictions to Japan")</f>
        <v>9 national restrictions to Japan</v>
      </c>
      <c r="D2604" s="4" t="s">
        <v>3904</v>
      </c>
      <c r="E2604" s="4">
        <v>0.0</v>
      </c>
      <c r="F2604" s="4">
        <v>3.0</v>
      </c>
      <c r="G2604" s="4" t="s">
        <v>3905</v>
      </c>
    </row>
    <row r="2605">
      <c r="A2605" s="1">
        <v>2603.0</v>
      </c>
      <c r="B2605" s="4" t="s">
        <v>3901</v>
      </c>
      <c r="C2605" s="5" t="str">
        <f>IFERROR(__xludf.DUMMYFUNCTION("GOOGLETRANSLATE(D:D,""auto"",""en"")"),"Jiashi 5.1 earthquake")</f>
        <v>Jiashi 5.1 earthquake</v>
      </c>
      <c r="D2605" s="4" t="s">
        <v>3906</v>
      </c>
      <c r="E2605" s="4">
        <v>0.0</v>
      </c>
      <c r="F2605" s="4">
        <v>4.0</v>
      </c>
      <c r="G2605" s="4" t="s">
        <v>3907</v>
      </c>
    </row>
    <row r="2606">
      <c r="A2606" s="1">
        <v>2604.0</v>
      </c>
      <c r="B2606" s="4" t="s">
        <v>3901</v>
      </c>
      <c r="C2606" s="5" t="str">
        <f>IFERROR(__xludf.DUMMYFUNCTION("GOOGLETRANSLATE(D:D,""auto"",""en"")"),"Sun Li Yin Zhengyi acting")</f>
        <v>Sun Li Yin Zhengyi acting</v>
      </c>
      <c r="D2606" s="4" t="s">
        <v>3908</v>
      </c>
      <c r="E2606" s="4">
        <v>0.0</v>
      </c>
      <c r="F2606" s="4">
        <v>5.0</v>
      </c>
      <c r="G2606" s="4" t="s">
        <v>3909</v>
      </c>
    </row>
    <row r="2607">
      <c r="A2607" s="1">
        <v>2605.0</v>
      </c>
      <c r="B2607" s="4" t="s">
        <v>3901</v>
      </c>
      <c r="C2607" s="5" t="str">
        <f>IFERROR(__xludf.DUMMYFUNCTION("GOOGLETRANSLATE(D:D,""auto"",""en"")"),"Dr. Peng Yinhua sound wife")</f>
        <v>Dr. Peng Yinhua sound wife</v>
      </c>
      <c r="D2607" s="4" t="s">
        <v>3910</v>
      </c>
      <c r="E2607" s="4">
        <v>0.0</v>
      </c>
      <c r="F2607" s="4">
        <v>6.0</v>
      </c>
      <c r="G2607" s="4" t="s">
        <v>3911</v>
      </c>
    </row>
    <row r="2608">
      <c r="A2608" s="1">
        <v>2606.0</v>
      </c>
      <c r="B2608" s="4" t="s">
        <v>3901</v>
      </c>
      <c r="C2608" s="5" t="str">
        <f>IFERROR(__xludf.DUMMYFUNCTION("GOOGLETRANSLATE(D:D,""auto"",""en"")"),"When experts talk about the epidemic zero")</f>
        <v>When experts talk about the epidemic zero</v>
      </c>
      <c r="D2608" s="4" t="s">
        <v>3912</v>
      </c>
      <c r="E2608" s="4">
        <v>0.0</v>
      </c>
      <c r="F2608" s="4">
        <v>7.0</v>
      </c>
      <c r="G2608" s="4" t="s">
        <v>3913</v>
      </c>
    </row>
    <row r="2609">
      <c r="A2609" s="1">
        <v>2607.0</v>
      </c>
      <c r="B2609" s="4" t="s">
        <v>3901</v>
      </c>
      <c r="C2609" s="5" t="str">
        <f>IFERROR(__xludf.DUMMYFUNCTION("GOOGLETRANSLATE(D:D,""auto"",""en"")"),"Liaoning Province, three emergency response")</f>
        <v>Liaoning Province, three emergency response</v>
      </c>
      <c r="D2609" s="4" t="s">
        <v>3914</v>
      </c>
      <c r="E2609" s="4">
        <v>0.0</v>
      </c>
      <c r="F2609" s="4">
        <v>8.0</v>
      </c>
      <c r="G2609" s="4" t="s">
        <v>3915</v>
      </c>
    </row>
    <row r="2610">
      <c r="A2610" s="1">
        <v>2608.0</v>
      </c>
      <c r="B2610" s="4" t="s">
        <v>3901</v>
      </c>
      <c r="C2610" s="5" t="str">
        <f>IFERROR(__xludf.DUMMYFUNCTION("GOOGLETRANSLATE(D:D,""auto"",""en"")"),"Wuhan accountability 620 people")</f>
        <v>Wuhan accountability 620 people</v>
      </c>
      <c r="D2610" s="4" t="s">
        <v>3916</v>
      </c>
      <c r="E2610" s="4">
        <v>0.0</v>
      </c>
      <c r="F2610" s="4">
        <v>9.0</v>
      </c>
      <c r="G2610" s="4" t="s">
        <v>3917</v>
      </c>
    </row>
    <row r="2611">
      <c r="A2611" s="1">
        <v>2609.0</v>
      </c>
      <c r="B2611" s="4" t="s">
        <v>3901</v>
      </c>
      <c r="C2611" s="5" t="str">
        <f>IFERROR(__xludf.DUMMYFUNCTION("GOOGLETRANSLATE(D:D,""auto"",""en"")"),"Thick eyebrows brother injured in accidents")</f>
        <v>Thick eyebrows brother injured in accidents</v>
      </c>
      <c r="D2611" s="4" t="s">
        <v>3918</v>
      </c>
      <c r="E2611" s="4">
        <v>0.0</v>
      </c>
      <c r="F2611" s="4">
        <v>10.0</v>
      </c>
      <c r="G2611" s="4" t="s">
        <v>3919</v>
      </c>
    </row>
    <row r="2612">
      <c r="A2612" s="1">
        <v>2610.0</v>
      </c>
      <c r="B2612" s="4" t="s">
        <v>3901</v>
      </c>
      <c r="C2612" s="5" t="str">
        <f>IFERROR(__xludf.DUMMYFUNCTION("GOOGLETRANSLATE(D:D,""auto"",""en"")"),"Dou Jing Tong Xuan official sister love")</f>
        <v>Dou Jing Tong Xuan official sister love</v>
      </c>
      <c r="D2612" s="4" t="s">
        <v>3920</v>
      </c>
      <c r="E2612" s="4">
        <v>0.0</v>
      </c>
      <c r="F2612" s="4">
        <v>11.0</v>
      </c>
      <c r="G2612" s="4" t="s">
        <v>3921</v>
      </c>
    </row>
    <row r="2613">
      <c r="A2613" s="1">
        <v>2611.0</v>
      </c>
      <c r="B2613" s="4" t="s">
        <v>3901</v>
      </c>
      <c r="C2613" s="5" t="str">
        <f>IFERROR(__xludf.DUMMYFUNCTION("GOOGLETRANSLATE(D:D,""auto"",""en"")"),"62-year-old who was discharged XingJu")</f>
        <v>62-year-old who was discharged XingJu</v>
      </c>
      <c r="D2613" s="4" t="s">
        <v>3922</v>
      </c>
      <c r="E2613" s="4">
        <v>0.0</v>
      </c>
      <c r="F2613" s="4">
        <v>12.0</v>
      </c>
      <c r="G2613" s="4" t="s">
        <v>3923</v>
      </c>
    </row>
    <row r="2614">
      <c r="A2614" s="1">
        <v>2612.0</v>
      </c>
      <c r="B2614" s="4" t="s">
        <v>3901</v>
      </c>
      <c r="C2614" s="5" t="str">
        <f>IFERROR(__xludf.DUMMYFUNCTION("GOOGLETRANSLATE(D:D,""auto"",""en"")"),"Apple's new patent traced")</f>
        <v>Apple's new patent traced</v>
      </c>
      <c r="D2614" s="4" t="s">
        <v>3924</v>
      </c>
      <c r="E2614" s="4">
        <v>0.0</v>
      </c>
      <c r="F2614" s="4">
        <v>13.0</v>
      </c>
      <c r="G2614" s="4" t="s">
        <v>3925</v>
      </c>
    </row>
    <row r="2615">
      <c r="A2615" s="1">
        <v>2613.0</v>
      </c>
      <c r="B2615" s="4" t="s">
        <v>3901</v>
      </c>
      <c r="C2615" s="5" t="str">
        <f>IFERROR(__xludf.DUMMYFUNCTION("GOOGLETRANSLATE(D:D,""auto"",""en"")"),"Wuhan detection stock cleared")</f>
        <v>Wuhan detection stock cleared</v>
      </c>
      <c r="D2615" s="4" t="s">
        <v>3926</v>
      </c>
      <c r="E2615" s="4">
        <v>0.0</v>
      </c>
      <c r="F2615" s="4">
        <v>14.0</v>
      </c>
      <c r="G2615" s="4" t="s">
        <v>3927</v>
      </c>
    </row>
    <row r="2616">
      <c r="A2616" s="1">
        <v>2614.0</v>
      </c>
      <c r="B2616" s="4" t="s">
        <v>3901</v>
      </c>
      <c r="C2616" s="5" t="str">
        <f>IFERROR(__xludf.DUMMYFUNCTION("GOOGLETRANSLATE(D:D,""auto"",""en"")"),"The Lakers cut exposure Cousins")</f>
        <v>The Lakers cut exposure Cousins</v>
      </c>
      <c r="D2616" s="4" t="s">
        <v>3928</v>
      </c>
      <c r="E2616" s="4">
        <v>0.0</v>
      </c>
      <c r="F2616" s="4">
        <v>15.0</v>
      </c>
      <c r="G2616" s="4" t="s">
        <v>3929</v>
      </c>
    </row>
    <row r="2617">
      <c r="A2617" s="1">
        <v>2615.0</v>
      </c>
      <c r="B2617" s="4" t="s">
        <v>3901</v>
      </c>
      <c r="C2617" s="5" t="str">
        <f>IFERROR(__xludf.DUMMYFUNCTION("GOOGLETRANSLATE(D:D,""auto"",""en"")"),"New virus isolated from urine crown")</f>
        <v>New virus isolated from urine crown</v>
      </c>
      <c r="D2617" s="4" t="s">
        <v>3930</v>
      </c>
      <c r="E2617" s="4">
        <v>0.0</v>
      </c>
      <c r="F2617" s="4">
        <v>16.0</v>
      </c>
      <c r="G2617" s="4" t="s">
        <v>3931</v>
      </c>
    </row>
    <row r="2618">
      <c r="A2618" s="1">
        <v>2616.0</v>
      </c>
      <c r="B2618" s="4" t="s">
        <v>3901</v>
      </c>
      <c r="C2618" s="5" t="str">
        <f>IFERROR(__xludf.DUMMYFUNCTION("GOOGLETRANSLATE(D:D,""auto"",""en"")"),"New cases of the incubation period 27 days")</f>
        <v>New cases of the incubation period 27 days</v>
      </c>
      <c r="D2618" s="4" t="s">
        <v>3932</v>
      </c>
      <c r="E2618" s="4">
        <v>0.0</v>
      </c>
      <c r="F2618" s="4">
        <v>17.0</v>
      </c>
      <c r="G2618" s="4" t="s">
        <v>3933</v>
      </c>
    </row>
    <row r="2619">
      <c r="A2619" s="1">
        <v>2617.0</v>
      </c>
      <c r="B2619" s="4" t="s">
        <v>3901</v>
      </c>
      <c r="C2619" s="5" t="str">
        <f>IFERROR(__xludf.DUMMYFUNCTION("GOOGLETRANSLATE(D:D,""auto"",""en"")"),"Look online Strawberry Music Festival")</f>
        <v>Look online Strawberry Music Festival</v>
      </c>
      <c r="D2619" s="4" t="s">
        <v>3934</v>
      </c>
      <c r="E2619" s="4">
        <v>0.0</v>
      </c>
      <c r="F2619" s="4">
        <v>18.0</v>
      </c>
      <c r="G2619" s="4" t="s">
        <v>3935</v>
      </c>
    </row>
    <row r="2620">
      <c r="A2620" s="1">
        <v>2618.0</v>
      </c>
      <c r="B2620" s="4" t="s">
        <v>3901</v>
      </c>
      <c r="C2620" s="5" t="str">
        <f>IFERROR(__xludf.DUMMYFUNCTION("GOOGLETRANSLATE(D:D,""auto"",""en"")"),"40,000 killer bees Ximei")</f>
        <v>40,000 killer bees Ximei</v>
      </c>
      <c r="D2620" s="4" t="s">
        <v>3936</v>
      </c>
      <c r="E2620" s="4">
        <v>0.0</v>
      </c>
      <c r="F2620" s="4">
        <v>19.0</v>
      </c>
      <c r="G2620" s="4" t="s">
        <v>3937</v>
      </c>
    </row>
    <row r="2621">
      <c r="A2621" s="1">
        <v>2619.0</v>
      </c>
      <c r="B2621" s="4" t="s">
        <v>3901</v>
      </c>
      <c r="C2621" s="5" t="str">
        <f>IFERROR(__xludf.DUMMYFUNCTION("GOOGLETRANSLATE(D:D,""auto"",""en"")"),"South China seafood market non-source")</f>
        <v>South China seafood market non-source</v>
      </c>
      <c r="D2621" s="4" t="s">
        <v>3938</v>
      </c>
      <c r="E2621" s="4">
        <v>0.0</v>
      </c>
      <c r="F2621" s="4">
        <v>20.0</v>
      </c>
      <c r="G2621" s="4" t="s">
        <v>3939</v>
      </c>
    </row>
    <row r="2622">
      <c r="A2622" s="1">
        <v>2620.0</v>
      </c>
      <c r="B2622" s="4" t="s">
        <v>3901</v>
      </c>
      <c r="C2622" s="5" t="str">
        <f>IFERROR(__xludf.DUMMYFUNCTION("GOOGLETRANSLATE(D:D,""auto"",""en"")"),"33 community workers killed")</f>
        <v>33 community workers killed</v>
      </c>
      <c r="D2622" s="4" t="s">
        <v>3861</v>
      </c>
      <c r="E2622" s="4">
        <v>0.0</v>
      </c>
      <c r="F2622" s="4">
        <v>21.0</v>
      </c>
      <c r="G2622" s="4" t="s">
        <v>3862</v>
      </c>
    </row>
    <row r="2623">
      <c r="A2623" s="1">
        <v>2621.0</v>
      </c>
      <c r="B2623" s="4" t="s">
        <v>3901</v>
      </c>
      <c r="C2623" s="5" t="str">
        <f>IFERROR(__xludf.DUMMYFUNCTION("GOOGLETRANSLATE(D:D,""auto"",""en"")"),"Jieyang official response to loud noise")</f>
        <v>Jieyang official response to loud noise</v>
      </c>
      <c r="D2623" s="4" t="s">
        <v>3851</v>
      </c>
      <c r="E2623" s="4">
        <v>0.0</v>
      </c>
      <c r="F2623" s="4">
        <v>22.0</v>
      </c>
      <c r="G2623" s="4" t="s">
        <v>3852</v>
      </c>
    </row>
    <row r="2624">
      <c r="A2624" s="1">
        <v>2622.0</v>
      </c>
      <c r="B2624" s="4" t="s">
        <v>3901</v>
      </c>
      <c r="C2624" s="5" t="str">
        <f>IFERROR(__xludf.DUMMYFUNCTION("GOOGLETRANSLATE(D:D,""auto"",""en"")"),"Wuhan emergence bed et al phenomenon")</f>
        <v>Wuhan emergence bed et al phenomenon</v>
      </c>
      <c r="D2624" s="4" t="s">
        <v>3849</v>
      </c>
      <c r="E2624" s="4">
        <v>0.0</v>
      </c>
      <c r="F2624" s="4">
        <v>23.0</v>
      </c>
      <c r="G2624" s="4" t="s">
        <v>3850</v>
      </c>
    </row>
    <row r="2625">
      <c r="A2625" s="1">
        <v>2623.0</v>
      </c>
      <c r="B2625" s="4" t="s">
        <v>3901</v>
      </c>
      <c r="C2625" s="5" t="str">
        <f>IFERROR(__xludf.DUMMYFUNCTION("GOOGLETRANSLATE(D:D,""auto"",""en"")"),"Busan line director regret Screenplay")</f>
        <v>Busan line director regret Screenplay</v>
      </c>
      <c r="D2625" s="4" t="s">
        <v>3940</v>
      </c>
      <c r="E2625" s="4">
        <v>0.0</v>
      </c>
      <c r="F2625" s="4">
        <v>24.0</v>
      </c>
      <c r="G2625" s="4" t="s">
        <v>3941</v>
      </c>
    </row>
    <row r="2626">
      <c r="A2626" s="1">
        <v>2624.0</v>
      </c>
      <c r="B2626" s="4" t="s">
        <v>3901</v>
      </c>
      <c r="C2626" s="5" t="str">
        <f>IFERROR(__xludf.DUMMYFUNCTION("GOOGLETRANSLATE(D:D,""auto"",""en"")"),"East Austrian people called for the cancellation")</f>
        <v>East Austrian people called for the cancellation</v>
      </c>
      <c r="D2626" s="4" t="s">
        <v>3942</v>
      </c>
      <c r="E2626" s="4">
        <v>0.0</v>
      </c>
      <c r="F2626" s="4">
        <v>25.0</v>
      </c>
      <c r="G2626" s="4" t="s">
        <v>3943</v>
      </c>
    </row>
    <row r="2627">
      <c r="A2627" s="1">
        <v>2625.0</v>
      </c>
      <c r="B2627" s="4" t="s">
        <v>3901</v>
      </c>
      <c r="C2627" s="5" t="str">
        <f>IFERROR(__xludf.DUMMYFUNCTION("GOOGLETRANSLATE(D:D,""auto"",""en"")"),"Solomon turned to China")</f>
        <v>Solomon turned to China</v>
      </c>
      <c r="D2627" s="4" t="s">
        <v>3944</v>
      </c>
      <c r="E2627" s="4">
        <v>0.0</v>
      </c>
      <c r="F2627" s="4">
        <v>26.0</v>
      </c>
      <c r="G2627" s="4" t="s">
        <v>3945</v>
      </c>
    </row>
    <row r="2628">
      <c r="A2628" s="1">
        <v>2626.0</v>
      </c>
      <c r="B2628" s="4" t="s">
        <v>3901</v>
      </c>
      <c r="C2628" s="5" t="str">
        <f>IFERROR(__xludf.DUMMYFUNCTION("GOOGLETRANSLATE(D:D,""auto"",""en"")"),"Activities trajectory diagnosed crew")</f>
        <v>Activities trajectory diagnosed crew</v>
      </c>
      <c r="D2628" s="4" t="s">
        <v>3946</v>
      </c>
      <c r="E2628" s="4">
        <v>0.0</v>
      </c>
      <c r="F2628" s="4">
        <v>27.0</v>
      </c>
      <c r="G2628" s="4" t="s">
        <v>3947</v>
      </c>
    </row>
    <row r="2629">
      <c r="A2629" s="1">
        <v>2627.0</v>
      </c>
      <c r="B2629" s="4" t="s">
        <v>3901</v>
      </c>
      <c r="C2629" s="5" t="str">
        <f>IFERROR(__xludf.DUMMYFUNCTION("GOOGLETRANSLATE(D:D,""auto"",""en"")"),"Zhejiang vaccines produce antibodies")</f>
        <v>Zhejiang vaccines produce antibodies</v>
      </c>
      <c r="D2629" s="4" t="s">
        <v>3948</v>
      </c>
      <c r="E2629" s="4">
        <v>0.0</v>
      </c>
      <c r="F2629" s="4">
        <v>28.0</v>
      </c>
      <c r="G2629" s="4" t="s">
        <v>3949</v>
      </c>
    </row>
    <row r="2630">
      <c r="A2630" s="1">
        <v>2628.0</v>
      </c>
      <c r="B2630" s="4" t="s">
        <v>3901</v>
      </c>
      <c r="C2630" s="5" t="str">
        <f>IFERROR(__xludf.DUMMYFUNCTION("GOOGLETRANSLATE(D:D,""auto"",""en"")"),"The new crown spread of the virus or the United States")</f>
        <v>The new crown spread of the virus or the United States</v>
      </c>
      <c r="D2630" s="4" t="s">
        <v>3950</v>
      </c>
      <c r="E2630" s="4">
        <v>0.0</v>
      </c>
      <c r="F2630" s="4">
        <v>29.0</v>
      </c>
      <c r="G2630" s="4" t="s">
        <v>3951</v>
      </c>
    </row>
    <row r="2631">
      <c r="A2631" s="1">
        <v>2629.0</v>
      </c>
      <c r="B2631" s="4" t="s">
        <v>3901</v>
      </c>
      <c r="C2631" s="5" t="str">
        <f>IFERROR(__xludf.DUMMYFUNCTION("GOOGLETRANSLATE(D:D,""auto"",""en"")"),"Shandong pressed mine accident")</f>
        <v>Shandong pressed mine accident</v>
      </c>
      <c r="D2631" s="4" t="s">
        <v>3952</v>
      </c>
      <c r="E2631" s="4">
        <v>0.0</v>
      </c>
      <c r="F2631" s="4">
        <v>30.0</v>
      </c>
      <c r="G2631" s="4" t="s">
        <v>3953</v>
      </c>
    </row>
    <row r="2632">
      <c r="A2632" s="1">
        <v>2630.0</v>
      </c>
      <c r="B2632" s="4" t="s">
        <v>3901</v>
      </c>
      <c r="C2632" s="5" t="str">
        <f>IFERROR(__xludf.DUMMYFUNCTION("GOOGLETRANSLATE(D:D,""auto"",""en"")"),"Gansu Province, three emergency response")</f>
        <v>Gansu Province, three emergency response</v>
      </c>
      <c r="D2632" s="4" t="s">
        <v>3859</v>
      </c>
      <c r="E2632" s="4">
        <v>0.0</v>
      </c>
      <c r="F2632" s="4">
        <v>31.0</v>
      </c>
      <c r="G2632" s="4" t="s">
        <v>3860</v>
      </c>
    </row>
    <row r="2633">
      <c r="A2633" s="1">
        <v>2631.0</v>
      </c>
      <c r="B2633" s="4" t="s">
        <v>3901</v>
      </c>
      <c r="C2633" s="5" t="str">
        <f>IFERROR(__xludf.DUMMYFUNCTION("GOOGLETRANSLATE(D:D,""auto"",""en"")"),"Employees return to work nine days after diagnosis")</f>
        <v>Employees return to work nine days after diagnosis</v>
      </c>
      <c r="D2633" s="4" t="s">
        <v>3865</v>
      </c>
      <c r="E2633" s="4">
        <v>0.0</v>
      </c>
      <c r="F2633" s="4">
        <v>32.0</v>
      </c>
      <c r="G2633" s="4" t="s">
        <v>3866</v>
      </c>
    </row>
    <row r="2634">
      <c r="A2634" s="1">
        <v>2632.0</v>
      </c>
      <c r="B2634" s="4" t="s">
        <v>3901</v>
      </c>
      <c r="C2634" s="5" t="str">
        <f>IFERROR(__xludf.DUMMYFUNCTION("GOOGLETRANSLATE(D:D,""auto"",""en"")"),"Dining king died of pneumonia")</f>
        <v>Dining king died of pneumonia</v>
      </c>
      <c r="D2634" s="4" t="s">
        <v>3835</v>
      </c>
      <c r="E2634" s="4">
        <v>0.0</v>
      </c>
      <c r="F2634" s="4">
        <v>33.0</v>
      </c>
      <c r="G2634" s="4" t="s">
        <v>3836</v>
      </c>
    </row>
    <row r="2635">
      <c r="A2635" s="1">
        <v>2633.0</v>
      </c>
      <c r="B2635" s="4" t="s">
        <v>3901</v>
      </c>
      <c r="C2635" s="5" t="str">
        <f>IFERROR(__xludf.DUMMYFUNCTION("GOOGLETRANSLATE(D:D,""auto"",""en"")"),"Macy talk about Kobe killed")</f>
        <v>Macy talk about Kobe killed</v>
      </c>
      <c r="D2635" s="4" t="s">
        <v>3954</v>
      </c>
      <c r="E2635" s="4">
        <v>0.0</v>
      </c>
      <c r="F2635" s="4">
        <v>34.0</v>
      </c>
      <c r="G2635" s="4" t="s">
        <v>3955</v>
      </c>
    </row>
    <row r="2636">
      <c r="A2636" s="1">
        <v>2634.0</v>
      </c>
      <c r="B2636" s="4" t="s">
        <v>3901</v>
      </c>
      <c r="C2636" s="5" t="str">
        <f>IFERROR(__xludf.DUMMYFUNCTION("GOOGLETRANSLATE(D:D,""auto"",""en"")"),"Wuhan enabled Cruise Hotel")</f>
        <v>Wuhan enabled Cruise Hotel</v>
      </c>
      <c r="D2636" s="4" t="s">
        <v>3869</v>
      </c>
      <c r="E2636" s="4">
        <v>0.0</v>
      </c>
      <c r="F2636" s="4">
        <v>35.0</v>
      </c>
      <c r="G2636" s="4" t="s">
        <v>3870</v>
      </c>
    </row>
    <row r="2637">
      <c r="A2637" s="1">
        <v>2635.0</v>
      </c>
      <c r="B2637" s="4" t="s">
        <v>3901</v>
      </c>
      <c r="C2637" s="5" t="str">
        <f>IFERROR(__xludf.DUMMYFUNCTION("GOOGLETRANSLATE(D:D,""auto"",""en"")"),"Bryant memorial service theme Disclosure")</f>
        <v>Bryant memorial service theme Disclosure</v>
      </c>
      <c r="D2637" s="4" t="s">
        <v>3956</v>
      </c>
      <c r="E2637" s="4">
        <v>0.0</v>
      </c>
      <c r="F2637" s="4">
        <v>36.0</v>
      </c>
      <c r="G2637" s="4" t="s">
        <v>3957</v>
      </c>
    </row>
    <row r="2638">
      <c r="A2638" s="1">
        <v>2636.0</v>
      </c>
      <c r="B2638" s="4" t="s">
        <v>3901</v>
      </c>
      <c r="C2638" s="5" t="str">
        <f>IFERROR(__xludf.DUMMYFUNCTION("GOOGLETRANSLATE(D:D,""auto"",""en"")"),"Jingdong then respond Shenzhou prosecution")</f>
        <v>Jingdong then respond Shenzhou prosecution</v>
      </c>
      <c r="D2638" s="4" t="s">
        <v>3958</v>
      </c>
      <c r="E2638" s="4">
        <v>0.0</v>
      </c>
      <c r="F2638" s="4">
        <v>37.0</v>
      </c>
      <c r="G2638" s="4" t="s">
        <v>3959</v>
      </c>
    </row>
    <row r="2639">
      <c r="A2639" s="1">
        <v>2637.0</v>
      </c>
      <c r="B2639" s="4" t="s">
        <v>3901</v>
      </c>
      <c r="C2639" s="5" t="str">
        <f>IFERROR(__xludf.DUMMYFUNCTION("GOOGLETRANSLATE(D:D,""auto"",""en"")"),"Victory will be held March 6 army")</f>
        <v>Victory will be held March 6 army</v>
      </c>
      <c r="D2639" s="4" t="s">
        <v>3871</v>
      </c>
      <c r="E2639" s="4">
        <v>0.0</v>
      </c>
      <c r="F2639" s="4">
        <v>38.0</v>
      </c>
      <c r="G2639" s="4" t="s">
        <v>3872</v>
      </c>
    </row>
    <row r="2640">
      <c r="A2640" s="1">
        <v>2638.0</v>
      </c>
      <c r="B2640" s="4" t="s">
        <v>3901</v>
      </c>
      <c r="C2640" s="5" t="str">
        <f>IFERROR(__xludf.DUMMYFUNCTION("GOOGLETRANSLATE(D:D,""auto"",""en"")"),"Japan imported Chinese masks")</f>
        <v>Japan imported Chinese masks</v>
      </c>
      <c r="D2640" s="4" t="s">
        <v>3867</v>
      </c>
      <c r="E2640" s="4">
        <v>0.0</v>
      </c>
      <c r="F2640" s="4">
        <v>39.0</v>
      </c>
      <c r="G2640" s="4" t="s">
        <v>3868</v>
      </c>
    </row>
    <row r="2641">
      <c r="A2641" s="1">
        <v>2639.0</v>
      </c>
      <c r="B2641" s="4" t="s">
        <v>3901</v>
      </c>
      <c r="C2641" s="5" t="str">
        <f>IFERROR(__xludf.DUMMYFUNCTION("GOOGLETRANSLATE(D:D,""auto"",""en"")"),"WHO expert mission to Wuhan")</f>
        <v>WHO expert mission to Wuhan</v>
      </c>
      <c r="D2641" s="4" t="s">
        <v>3960</v>
      </c>
      <c r="E2641" s="4">
        <v>0.0</v>
      </c>
      <c r="F2641" s="4">
        <v>40.0</v>
      </c>
      <c r="G2641" s="4" t="s">
        <v>3961</v>
      </c>
    </row>
    <row r="2642">
      <c r="A2642" s="1">
        <v>2640.0</v>
      </c>
      <c r="B2642" s="4" t="s">
        <v>3901</v>
      </c>
      <c r="C2642" s="5" t="str">
        <f>IFERROR(__xludf.DUMMYFUNCTION("GOOGLETRANSLATE(D:D,""auto"",""en"")"),"Buffon apologized to Chinese fans")</f>
        <v>Buffon apologized to Chinese fans</v>
      </c>
      <c r="D2642" s="4" t="s">
        <v>3879</v>
      </c>
      <c r="E2642" s="4">
        <v>0.0</v>
      </c>
      <c r="F2642" s="4">
        <v>41.0</v>
      </c>
      <c r="G2642" s="4" t="s">
        <v>3880</v>
      </c>
    </row>
    <row r="2643">
      <c r="A2643" s="1">
        <v>2641.0</v>
      </c>
      <c r="B2643" s="4" t="s">
        <v>3901</v>
      </c>
      <c r="C2643" s="5" t="str">
        <f>IFERROR(__xludf.DUMMYFUNCTION("GOOGLETRANSLATE(D:D,""auto"",""en"")"),"Shandong a prison outbreak")</f>
        <v>Shandong a prison outbreak</v>
      </c>
      <c r="D2643" s="4" t="s">
        <v>3855</v>
      </c>
      <c r="E2643" s="4">
        <v>0.0</v>
      </c>
      <c r="F2643" s="4">
        <v>42.0</v>
      </c>
      <c r="G2643" s="4" t="s">
        <v>3856</v>
      </c>
    </row>
    <row r="2644">
      <c r="A2644" s="1">
        <v>2642.0</v>
      </c>
      <c r="B2644" s="4" t="s">
        <v>3901</v>
      </c>
      <c r="C2644" s="5" t="str">
        <f>IFERROR(__xludf.DUMMYFUNCTION("GOOGLETRANSLATE(D:D,""auto"",""en"")"),"Do not want to go to work, he said his wife and daughter diagnosed")</f>
        <v>Do not want to go to work, he said his wife and daughter diagnosed</v>
      </c>
      <c r="D2644" s="4" t="s">
        <v>3962</v>
      </c>
      <c r="E2644" s="4">
        <v>0.0</v>
      </c>
      <c r="F2644" s="4">
        <v>43.0</v>
      </c>
      <c r="G2644" s="4" t="s">
        <v>3963</v>
      </c>
    </row>
    <row r="2645">
      <c r="A2645" s="1">
        <v>2643.0</v>
      </c>
      <c r="B2645" s="4" t="s">
        <v>3901</v>
      </c>
      <c r="C2645" s="5" t="str">
        <f>IFERROR(__xludf.DUMMYFUNCTION("GOOGLETRANSLATE(D:D,""auto"",""en"")"),"Baoqiang divorce insider suspected exposure")</f>
        <v>Baoqiang divorce insider suspected exposure</v>
      </c>
      <c r="D2645" s="4" t="s">
        <v>3891</v>
      </c>
      <c r="E2645" s="4">
        <v>0.0</v>
      </c>
      <c r="F2645" s="4">
        <v>44.0</v>
      </c>
      <c r="G2645" s="4" t="s">
        <v>3892</v>
      </c>
    </row>
    <row r="2646">
      <c r="A2646" s="1">
        <v>2644.0</v>
      </c>
      <c r="B2646" s="4" t="s">
        <v>3901</v>
      </c>
      <c r="C2646" s="5" t="str">
        <f>IFERROR(__xludf.DUMMYFUNCTION("GOOGLETRANSLATE(D:D,""auto"",""en"")"),"Hubei new non-rebound")</f>
        <v>Hubei new non-rebound</v>
      </c>
      <c r="D2646" s="4" t="s">
        <v>3837</v>
      </c>
      <c r="E2646" s="4">
        <v>0.0</v>
      </c>
      <c r="F2646" s="4">
        <v>45.0</v>
      </c>
      <c r="G2646" s="4" t="s">
        <v>3838</v>
      </c>
    </row>
    <row r="2647">
      <c r="A2647" s="1">
        <v>2645.0</v>
      </c>
      <c r="B2647" s="4" t="s">
        <v>3901</v>
      </c>
      <c r="C2647" s="5" t="str">
        <f>IFERROR(__xludf.DUMMYFUNCTION("GOOGLETRANSLATE(D:D,""auto"",""en"")"),"Guangyuan people unloading masks tea")</f>
        <v>Guangyuan people unloading masks tea</v>
      </c>
      <c r="D2647" s="4" t="s">
        <v>3964</v>
      </c>
      <c r="E2647" s="4">
        <v>0.0</v>
      </c>
      <c r="F2647" s="4">
        <v>46.0</v>
      </c>
      <c r="G2647" s="4" t="s">
        <v>3965</v>
      </c>
    </row>
    <row r="2648">
      <c r="A2648" s="1">
        <v>2646.0</v>
      </c>
      <c r="B2648" s="4" t="s">
        <v>3901</v>
      </c>
      <c r="C2648" s="5" t="str">
        <f>IFERROR(__xludf.DUMMYFUNCTION("GOOGLETRANSLATE(D:D,""auto"",""en"")"),"Wuhan epidemic situation is still very grim")</f>
        <v>Wuhan epidemic situation is still very grim</v>
      </c>
      <c r="D2648" s="4" t="s">
        <v>3794</v>
      </c>
      <c r="E2648" s="4">
        <v>0.0</v>
      </c>
      <c r="F2648" s="4">
        <v>47.0</v>
      </c>
      <c r="G2648" s="4" t="s">
        <v>3795</v>
      </c>
    </row>
    <row r="2649">
      <c r="A2649" s="1">
        <v>2647.0</v>
      </c>
      <c r="B2649" s="4" t="s">
        <v>3901</v>
      </c>
      <c r="C2649" s="5" t="str">
        <f>IFERROR(__xludf.DUMMYFUNCTION("GOOGLETRANSLATE(D:D,""auto"",""en"")"),"24 City return to work rate of over 80%")</f>
        <v>24 City return to work rate of over 80%</v>
      </c>
      <c r="D2649" s="4" t="s">
        <v>3966</v>
      </c>
      <c r="E2649" s="4">
        <v>0.0</v>
      </c>
      <c r="F2649" s="4">
        <v>48.0</v>
      </c>
      <c r="G2649" s="4" t="s">
        <v>3967</v>
      </c>
    </row>
    <row r="2650">
      <c r="A2650" s="1">
        <v>2648.0</v>
      </c>
      <c r="B2650" s="4" t="s">
        <v>3901</v>
      </c>
      <c r="C2650" s="5" t="str">
        <f>IFERROR(__xludf.DUMMYFUNCTION("GOOGLETRANSLATE(D:D,""auto"",""en"")"),"Sicong day sun high-grade material")</f>
        <v>Sicong day sun high-grade material</v>
      </c>
      <c r="D2650" s="4" t="s">
        <v>3968</v>
      </c>
      <c r="E2650" s="4">
        <v>0.0</v>
      </c>
      <c r="F2650" s="4">
        <v>49.0</v>
      </c>
      <c r="G2650" s="4" t="s">
        <v>3969</v>
      </c>
    </row>
    <row r="2651">
      <c r="A2651" s="1">
        <v>2649.0</v>
      </c>
      <c r="B2651" s="4" t="s">
        <v>3901</v>
      </c>
      <c r="C2651" s="5" t="str">
        <f>IFERROR(__xludf.DUMMYFUNCTION("GOOGLETRANSLATE(D:D,""auto"",""en"")"),"To add to the country 20 0")</f>
        <v>To add to the country 20 0</v>
      </c>
      <c r="D2651" s="4" t="s">
        <v>3970</v>
      </c>
      <c r="E2651" s="4">
        <v>0.0</v>
      </c>
      <c r="F2651" s="4">
        <v>50.0</v>
      </c>
      <c r="G2651" s="4" t="s">
        <v>3971</v>
      </c>
    </row>
    <row r="2652">
      <c r="A2652" s="1">
        <v>2650.0</v>
      </c>
      <c r="B2652" s="4" t="s">
        <v>3972</v>
      </c>
      <c r="C2652" s="5" t="str">
        <f>IFERROR(__xludf.DUMMYFUNCTION("GOOGLETRANSLATE(D:D,""auto"",""en"")"),"South China seafood market non-source")</f>
        <v>South China seafood market non-source</v>
      </c>
      <c r="D2652" s="4" t="s">
        <v>3938</v>
      </c>
      <c r="E2652" s="4">
        <v>0.0</v>
      </c>
      <c r="F2652" s="4">
        <v>1.0</v>
      </c>
      <c r="G2652" s="4" t="s">
        <v>3939</v>
      </c>
    </row>
    <row r="2653">
      <c r="A2653" s="1">
        <v>2651.0</v>
      </c>
      <c r="B2653" s="4" t="s">
        <v>3972</v>
      </c>
      <c r="C2653" s="5" t="str">
        <f>IFERROR(__xludf.DUMMYFUNCTION("GOOGLETRANSLATE(D:D,""auto"",""en"")"),"Zhejiang vaccines produce antibodies")</f>
        <v>Zhejiang vaccines produce antibodies</v>
      </c>
      <c r="D2653" s="4" t="s">
        <v>3948</v>
      </c>
      <c r="E2653" s="4">
        <v>0.0</v>
      </c>
      <c r="F2653" s="4">
        <v>2.0</v>
      </c>
      <c r="G2653" s="4" t="s">
        <v>3949</v>
      </c>
    </row>
    <row r="2654">
      <c r="A2654" s="1">
        <v>2652.0</v>
      </c>
      <c r="B2654" s="4" t="s">
        <v>3972</v>
      </c>
      <c r="C2654" s="5" t="str">
        <f>IFERROR(__xludf.DUMMYFUNCTION("GOOGLETRANSLATE(D:D,""auto"",""en"")"),"40,000 killer bees Ximei")</f>
        <v>40,000 killer bees Ximei</v>
      </c>
      <c r="D2654" s="4" t="s">
        <v>3936</v>
      </c>
      <c r="E2654" s="4">
        <v>0.0</v>
      </c>
      <c r="F2654" s="4">
        <v>3.0</v>
      </c>
      <c r="G2654" s="4" t="s">
        <v>3937</v>
      </c>
    </row>
    <row r="2655">
      <c r="A2655" s="1">
        <v>2653.0</v>
      </c>
      <c r="B2655" s="4" t="s">
        <v>3972</v>
      </c>
      <c r="C2655" s="5" t="str">
        <f>IFERROR(__xludf.DUMMYFUNCTION("GOOGLETRANSLATE(D:D,""auto"",""en"")"),"The new crown spread of the virus or the United States")</f>
        <v>The new crown spread of the virus or the United States</v>
      </c>
      <c r="D2655" s="4" t="s">
        <v>3950</v>
      </c>
      <c r="E2655" s="4">
        <v>0.0</v>
      </c>
      <c r="F2655" s="4">
        <v>4.0</v>
      </c>
      <c r="G2655" s="4" t="s">
        <v>3951</v>
      </c>
    </row>
    <row r="2656">
      <c r="A2656" s="1">
        <v>2654.0</v>
      </c>
      <c r="B2656" s="4" t="s">
        <v>3972</v>
      </c>
      <c r="C2656" s="5" t="str">
        <f>IFERROR(__xludf.DUMMYFUNCTION("GOOGLETRANSLATE(D:D,""auto"",""en"")"),"E employees to resign Huang Xiaoming")</f>
        <v>E employees to resign Huang Xiaoming</v>
      </c>
      <c r="D2656" s="4" t="s">
        <v>3973</v>
      </c>
      <c r="E2656" s="4">
        <v>0.0</v>
      </c>
      <c r="F2656" s="4">
        <v>5.0</v>
      </c>
      <c r="G2656" s="4" t="s">
        <v>3974</v>
      </c>
    </row>
    <row r="2657">
      <c r="A2657" s="1">
        <v>2655.0</v>
      </c>
      <c r="B2657" s="4" t="s">
        <v>3972</v>
      </c>
      <c r="C2657" s="5" t="str">
        <f>IFERROR(__xludf.DUMMYFUNCTION("GOOGLETRANSLATE(D:D,""auto"",""en"")"),"Hebei Hirayama 3.0 earthquake")</f>
        <v>Hebei Hirayama 3.0 earthquake</v>
      </c>
      <c r="D2657" s="4" t="s">
        <v>3975</v>
      </c>
      <c r="E2657" s="4">
        <v>0.0</v>
      </c>
      <c r="F2657" s="4">
        <v>6.0</v>
      </c>
      <c r="G2657" s="4" t="s">
        <v>3976</v>
      </c>
    </row>
    <row r="2658">
      <c r="A2658" s="1">
        <v>2656.0</v>
      </c>
      <c r="B2658" s="4" t="s">
        <v>3972</v>
      </c>
      <c r="C2658" s="5" t="str">
        <f>IFERROR(__xludf.DUMMYFUNCTION("GOOGLETRANSLATE(D:D,""auto"",""en"")"),"Japan cruise missed 23 people")</f>
        <v>Japan cruise missed 23 people</v>
      </c>
      <c r="D2658" s="4" t="s">
        <v>3977</v>
      </c>
      <c r="E2658" s="4">
        <v>0.0</v>
      </c>
      <c r="F2658" s="4">
        <v>7.0</v>
      </c>
      <c r="G2658" s="4" t="s">
        <v>3978</v>
      </c>
    </row>
    <row r="2659">
      <c r="A2659" s="1">
        <v>2657.0</v>
      </c>
      <c r="B2659" s="4" t="s">
        <v>3972</v>
      </c>
      <c r="C2659" s="5" t="str">
        <f>IFERROR(__xludf.DUMMYFUNCTION("GOOGLETRANSLATE(D:D,""auto"",""en"")"),"Reusable masks on the market")</f>
        <v>Reusable masks on the market</v>
      </c>
      <c r="D2659" s="4" t="s">
        <v>3979</v>
      </c>
      <c r="E2659" s="4">
        <v>0.0</v>
      </c>
      <c r="F2659" s="4">
        <v>8.0</v>
      </c>
      <c r="G2659" s="4" t="s">
        <v>3980</v>
      </c>
    </row>
    <row r="2660">
      <c r="A2660" s="1">
        <v>2658.0</v>
      </c>
      <c r="B2660" s="4" t="s">
        <v>3972</v>
      </c>
      <c r="C2660" s="5" t="str">
        <f>IFERROR(__xludf.DUMMYFUNCTION("GOOGLETRANSLATE(D:D,""auto"",""en"")"),"Non Hubei diagnosed by only 18 cases")</f>
        <v>Non Hubei diagnosed by only 18 cases</v>
      </c>
      <c r="D2660" s="4" t="s">
        <v>3981</v>
      </c>
      <c r="E2660" s="4">
        <v>0.0</v>
      </c>
      <c r="F2660" s="4">
        <v>9.0</v>
      </c>
      <c r="G2660" s="4" t="s">
        <v>3982</v>
      </c>
    </row>
    <row r="2661">
      <c r="A2661" s="1">
        <v>2659.0</v>
      </c>
      <c r="B2661" s="4" t="s">
        <v>3972</v>
      </c>
      <c r="C2661" s="5" t="str">
        <f>IFERROR(__xludf.DUMMYFUNCTION("GOOGLETRANSLATE(D:D,""auto"",""en"")"),"The official talk when it can get a haircut")</f>
        <v>The official talk when it can get a haircut</v>
      </c>
      <c r="D2661" s="4" t="s">
        <v>3983</v>
      </c>
      <c r="E2661" s="4">
        <v>0.0</v>
      </c>
      <c r="F2661" s="4">
        <v>10.0</v>
      </c>
      <c r="G2661" s="4" t="s">
        <v>3984</v>
      </c>
    </row>
    <row r="2662">
      <c r="A2662" s="1">
        <v>2660.0</v>
      </c>
      <c r="B2662" s="4" t="s">
        <v>3972</v>
      </c>
      <c r="C2662" s="5" t="str">
        <f>IFERROR(__xludf.DUMMYFUNCTION("GOOGLETRANSLATE(D:D,""auto"",""en"")"),"Wuhan Contagion data log")</f>
        <v>Wuhan Contagion data log</v>
      </c>
      <c r="D2662" s="4" t="s">
        <v>3985</v>
      </c>
      <c r="E2662" s="4">
        <v>0.0</v>
      </c>
      <c r="F2662" s="4">
        <v>11.0</v>
      </c>
      <c r="G2662" s="4" t="s">
        <v>3986</v>
      </c>
    </row>
    <row r="2663">
      <c r="A2663" s="1">
        <v>2661.0</v>
      </c>
      <c r="B2663" s="4" t="s">
        <v>3972</v>
      </c>
      <c r="C2663" s="5" t="str">
        <f>IFERROR(__xludf.DUMMYFUNCTION("GOOGLETRANSLATE(D:D,""auto"",""en"")"),"Only one passenger Huangshan Mountain")</f>
        <v>Only one passenger Huangshan Mountain</v>
      </c>
      <c r="D2663" s="4" t="s">
        <v>3987</v>
      </c>
      <c r="E2663" s="4">
        <v>0.0</v>
      </c>
      <c r="F2663" s="4">
        <v>12.0</v>
      </c>
      <c r="G2663" s="4" t="s">
        <v>3988</v>
      </c>
    </row>
    <row r="2664">
      <c r="A2664" s="1">
        <v>2662.0</v>
      </c>
      <c r="B2664" s="4" t="s">
        <v>3972</v>
      </c>
      <c r="C2664" s="5" t="str">
        <f>IFERROR(__xludf.DUMMYFUNCTION("GOOGLETRANSLATE(D:D,""auto"",""en"")"),"Sichuan wartime state prison")</f>
        <v>Sichuan wartime state prison</v>
      </c>
      <c r="D2664" s="4" t="s">
        <v>3989</v>
      </c>
      <c r="E2664" s="4">
        <v>0.0</v>
      </c>
      <c r="F2664" s="4">
        <v>13.0</v>
      </c>
      <c r="G2664" s="4" t="s">
        <v>3990</v>
      </c>
    </row>
    <row r="2665">
      <c r="A2665" s="1">
        <v>2663.0</v>
      </c>
      <c r="B2665" s="4" t="s">
        <v>3972</v>
      </c>
      <c r="C2665" s="5" t="str">
        <f>IFERROR(__xludf.DUMMYFUNCTION("GOOGLETRANSLATE(D:D,""auto"",""en"")"),"Zhong Nanshan talk Heilongjiang epidemic")</f>
        <v>Zhong Nanshan talk Heilongjiang epidemic</v>
      </c>
      <c r="D2665" s="4" t="s">
        <v>3991</v>
      </c>
      <c r="E2665" s="4">
        <v>0.0</v>
      </c>
      <c r="F2665" s="4">
        <v>14.0</v>
      </c>
      <c r="G2665" s="4" t="s">
        <v>3992</v>
      </c>
    </row>
    <row r="2666">
      <c r="A2666" s="1">
        <v>2664.0</v>
      </c>
      <c r="B2666" s="4" t="s">
        <v>3972</v>
      </c>
      <c r="C2666" s="5" t="str">
        <f>IFERROR(__xludf.DUMMYFUNCTION("GOOGLETRANSLATE(D:D,""auto"",""en"")"),"At the same time suffering from dengue fever and new crown")</f>
        <v>At the same time suffering from dengue fever and new crown</v>
      </c>
      <c r="D2666" s="4" t="s">
        <v>3993</v>
      </c>
      <c r="E2666" s="4">
        <v>0.0</v>
      </c>
      <c r="F2666" s="4">
        <v>15.0</v>
      </c>
      <c r="G2666" s="4" t="s">
        <v>3994</v>
      </c>
    </row>
    <row r="2667">
      <c r="A2667" s="1">
        <v>2665.0</v>
      </c>
      <c r="B2667" s="4" t="s">
        <v>3972</v>
      </c>
      <c r="C2667" s="5" t="str">
        <f>IFERROR(__xludf.DUMMYFUNCTION("GOOGLETRANSLATE(D:D,""auto"",""en"")"),"Italian multi-city closed city")</f>
        <v>Italian multi-city closed city</v>
      </c>
      <c r="D2667" s="4" t="s">
        <v>3995</v>
      </c>
      <c r="E2667" s="4">
        <v>0.0</v>
      </c>
      <c r="F2667" s="4">
        <v>16.0</v>
      </c>
      <c r="G2667" s="4" t="s">
        <v>3996</v>
      </c>
    </row>
    <row r="2668">
      <c r="A2668" s="1">
        <v>2666.0</v>
      </c>
      <c r="B2668" s="4" t="s">
        <v>3972</v>
      </c>
      <c r="C2668" s="5" t="str">
        <f>IFERROR(__xludf.DUMMYFUNCTION("GOOGLETRANSLATE(D:D,""auto"",""en"")"),"Cinema ready to return to work")</f>
        <v>Cinema ready to return to work</v>
      </c>
      <c r="D2668" s="4" t="s">
        <v>3997</v>
      </c>
      <c r="E2668" s="4">
        <v>0.0</v>
      </c>
      <c r="F2668" s="4">
        <v>17.0</v>
      </c>
      <c r="G2668" s="4" t="s">
        <v>3998</v>
      </c>
    </row>
    <row r="2669">
      <c r="A2669" s="1">
        <v>2667.0</v>
      </c>
      <c r="B2669" s="4" t="s">
        <v>3972</v>
      </c>
      <c r="C2669" s="5" t="str">
        <f>IFERROR(__xludf.DUMMYFUNCTION("GOOGLETRANSLATE(D:D,""auto"",""en"")"),"Bat or directly infect humans")</f>
        <v>Bat or directly infect humans</v>
      </c>
      <c r="D2669" s="4" t="s">
        <v>3999</v>
      </c>
      <c r="E2669" s="4">
        <v>0.0</v>
      </c>
      <c r="F2669" s="4">
        <v>18.0</v>
      </c>
      <c r="G2669" s="4" t="s">
        <v>4000</v>
      </c>
    </row>
    <row r="2670">
      <c r="A2670" s="1">
        <v>2668.0</v>
      </c>
      <c r="B2670" s="4" t="s">
        <v>3972</v>
      </c>
      <c r="C2670" s="5" t="str">
        <f>IFERROR(__xludf.DUMMYFUNCTION("GOOGLETRANSLATE(D:D,""auto"",""en"")"),"Hubei frontline medical raise in salary")</f>
        <v>Hubei frontline medical raise in salary</v>
      </c>
      <c r="D2670" s="4" t="s">
        <v>4001</v>
      </c>
      <c r="E2670" s="4">
        <v>0.0</v>
      </c>
      <c r="F2670" s="4">
        <v>19.0</v>
      </c>
      <c r="G2670" s="4" t="s">
        <v>4002</v>
      </c>
    </row>
    <row r="2671">
      <c r="A2671" s="1">
        <v>2669.0</v>
      </c>
      <c r="B2671" s="4" t="s">
        <v>3972</v>
      </c>
      <c r="C2671" s="5" t="str">
        <f>IFERROR(__xludf.DUMMYFUNCTION("GOOGLETRANSLATE(D:D,""auto"",""en"")"),"Strawberry house not only the music")</f>
        <v>Strawberry house not only the music</v>
      </c>
      <c r="D2671" s="4" t="s">
        <v>4003</v>
      </c>
      <c r="E2671" s="4">
        <v>0.0</v>
      </c>
      <c r="F2671" s="4">
        <v>20.0</v>
      </c>
      <c r="G2671" s="4" t="s">
        <v>4004</v>
      </c>
    </row>
    <row r="2672">
      <c r="A2672" s="1">
        <v>2670.0</v>
      </c>
      <c r="B2672" s="4" t="s">
        <v>3972</v>
      </c>
      <c r="C2672" s="5" t="str">
        <f>IFERROR(__xludf.DUMMYFUNCTION("GOOGLETRANSLATE(D:D,""auto"",""en"")"),"Song Dandan son issued an apology")</f>
        <v>Song Dandan son issued an apology</v>
      </c>
      <c r="D2672" s="4" t="s">
        <v>4005</v>
      </c>
      <c r="E2672" s="4">
        <v>0.0</v>
      </c>
      <c r="F2672" s="4">
        <v>21.0</v>
      </c>
      <c r="G2672" s="4" t="s">
        <v>4006</v>
      </c>
    </row>
    <row r="2673">
      <c r="A2673" s="1">
        <v>2671.0</v>
      </c>
      <c r="B2673" s="4" t="s">
        <v>3972</v>
      </c>
      <c r="C2673" s="5" t="str">
        <f>IFERROR(__xludf.DUMMYFUNCTION("GOOGLETRANSLATE(D:D,""auto"",""en"")"),"Skewer shop day to sell 6,000 strings")</f>
        <v>Skewer shop day to sell 6,000 strings</v>
      </c>
      <c r="D2673" s="4" t="s">
        <v>4007</v>
      </c>
      <c r="E2673" s="4">
        <v>0.0</v>
      </c>
      <c r="F2673" s="4">
        <v>22.0</v>
      </c>
      <c r="G2673" s="4" t="s">
        <v>4008</v>
      </c>
    </row>
    <row r="2674">
      <c r="A2674" s="1">
        <v>2672.0</v>
      </c>
      <c r="B2674" s="4" t="s">
        <v>3972</v>
      </c>
      <c r="C2674" s="5" t="str">
        <f>IFERROR(__xludf.DUMMYFUNCTION("GOOGLETRANSLATE(D:D,""auto"",""en"")"),"Isolation of prison staff exodus")</f>
        <v>Isolation of prison staff exodus</v>
      </c>
      <c r="D2674" s="4" t="s">
        <v>4009</v>
      </c>
      <c r="E2674" s="4">
        <v>0.0</v>
      </c>
      <c r="F2674" s="4">
        <v>23.0</v>
      </c>
      <c r="G2674" s="4" t="s">
        <v>4010</v>
      </c>
    </row>
    <row r="2675">
      <c r="A2675" s="1">
        <v>2673.0</v>
      </c>
      <c r="B2675" s="4" t="s">
        <v>3972</v>
      </c>
      <c r="C2675" s="5" t="str">
        <f>IFERROR(__xludf.DUMMYFUNCTION("GOOGLETRANSLATE(D:D,""auto"",""en"")"),"New cases of the incubation period 27 days")</f>
        <v>New cases of the incubation period 27 days</v>
      </c>
      <c r="D2675" s="4" t="s">
        <v>3932</v>
      </c>
      <c r="E2675" s="4">
        <v>0.0</v>
      </c>
      <c r="F2675" s="4">
        <v>24.0</v>
      </c>
      <c r="G2675" s="4" t="s">
        <v>3933</v>
      </c>
    </row>
    <row r="2676">
      <c r="A2676" s="1">
        <v>2674.0</v>
      </c>
      <c r="B2676" s="4" t="s">
        <v>3972</v>
      </c>
      <c r="C2676" s="5" t="str">
        <f>IFERROR(__xludf.DUMMYFUNCTION("GOOGLETRANSLATE(D:D,""auto"",""en"")"),"US CDC to respond to rumors")</f>
        <v>US CDC to respond to rumors</v>
      </c>
      <c r="D2676" s="4" t="s">
        <v>4011</v>
      </c>
      <c r="E2676" s="4">
        <v>0.0</v>
      </c>
      <c r="F2676" s="4">
        <v>25.0</v>
      </c>
      <c r="G2676" s="4" t="s">
        <v>4012</v>
      </c>
    </row>
    <row r="2677">
      <c r="A2677" s="1">
        <v>2675.0</v>
      </c>
      <c r="B2677" s="4" t="s">
        <v>3972</v>
      </c>
      <c r="C2677" s="5" t="str">
        <f>IFERROR(__xludf.DUMMYFUNCTION("GOOGLETRANSLATE(D:D,""auto"",""en"")"),"United States found the Rainbow Serpent")</f>
        <v>United States found the Rainbow Serpent</v>
      </c>
      <c r="D2677" s="4" t="s">
        <v>4013</v>
      </c>
      <c r="E2677" s="4">
        <v>0.0</v>
      </c>
      <c r="F2677" s="4">
        <v>26.0</v>
      </c>
      <c r="G2677" s="4" t="s">
        <v>4014</v>
      </c>
    </row>
    <row r="2678">
      <c r="A2678" s="1">
        <v>2676.0</v>
      </c>
      <c r="B2678" s="4" t="s">
        <v>3972</v>
      </c>
      <c r="C2678" s="5" t="str">
        <f>IFERROR(__xludf.DUMMYFUNCTION("GOOGLETRANSLATE(D:D,""auto"",""en"")"),"Dou Jing Tong Xuan official sister love")</f>
        <v>Dou Jing Tong Xuan official sister love</v>
      </c>
      <c r="D2678" s="4" t="s">
        <v>3920</v>
      </c>
      <c r="E2678" s="4">
        <v>0.0</v>
      </c>
      <c r="F2678" s="4">
        <v>27.0</v>
      </c>
      <c r="G2678" s="4" t="s">
        <v>3921</v>
      </c>
    </row>
    <row r="2679">
      <c r="A2679" s="1">
        <v>2677.0</v>
      </c>
      <c r="B2679" s="4" t="s">
        <v>3972</v>
      </c>
      <c r="C2679" s="5" t="str">
        <f>IFERROR(__xludf.DUMMYFUNCTION("GOOGLETRANSLATE(D:D,""auto"",""en"")"),"62-year-old who was discharged XingJu")</f>
        <v>62-year-old who was discharged XingJu</v>
      </c>
      <c r="D2679" s="4" t="s">
        <v>3922</v>
      </c>
      <c r="E2679" s="4">
        <v>0.0</v>
      </c>
      <c r="F2679" s="4">
        <v>28.0</v>
      </c>
      <c r="G2679" s="4" t="s">
        <v>3923</v>
      </c>
    </row>
    <row r="2680">
      <c r="A2680" s="1">
        <v>2678.0</v>
      </c>
      <c r="B2680" s="4" t="s">
        <v>3972</v>
      </c>
      <c r="C2680" s="5" t="str">
        <f>IFERROR(__xludf.DUMMYFUNCTION("GOOGLETRANSLATE(D:D,""auto"",""en"")"),"South Korean new cases of 87 cases")</f>
        <v>South Korean new cases of 87 cases</v>
      </c>
      <c r="D2680" s="4" t="s">
        <v>4015</v>
      </c>
      <c r="E2680" s="4">
        <v>0.0</v>
      </c>
      <c r="F2680" s="4">
        <v>29.0</v>
      </c>
      <c r="G2680" s="4" t="s">
        <v>4016</v>
      </c>
    </row>
    <row r="2681">
      <c r="A2681" s="1">
        <v>2679.0</v>
      </c>
      <c r="B2681" s="4" t="s">
        <v>3972</v>
      </c>
      <c r="C2681" s="5" t="str">
        <f>IFERROR(__xludf.DUMMYFUNCTION("GOOGLETRANSLATE(D:D,""auto"",""en"")"),"New Korea 123 patients")</f>
        <v>New Korea 123 patients</v>
      </c>
      <c r="D2681" s="4" t="s">
        <v>4017</v>
      </c>
      <c r="E2681" s="4">
        <v>0.0</v>
      </c>
      <c r="F2681" s="4">
        <v>30.0</v>
      </c>
      <c r="G2681" s="4" t="s">
        <v>4018</v>
      </c>
    </row>
    <row r="2682">
      <c r="A2682" s="1">
        <v>2680.0</v>
      </c>
      <c r="B2682" s="4" t="s">
        <v>3972</v>
      </c>
      <c r="C2682" s="5" t="str">
        <f>IFERROR(__xludf.DUMMYFUNCTION("GOOGLETRANSLATE(D:D,""auto"",""en"")"),"WHO's response to mosquito-borne")</f>
        <v>WHO's response to mosquito-borne</v>
      </c>
      <c r="D2682" s="4" t="s">
        <v>4019</v>
      </c>
      <c r="E2682" s="4">
        <v>0.0</v>
      </c>
      <c r="F2682" s="4">
        <v>31.0</v>
      </c>
      <c r="G2682" s="4" t="s">
        <v>4020</v>
      </c>
    </row>
    <row r="2683">
      <c r="A2683" s="1">
        <v>2681.0</v>
      </c>
      <c r="B2683" s="4" t="s">
        <v>3972</v>
      </c>
      <c r="C2683" s="5" t="str">
        <f>IFERROR(__xludf.DUMMYFUNCTION("GOOGLETRANSLATE(D:D,""auto"",""en"")"),"South Korea one day surge 229 cases")</f>
        <v>South Korea one day surge 229 cases</v>
      </c>
      <c r="D2683" s="4" t="s">
        <v>4021</v>
      </c>
      <c r="E2683" s="4">
        <v>0.0</v>
      </c>
      <c r="F2683" s="4">
        <v>32.0</v>
      </c>
      <c r="G2683" s="4" t="s">
        <v>4022</v>
      </c>
    </row>
    <row r="2684">
      <c r="A2684" s="1">
        <v>2682.0</v>
      </c>
      <c r="B2684" s="4" t="s">
        <v>3972</v>
      </c>
      <c r="C2684" s="5" t="str">
        <f>IFERROR(__xludf.DUMMYFUNCTION("GOOGLETRANSLATE(D:D,""auto"",""en"")"),"Solomon turned to China")</f>
        <v>Solomon turned to China</v>
      </c>
      <c r="D2684" s="4" t="s">
        <v>3944</v>
      </c>
      <c r="E2684" s="4">
        <v>0.0</v>
      </c>
      <c r="F2684" s="4">
        <v>33.0</v>
      </c>
      <c r="G2684" s="4" t="s">
        <v>3945</v>
      </c>
    </row>
    <row r="2685">
      <c r="A2685" s="1">
        <v>2683.0</v>
      </c>
      <c r="B2685" s="4" t="s">
        <v>3972</v>
      </c>
      <c r="C2685" s="5" t="str">
        <f>IFERROR(__xludf.DUMMYFUNCTION("GOOGLETRANSLATE(D:D,""auto"",""en"")"),"Messi Luckiest Man")</f>
        <v>Messi Luckiest Man</v>
      </c>
      <c r="D2685" s="4" t="s">
        <v>4023</v>
      </c>
      <c r="E2685" s="4">
        <v>0.0</v>
      </c>
      <c r="F2685" s="4">
        <v>34.0</v>
      </c>
      <c r="G2685" s="4" t="s">
        <v>4024</v>
      </c>
    </row>
    <row r="2686">
      <c r="A2686" s="1">
        <v>2684.0</v>
      </c>
      <c r="B2686" s="4" t="s">
        <v>3972</v>
      </c>
      <c r="C2686" s="5" t="str">
        <f>IFERROR(__xludf.DUMMYFUNCTION("GOOGLETRANSLATE(D:D,""auto"",""en"")"),"Wuhan accountability 620 people")</f>
        <v>Wuhan accountability 620 people</v>
      </c>
      <c r="D2686" s="4" t="s">
        <v>3916</v>
      </c>
      <c r="E2686" s="4">
        <v>0.0</v>
      </c>
      <c r="F2686" s="4">
        <v>35.0</v>
      </c>
      <c r="G2686" s="4" t="s">
        <v>3917</v>
      </c>
    </row>
    <row r="2687">
      <c r="A2687" s="1">
        <v>2685.0</v>
      </c>
      <c r="B2687" s="4" t="s">
        <v>3972</v>
      </c>
      <c r="C2687" s="5" t="str">
        <f>IFERROR(__xludf.DUMMYFUNCTION("GOOGLETRANSLATE(D:D,""auto"",""en"")"),"When experts talk about the epidemic zero")</f>
        <v>When experts talk about the epidemic zero</v>
      </c>
      <c r="D2687" s="4" t="s">
        <v>3912</v>
      </c>
      <c r="E2687" s="4">
        <v>0.0</v>
      </c>
      <c r="F2687" s="4">
        <v>36.0</v>
      </c>
      <c r="G2687" s="4" t="s">
        <v>3913</v>
      </c>
    </row>
    <row r="2688">
      <c r="A2688" s="1">
        <v>2686.0</v>
      </c>
      <c r="B2688" s="4" t="s">
        <v>3972</v>
      </c>
      <c r="C2688" s="5" t="str">
        <f>IFERROR(__xludf.DUMMYFUNCTION("GOOGLETRANSLATE(D:D,""auto"",""en"")"),"Isolation of escape home noodles")</f>
        <v>Isolation of escape home noodles</v>
      </c>
      <c r="D2688" s="4" t="s">
        <v>4025</v>
      </c>
      <c r="E2688" s="4">
        <v>0.0</v>
      </c>
      <c r="F2688" s="4">
        <v>37.0</v>
      </c>
      <c r="G2688" s="4" t="s">
        <v>4026</v>
      </c>
    </row>
    <row r="2689">
      <c r="A2689" s="1">
        <v>2687.0</v>
      </c>
      <c r="B2689" s="4" t="s">
        <v>3972</v>
      </c>
      <c r="C2689" s="5" t="str">
        <f>IFERROR(__xludf.DUMMYFUNCTION("GOOGLETRANSLATE(D:D,""auto"",""en"")"),"Liaoning Province, three emergency response")</f>
        <v>Liaoning Province, three emergency response</v>
      </c>
      <c r="D2689" s="4" t="s">
        <v>3914</v>
      </c>
      <c r="E2689" s="4">
        <v>0.0</v>
      </c>
      <c r="F2689" s="4">
        <v>38.0</v>
      </c>
      <c r="G2689" s="4" t="s">
        <v>3915</v>
      </c>
    </row>
    <row r="2690">
      <c r="A2690" s="1">
        <v>2688.0</v>
      </c>
      <c r="B2690" s="4" t="s">
        <v>3972</v>
      </c>
      <c r="C2690" s="5" t="str">
        <f>IFERROR(__xludf.DUMMYFUNCTION("GOOGLETRANSLATE(D:D,""auto"",""en"")"),"Dr. Peng Yinhua sound wife")</f>
        <v>Dr. Peng Yinhua sound wife</v>
      </c>
      <c r="D2690" s="4" t="s">
        <v>3910</v>
      </c>
      <c r="E2690" s="4">
        <v>0.0</v>
      </c>
      <c r="F2690" s="4">
        <v>39.0</v>
      </c>
      <c r="G2690" s="4" t="s">
        <v>3911</v>
      </c>
    </row>
    <row r="2691">
      <c r="A2691" s="1">
        <v>2689.0</v>
      </c>
      <c r="B2691" s="4" t="s">
        <v>3972</v>
      </c>
      <c r="C2691" s="5" t="str">
        <f>IFERROR(__xludf.DUMMYFUNCTION("GOOGLETRANSLATE(D:D,""auto"",""en"")"),"Do not thoroughly disinfected room")</f>
        <v>Do not thoroughly disinfected room</v>
      </c>
      <c r="D2691" s="4" t="s">
        <v>4027</v>
      </c>
      <c r="E2691" s="4">
        <v>0.0</v>
      </c>
      <c r="F2691" s="4">
        <v>40.0</v>
      </c>
      <c r="G2691" s="4" t="s">
        <v>4028</v>
      </c>
    </row>
    <row r="2692">
      <c r="A2692" s="1">
        <v>2690.0</v>
      </c>
      <c r="B2692" s="4" t="s">
        <v>3972</v>
      </c>
      <c r="C2692" s="5" t="str">
        <f>IFERROR(__xludf.DUMMYFUNCTION("GOOGLETRANSLATE(D:D,""auto"",""en"")"),"Song Hye Kyo debut in Milan")</f>
        <v>Song Hye Kyo debut in Milan</v>
      </c>
      <c r="D2692" s="4" t="s">
        <v>4029</v>
      </c>
      <c r="E2692" s="4">
        <v>0.0</v>
      </c>
      <c r="F2692" s="4">
        <v>41.0</v>
      </c>
      <c r="G2692" s="4" t="s">
        <v>4030</v>
      </c>
    </row>
    <row r="2693">
      <c r="A2693" s="1">
        <v>2691.0</v>
      </c>
      <c r="B2693" s="4" t="s">
        <v>3972</v>
      </c>
      <c r="C2693" s="5" t="str">
        <f>IFERROR(__xludf.DUMMYFUNCTION("GOOGLETRANSLATE(D:D,""auto"",""en"")"),"6-year-old brother, 4-year-old brother enlighten")</f>
        <v>6-year-old brother, 4-year-old brother enlighten</v>
      </c>
      <c r="D2693" s="4" t="s">
        <v>4031</v>
      </c>
      <c r="E2693" s="4">
        <v>0.0</v>
      </c>
      <c r="F2693" s="4">
        <v>42.0</v>
      </c>
      <c r="G2693" s="4" t="s">
        <v>4032</v>
      </c>
    </row>
    <row r="2694">
      <c r="A2694" s="1">
        <v>2692.0</v>
      </c>
      <c r="B2694" s="4" t="s">
        <v>3972</v>
      </c>
      <c r="C2694" s="5" t="str">
        <f>IFERROR(__xludf.DUMMYFUNCTION("GOOGLETRANSLATE(D:D,""auto"",""en"")"),"Shanxi medical staff a bottle of vinegar")</f>
        <v>Shanxi medical staff a bottle of vinegar</v>
      </c>
      <c r="D2694" s="4" t="s">
        <v>4033</v>
      </c>
      <c r="E2694" s="4">
        <v>0.0</v>
      </c>
      <c r="F2694" s="4">
        <v>43.0</v>
      </c>
      <c r="G2694" s="4" t="s">
        <v>4034</v>
      </c>
    </row>
    <row r="2695">
      <c r="A2695" s="1">
        <v>2693.0</v>
      </c>
      <c r="B2695" s="4" t="s">
        <v>3972</v>
      </c>
      <c r="C2695" s="5" t="str">
        <f>IFERROR(__xludf.DUMMYFUNCTION("GOOGLETRANSLATE(D:D,""auto"",""en"")"),"Wu Haijun Liu Qiang East propaganda")</f>
        <v>Wu Haijun Liu Qiang East propaganda</v>
      </c>
      <c r="D2695" s="4" t="s">
        <v>4035</v>
      </c>
      <c r="E2695" s="4">
        <v>0.0</v>
      </c>
      <c r="F2695" s="4">
        <v>44.0</v>
      </c>
      <c r="G2695" s="4" t="s">
        <v>4036</v>
      </c>
    </row>
    <row r="2696">
      <c r="A2696" s="1">
        <v>2694.0</v>
      </c>
      <c r="B2696" s="4" t="s">
        <v>3972</v>
      </c>
      <c r="C2696" s="5" t="str">
        <f>IFERROR(__xludf.DUMMYFUNCTION("GOOGLETRANSLATE(D:D,""auto"",""en"")"),"Look online Strawberry Music Festival")</f>
        <v>Look online Strawberry Music Festival</v>
      </c>
      <c r="D2696" s="4" t="s">
        <v>4037</v>
      </c>
      <c r="E2696" s="4">
        <v>0.0</v>
      </c>
      <c r="F2696" s="4">
        <v>45.0</v>
      </c>
      <c r="G2696" s="4" t="s">
        <v>4038</v>
      </c>
    </row>
    <row r="2697">
      <c r="A2697" s="1">
        <v>2695.0</v>
      </c>
      <c r="B2697" s="4" t="s">
        <v>3972</v>
      </c>
      <c r="C2697" s="5" t="str">
        <f>IFERROR(__xludf.DUMMYFUNCTION("GOOGLETRANSLATE(D:D,""auto"",""en"")"),"Shandong pressed mine accident")</f>
        <v>Shandong pressed mine accident</v>
      </c>
      <c r="D2697" s="4" t="s">
        <v>3952</v>
      </c>
      <c r="E2697" s="4">
        <v>0.0</v>
      </c>
      <c r="F2697" s="4">
        <v>46.0</v>
      </c>
      <c r="G2697" s="4" t="s">
        <v>3953</v>
      </c>
    </row>
    <row r="2698">
      <c r="A2698" s="1">
        <v>2696.0</v>
      </c>
      <c r="B2698" s="4" t="s">
        <v>3972</v>
      </c>
      <c r="C2698" s="5" t="str">
        <f>IFERROR(__xludf.DUMMYFUNCTION("GOOGLETRANSLATE(D:D,""auto"",""en"")"),"Jiashi 5.1 earthquake")</f>
        <v>Jiashi 5.1 earthquake</v>
      </c>
      <c r="D2698" s="4" t="s">
        <v>3906</v>
      </c>
      <c r="E2698" s="4">
        <v>0.0</v>
      </c>
      <c r="F2698" s="4">
        <v>47.0</v>
      </c>
      <c r="G2698" s="4" t="s">
        <v>3907</v>
      </c>
    </row>
    <row r="2699">
      <c r="A2699" s="1">
        <v>2697.0</v>
      </c>
      <c r="B2699" s="4" t="s">
        <v>3972</v>
      </c>
      <c r="C2699" s="5" t="str">
        <f>IFERROR(__xludf.DUMMYFUNCTION("GOOGLETRANSLATE(D:D,""auto"",""en"")"),"Dou Wei ex-wife plateau photograph")</f>
        <v>Dou Wei ex-wife plateau photograph</v>
      </c>
      <c r="D2699" s="4" t="s">
        <v>4039</v>
      </c>
      <c r="E2699" s="4">
        <v>0.0</v>
      </c>
      <c r="F2699" s="4">
        <v>48.0</v>
      </c>
      <c r="G2699" s="4" t="s">
        <v>4040</v>
      </c>
    </row>
    <row r="2700">
      <c r="A2700" s="1">
        <v>2698.0</v>
      </c>
      <c r="B2700" s="4" t="s">
        <v>3972</v>
      </c>
      <c r="C2700" s="5" t="str">
        <f>IFERROR(__xludf.DUMMYFUNCTION("GOOGLETRANSLATE(D:D,""auto"",""en"")"),"Politburo meeting talked about the turning point")</f>
        <v>Politburo meeting talked about the turning point</v>
      </c>
      <c r="D2700" s="4" t="s">
        <v>3853</v>
      </c>
      <c r="E2700" s="4">
        <v>0.0</v>
      </c>
      <c r="F2700" s="4">
        <v>49.0</v>
      </c>
      <c r="G2700" s="4" t="s">
        <v>3854</v>
      </c>
    </row>
    <row r="2701">
      <c r="A2701" s="1">
        <v>2699.0</v>
      </c>
      <c r="B2701" s="4" t="s">
        <v>3972</v>
      </c>
      <c r="C2701" s="5" t="str">
        <f>IFERROR(__xludf.DUMMYFUNCTION("GOOGLETRANSLATE(D:D,""auto"",""en"")"),"Jieyang official response to loud noise")</f>
        <v>Jieyang official response to loud noise</v>
      </c>
      <c r="D2701" s="4" t="s">
        <v>3851</v>
      </c>
      <c r="E2701" s="4">
        <v>0.0</v>
      </c>
      <c r="F2701" s="4">
        <v>50.0</v>
      </c>
      <c r="G2701" s="4" t="s">
        <v>3852</v>
      </c>
    </row>
    <row r="2702">
      <c r="A2702" s="1">
        <v>2700.0</v>
      </c>
      <c r="B2702" s="4" t="s">
        <v>4041</v>
      </c>
      <c r="C2702" s="5" t="str">
        <f>IFERROR(__xludf.DUMMYFUNCTION("GOOGLETRANSLATE(D:D,""auto"",""en"")"),"Isolation of prison staff exodus")</f>
        <v>Isolation of prison staff exodus</v>
      </c>
      <c r="D2702" s="4" t="s">
        <v>4009</v>
      </c>
      <c r="E2702" s="4">
        <v>0.0</v>
      </c>
      <c r="F2702" s="4">
        <v>1.0</v>
      </c>
      <c r="G2702" s="4" t="s">
        <v>4010</v>
      </c>
    </row>
    <row r="2703">
      <c r="A2703" s="1">
        <v>2701.0</v>
      </c>
      <c r="B2703" s="4" t="s">
        <v>4041</v>
      </c>
      <c r="C2703" s="5" t="str">
        <f>IFERROR(__xludf.DUMMYFUNCTION("GOOGLETRANSLATE(D:D,""auto"",""en"")"),"Bryant memorial service")</f>
        <v>Bryant memorial service</v>
      </c>
      <c r="D2703" s="4" t="s">
        <v>4042</v>
      </c>
      <c r="E2703" s="4">
        <v>0.0</v>
      </c>
      <c r="F2703" s="4">
        <v>2.0</v>
      </c>
      <c r="G2703" s="4" t="s">
        <v>4043</v>
      </c>
    </row>
    <row r="2704">
      <c r="A2704" s="1">
        <v>2702.0</v>
      </c>
      <c r="B2704" s="4" t="s">
        <v>4041</v>
      </c>
      <c r="C2704" s="5" t="str">
        <f>IFERROR(__xludf.DUMMYFUNCTION("GOOGLETRANSLATE(D:D,""auto"",""en"")"),"Skewer shop day to sell 6,000 strings")</f>
        <v>Skewer shop day to sell 6,000 strings</v>
      </c>
      <c r="D2704" s="4" t="s">
        <v>4007</v>
      </c>
      <c r="E2704" s="4">
        <v>0.0</v>
      </c>
      <c r="F2704" s="4">
        <v>3.0</v>
      </c>
      <c r="G2704" s="4" t="s">
        <v>4008</v>
      </c>
    </row>
    <row r="2705">
      <c r="A2705" s="1">
        <v>2703.0</v>
      </c>
      <c r="B2705" s="4" t="s">
        <v>4041</v>
      </c>
      <c r="C2705" s="5" t="str">
        <f>IFERROR(__xludf.DUMMYFUNCTION("GOOGLETRANSLATE(D:D,""auto"",""en"")"),"Zhong Nanshan talk imperative")</f>
        <v>Zhong Nanshan talk imperative</v>
      </c>
      <c r="D2705" s="4" t="s">
        <v>4044</v>
      </c>
      <c r="E2705" s="4">
        <v>0.0</v>
      </c>
      <c r="F2705" s="4">
        <v>4.0</v>
      </c>
      <c r="G2705" s="4" t="s">
        <v>4045</v>
      </c>
    </row>
    <row r="2706">
      <c r="A2706" s="1">
        <v>2704.0</v>
      </c>
      <c r="B2706" s="4" t="s">
        <v>4041</v>
      </c>
      <c r="C2706" s="5" t="str">
        <f>IFERROR(__xludf.DUMMYFUNCTION("GOOGLETRANSLATE(D:D,""auto"",""en"")"),"Wugongshan issued an urgent notice")</f>
        <v>Wugongshan issued an urgent notice</v>
      </c>
      <c r="D2706" s="4" t="s">
        <v>4046</v>
      </c>
      <c r="E2706" s="4">
        <v>0.0</v>
      </c>
      <c r="F2706" s="4">
        <v>5.0</v>
      </c>
      <c r="G2706" s="4" t="s">
        <v>4047</v>
      </c>
    </row>
    <row r="2707">
      <c r="A2707" s="1">
        <v>2705.0</v>
      </c>
      <c r="B2707" s="4" t="s">
        <v>4041</v>
      </c>
      <c r="C2707" s="5" t="str">
        <f>IFERROR(__xludf.DUMMYFUNCTION("GOOGLETRANSLATE(D:D,""auto"",""en"")"),"Strawberry house not only the music")</f>
        <v>Strawberry house not only the music</v>
      </c>
      <c r="D2707" s="4" t="s">
        <v>4003</v>
      </c>
      <c r="E2707" s="4">
        <v>0.0</v>
      </c>
      <c r="F2707" s="4">
        <v>6.0</v>
      </c>
      <c r="G2707" s="4" t="s">
        <v>4004</v>
      </c>
    </row>
    <row r="2708">
      <c r="A2708" s="1">
        <v>2706.0</v>
      </c>
      <c r="B2708" s="4" t="s">
        <v>4041</v>
      </c>
      <c r="C2708" s="5" t="str">
        <f>IFERROR(__xludf.DUMMYFUNCTION("GOOGLETRANSLATE(D:D,""auto"",""en"")"),"Li Yong daughter sun photograph")</f>
        <v>Li Yong daughter sun photograph</v>
      </c>
      <c r="D2708" s="4" t="s">
        <v>4048</v>
      </c>
      <c r="E2708" s="4">
        <v>0.0</v>
      </c>
      <c r="F2708" s="4">
        <v>7.0</v>
      </c>
      <c r="G2708" s="4" t="s">
        <v>4049</v>
      </c>
    </row>
    <row r="2709">
      <c r="A2709" s="1">
        <v>2707.0</v>
      </c>
      <c r="B2709" s="4" t="s">
        <v>4041</v>
      </c>
      <c r="C2709" s="5" t="str">
        <f>IFERROR(__xludf.DUMMYFUNCTION("GOOGLETRANSLATE(D:D,""auto"",""en"")"),"Shenzhen, Guangdong sounding the alarm Contagion")</f>
        <v>Shenzhen, Guangdong sounding the alarm Contagion</v>
      </c>
      <c r="D2709" s="4" t="s">
        <v>4050</v>
      </c>
      <c r="E2709" s="4">
        <v>0.0</v>
      </c>
      <c r="F2709" s="4">
        <v>8.0</v>
      </c>
      <c r="G2709" s="4" t="s">
        <v>4051</v>
      </c>
    </row>
    <row r="2710">
      <c r="A2710" s="1">
        <v>2708.0</v>
      </c>
      <c r="B2710" s="4" t="s">
        <v>4041</v>
      </c>
      <c r="C2710" s="5" t="str">
        <f>IFERROR(__xludf.DUMMYFUNCTION("GOOGLETRANSLATE(D:D,""auto"",""en"")"),"Dali was party secretary-free")</f>
        <v>Dali was party secretary-free</v>
      </c>
      <c r="D2710" s="4" t="s">
        <v>4052</v>
      </c>
      <c r="E2710" s="4">
        <v>0.0</v>
      </c>
      <c r="F2710" s="4">
        <v>9.0</v>
      </c>
      <c r="G2710" s="4" t="s">
        <v>4053</v>
      </c>
    </row>
    <row r="2711">
      <c r="A2711" s="1">
        <v>2709.0</v>
      </c>
      <c r="B2711" s="4" t="s">
        <v>4041</v>
      </c>
      <c r="C2711" s="5" t="str">
        <f>IFERROR(__xludf.DUMMYFUNCTION("GOOGLETRANSLATE(D:D,""auto"",""en"")"),"Anthony 32 points record")</f>
        <v>Anthony 32 points record</v>
      </c>
      <c r="D2711" s="4" t="s">
        <v>4054</v>
      </c>
      <c r="E2711" s="4">
        <v>0.0</v>
      </c>
      <c r="F2711" s="4">
        <v>10.0</v>
      </c>
      <c r="G2711" s="4" t="s">
        <v>4055</v>
      </c>
    </row>
    <row r="2712">
      <c r="A2712" s="1">
        <v>2710.0</v>
      </c>
      <c r="B2712" s="4" t="s">
        <v>4041</v>
      </c>
      <c r="C2712" s="5" t="str">
        <f>IFERROR(__xludf.DUMMYFUNCTION("GOOGLETRANSLATE(D:D,""auto"",""en"")"),"Southern Medical Dalin Ling case solved")</f>
        <v>Southern Medical Dalin Ling case solved</v>
      </c>
      <c r="D2712" s="4" t="s">
        <v>4056</v>
      </c>
      <c r="E2712" s="4">
        <v>0.0</v>
      </c>
      <c r="F2712" s="4">
        <v>11.0</v>
      </c>
      <c r="G2712" s="4" t="s">
        <v>4057</v>
      </c>
    </row>
    <row r="2713">
      <c r="A2713" s="1">
        <v>2711.0</v>
      </c>
      <c r="B2713" s="4" t="s">
        <v>4041</v>
      </c>
      <c r="C2713" s="5" t="str">
        <f>IFERROR(__xludf.DUMMYFUNCTION("GOOGLETRANSLATE(D:D,""auto"",""en"")"),"Wuhan No. 17 Notice")</f>
        <v>Wuhan No. 17 Notice</v>
      </c>
      <c r="D2713" s="4" t="s">
        <v>4058</v>
      </c>
      <c r="E2713" s="4">
        <v>0.0</v>
      </c>
      <c r="F2713" s="4">
        <v>12.0</v>
      </c>
      <c r="G2713" s="4" t="s">
        <v>4059</v>
      </c>
    </row>
    <row r="2714">
      <c r="A2714" s="1">
        <v>2712.0</v>
      </c>
      <c r="B2714" s="4" t="s">
        <v>4041</v>
      </c>
      <c r="C2714" s="5" t="str">
        <f>IFERROR(__xludf.DUMMYFUNCTION("GOOGLETRANSLATE(D:D,""auto"",""en"")"),"Malaysian Prime Minister to resign")</f>
        <v>Malaysian Prime Minister to resign</v>
      </c>
      <c r="D2714" s="4" t="s">
        <v>4060</v>
      </c>
      <c r="E2714" s="4">
        <v>0.0</v>
      </c>
      <c r="F2714" s="4">
        <v>13.0</v>
      </c>
      <c r="G2714" s="4" t="s">
        <v>4061</v>
      </c>
    </row>
    <row r="2715">
      <c r="A2715" s="1">
        <v>2713.0</v>
      </c>
      <c r="B2715" s="4" t="s">
        <v>4041</v>
      </c>
      <c r="C2715" s="5" t="str">
        <f>IFERROR(__xludf.DUMMYFUNCTION("GOOGLETRANSLATE(D:D,""auto"",""en"")"),"Huang Xiaoming sued a number of friends")</f>
        <v>Huang Xiaoming sued a number of friends</v>
      </c>
      <c r="D2715" s="4" t="s">
        <v>4062</v>
      </c>
      <c r="E2715" s="4">
        <v>0.0</v>
      </c>
      <c r="F2715" s="4">
        <v>14.0</v>
      </c>
      <c r="G2715" s="4" t="s">
        <v>4063</v>
      </c>
    </row>
    <row r="2716">
      <c r="A2716" s="1">
        <v>2714.0</v>
      </c>
      <c r="B2716" s="4" t="s">
        <v>4041</v>
      </c>
      <c r="C2716" s="5" t="str">
        <f>IFERROR(__xludf.DUMMYFUNCTION("GOOGLETRANSLATE(D:D,""auto"",""en"")"),"Hubei retired officials be disciplined")</f>
        <v>Hubei retired officials be disciplined</v>
      </c>
      <c r="D2716" s="4" t="s">
        <v>4064</v>
      </c>
      <c r="E2716" s="4">
        <v>0.0</v>
      </c>
      <c r="F2716" s="4">
        <v>15.0</v>
      </c>
      <c r="G2716" s="4" t="s">
        <v>4065</v>
      </c>
    </row>
    <row r="2717">
      <c r="A2717" s="1">
        <v>2715.0</v>
      </c>
      <c r="B2717" s="4" t="s">
        <v>4041</v>
      </c>
      <c r="C2717" s="5" t="str">
        <f>IFERROR(__xludf.DUMMYFUNCTION("GOOGLETRANSLATE(D:D,""auto"",""en"")"),"Niyazov women to talk about licensing to too")</f>
        <v>Niyazov women to talk about licensing to too</v>
      </c>
      <c r="D2717" s="4" t="s">
        <v>4066</v>
      </c>
      <c r="E2717" s="4">
        <v>0.0</v>
      </c>
      <c r="F2717" s="4">
        <v>16.0</v>
      </c>
      <c r="G2717" s="4" t="s">
        <v>4067</v>
      </c>
    </row>
    <row r="2718">
      <c r="A2718" s="1">
        <v>2716.0</v>
      </c>
      <c r="B2718" s="4" t="s">
        <v>4041</v>
      </c>
      <c r="C2718" s="5" t="str">
        <f>IFERROR(__xludf.DUMMYFUNCTION("GOOGLETRANSLATE(D:D,""auto"",""en"")"),"Standing Committee two decisions")</f>
        <v>Standing Committee two decisions</v>
      </c>
      <c r="D2718" s="4" t="s">
        <v>4068</v>
      </c>
      <c r="E2718" s="4">
        <v>0.0</v>
      </c>
      <c r="F2718" s="4">
        <v>17.0</v>
      </c>
      <c r="G2718" s="4" t="s">
        <v>4069</v>
      </c>
    </row>
    <row r="2719">
      <c r="A2719" s="1">
        <v>2717.0</v>
      </c>
      <c r="B2719" s="4" t="s">
        <v>4041</v>
      </c>
      <c r="C2719" s="5" t="str">
        <f>IFERROR(__xludf.DUMMYFUNCTION("GOOGLETRANSLATE(D:D,""auto"",""en"")"),"Zhong Nanshan talk about re-infection")</f>
        <v>Zhong Nanshan talk about re-infection</v>
      </c>
      <c r="D2719" s="4" t="s">
        <v>4070</v>
      </c>
      <c r="E2719" s="4">
        <v>0.0</v>
      </c>
      <c r="F2719" s="4">
        <v>18.0</v>
      </c>
      <c r="G2719" s="4" t="s">
        <v>4071</v>
      </c>
    </row>
    <row r="2720">
      <c r="A2720" s="1">
        <v>2718.0</v>
      </c>
      <c r="B2720" s="4" t="s">
        <v>4041</v>
      </c>
      <c r="C2720" s="5" t="str">
        <f>IFERROR(__xludf.DUMMYFUNCTION("GOOGLETRANSLATE(D:D,""auto"",""en"")"),"Song Dandan son issued an apology")</f>
        <v>Song Dandan son issued an apology</v>
      </c>
      <c r="D2720" s="4" t="s">
        <v>4005</v>
      </c>
      <c r="E2720" s="4">
        <v>0.0</v>
      </c>
      <c r="F2720" s="4">
        <v>19.0</v>
      </c>
      <c r="G2720" s="4" t="s">
        <v>4006</v>
      </c>
    </row>
    <row r="2721">
      <c r="A2721" s="1">
        <v>2719.0</v>
      </c>
      <c r="B2721" s="4" t="s">
        <v>4041</v>
      </c>
      <c r="C2721" s="5" t="str">
        <f>IFERROR(__xludf.DUMMYFUNCTION("GOOGLETRANSLATE(D:D,""auto"",""en"")"),"United States found the Rainbow Serpent")</f>
        <v>United States found the Rainbow Serpent</v>
      </c>
      <c r="D2721" s="4" t="s">
        <v>4013</v>
      </c>
      <c r="E2721" s="4">
        <v>0.0</v>
      </c>
      <c r="F2721" s="4">
        <v>20.0</v>
      </c>
      <c r="G2721" s="4" t="s">
        <v>4014</v>
      </c>
    </row>
    <row r="2722">
      <c r="A2722" s="1">
        <v>2720.0</v>
      </c>
      <c r="B2722" s="4" t="s">
        <v>4041</v>
      </c>
      <c r="C2722" s="5" t="str">
        <f>IFERROR(__xludf.DUMMYFUNCTION("GOOGLETRANSLATE(D:D,""auto"",""en"")"),"Italian multi-city closed city")</f>
        <v>Italian multi-city closed city</v>
      </c>
      <c r="D2722" s="4" t="s">
        <v>3995</v>
      </c>
      <c r="E2722" s="4">
        <v>0.0</v>
      </c>
      <c r="F2722" s="4">
        <v>21.0</v>
      </c>
      <c r="G2722" s="4" t="s">
        <v>3996</v>
      </c>
    </row>
    <row r="2723">
      <c r="A2723" s="1">
        <v>2721.0</v>
      </c>
      <c r="B2723" s="4" t="s">
        <v>4041</v>
      </c>
      <c r="C2723" s="5" t="str">
        <f>IFERROR(__xludf.DUMMYFUNCTION("GOOGLETRANSLATE(D:D,""auto"",""en"")"),"The explosive global epidemic")</f>
        <v>The explosive global epidemic</v>
      </c>
      <c r="D2723" s="4" t="s">
        <v>4072</v>
      </c>
      <c r="E2723" s="4">
        <v>0.0</v>
      </c>
      <c r="F2723" s="4">
        <v>22.0</v>
      </c>
      <c r="G2723" s="4" t="s">
        <v>4073</v>
      </c>
    </row>
    <row r="2724">
      <c r="A2724" s="1">
        <v>2722.0</v>
      </c>
      <c r="B2724" s="4" t="s">
        <v>4041</v>
      </c>
      <c r="C2724" s="5" t="str">
        <f>IFERROR(__xludf.DUMMYFUNCTION("GOOGLETRANSLATE(D:D,""auto"",""en"")"),"Lee Young-ae was attacked Han friends")</f>
        <v>Lee Young-ae was attacked Han friends</v>
      </c>
      <c r="D2724" s="4" t="s">
        <v>4074</v>
      </c>
      <c r="E2724" s="4">
        <v>0.0</v>
      </c>
      <c r="F2724" s="4">
        <v>23.0</v>
      </c>
      <c r="G2724" s="4" t="s">
        <v>4075</v>
      </c>
    </row>
    <row r="2725">
      <c r="A2725" s="1">
        <v>2723.0</v>
      </c>
      <c r="B2725" s="4" t="s">
        <v>4041</v>
      </c>
      <c r="C2725" s="5" t="str">
        <f>IFERROR(__xludf.DUMMYFUNCTION("GOOGLETRANSLATE(D:D,""auto"",""en"")"),"Now millions of Arctic methane point")</f>
        <v>Now millions of Arctic methane point</v>
      </c>
      <c r="D2725" s="4" t="s">
        <v>4076</v>
      </c>
      <c r="E2725" s="4">
        <v>0.0</v>
      </c>
      <c r="F2725" s="4">
        <v>24.0</v>
      </c>
      <c r="G2725" s="4" t="s">
        <v>4077</v>
      </c>
    </row>
    <row r="2726">
      <c r="A2726" s="1">
        <v>2724.0</v>
      </c>
      <c r="B2726" s="4" t="s">
        <v>4041</v>
      </c>
      <c r="C2726" s="5" t="str">
        <f>IFERROR(__xludf.DUMMYFUNCTION("GOOGLETRANSLATE(D:D,""auto"",""en"")"),"US infection or exposure over a thousand")</f>
        <v>US infection or exposure over a thousand</v>
      </c>
      <c r="D2726" s="4" t="s">
        <v>4078</v>
      </c>
      <c r="E2726" s="4">
        <v>0.0</v>
      </c>
      <c r="F2726" s="4">
        <v>25.0</v>
      </c>
      <c r="G2726" s="4" t="s">
        <v>4079</v>
      </c>
    </row>
    <row r="2727">
      <c r="A2727" s="1">
        <v>2725.0</v>
      </c>
      <c r="B2727" s="4" t="s">
        <v>4041</v>
      </c>
      <c r="C2727" s="5" t="str">
        <f>IFERROR(__xludf.DUMMYFUNCTION("GOOGLETRANSLATE(D:D,""auto"",""en"")"),"Zhong Nanshan talk Heilongjiang epidemic")</f>
        <v>Zhong Nanshan talk Heilongjiang epidemic</v>
      </c>
      <c r="D2727" s="4" t="s">
        <v>3991</v>
      </c>
      <c r="E2727" s="4">
        <v>0.0</v>
      </c>
      <c r="F2727" s="4">
        <v>26.0</v>
      </c>
      <c r="G2727" s="4" t="s">
        <v>3992</v>
      </c>
    </row>
    <row r="2728">
      <c r="A2728" s="1">
        <v>2726.0</v>
      </c>
      <c r="B2728" s="4" t="s">
        <v>4041</v>
      </c>
      <c r="C2728" s="5" t="str">
        <f>IFERROR(__xludf.DUMMYFUNCTION("GOOGLETRANSLATE(D:D,""auto"",""en"")"),"Only one passenger Huangshan Mountain")</f>
        <v>Only one passenger Huangshan Mountain</v>
      </c>
      <c r="D2728" s="4" t="s">
        <v>3987</v>
      </c>
      <c r="E2728" s="4">
        <v>0.0</v>
      </c>
      <c r="F2728" s="4">
        <v>27.0</v>
      </c>
      <c r="G2728" s="4" t="s">
        <v>3988</v>
      </c>
    </row>
    <row r="2729">
      <c r="A2729" s="1">
        <v>2727.0</v>
      </c>
      <c r="B2729" s="4" t="s">
        <v>4041</v>
      </c>
      <c r="C2729" s="5" t="str">
        <f>IFERROR(__xludf.DUMMYFUNCTION("GOOGLETRANSLATE(D:D,""auto"",""en"")"),"Sichuan wartime state prison")</f>
        <v>Sichuan wartime state prison</v>
      </c>
      <c r="D2729" s="4" t="s">
        <v>3989</v>
      </c>
      <c r="E2729" s="4">
        <v>0.0</v>
      </c>
      <c r="F2729" s="4">
        <v>28.0</v>
      </c>
      <c r="G2729" s="4" t="s">
        <v>3990</v>
      </c>
    </row>
    <row r="2730">
      <c r="A2730" s="1">
        <v>2728.0</v>
      </c>
      <c r="B2730" s="4" t="s">
        <v>4041</v>
      </c>
      <c r="C2730" s="5" t="str">
        <f>IFERROR(__xludf.DUMMYFUNCTION("GOOGLETRANSLATE(D:D,""auto"",""en"")"),"Bat or directly infect humans")</f>
        <v>Bat or directly infect humans</v>
      </c>
      <c r="D2730" s="4" t="s">
        <v>3999</v>
      </c>
      <c r="E2730" s="4">
        <v>0.0</v>
      </c>
      <c r="F2730" s="4">
        <v>29.0</v>
      </c>
      <c r="G2730" s="4" t="s">
        <v>4000</v>
      </c>
    </row>
    <row r="2731">
      <c r="A2731" s="1">
        <v>2729.0</v>
      </c>
      <c r="B2731" s="4" t="s">
        <v>4041</v>
      </c>
      <c r="C2731" s="5" t="str">
        <f>IFERROR(__xludf.DUMMYFUNCTION("GOOGLETRANSLATE(D:D,""auto"",""en"")"),"Hubei frontline medical raise in salary")</f>
        <v>Hubei frontline medical raise in salary</v>
      </c>
      <c r="D2731" s="4" t="s">
        <v>4001</v>
      </c>
      <c r="E2731" s="4">
        <v>0.0</v>
      </c>
      <c r="F2731" s="4">
        <v>30.0</v>
      </c>
      <c r="G2731" s="4" t="s">
        <v>4002</v>
      </c>
    </row>
    <row r="2732">
      <c r="A2732" s="1">
        <v>2730.0</v>
      </c>
      <c r="B2732" s="4" t="s">
        <v>4041</v>
      </c>
      <c r="C2732" s="5" t="str">
        <f>IFERROR(__xludf.DUMMYFUNCTION("GOOGLETRANSLATE(D:D,""auto"",""en"")"),"Guangdong is adjusted in response to two")</f>
        <v>Guangdong is adjusted in response to two</v>
      </c>
      <c r="D2732" s="4" t="s">
        <v>4080</v>
      </c>
      <c r="E2732" s="4">
        <v>0.0</v>
      </c>
      <c r="F2732" s="4">
        <v>31.0</v>
      </c>
      <c r="G2732" s="4" t="s">
        <v>4081</v>
      </c>
    </row>
    <row r="2733">
      <c r="A2733" s="1">
        <v>2731.0</v>
      </c>
      <c r="B2733" s="4" t="s">
        <v>4041</v>
      </c>
      <c r="C2733" s="5" t="str">
        <f>IFERROR(__xludf.DUMMYFUNCTION("GOOGLETRANSLATE(D:D,""auto"",""en"")"),"Non Hubei diagnosed by only 18 cases")</f>
        <v>Non Hubei diagnosed by only 18 cases</v>
      </c>
      <c r="D2733" s="4" t="s">
        <v>3981</v>
      </c>
      <c r="E2733" s="4">
        <v>0.0</v>
      </c>
      <c r="F2733" s="4">
        <v>32.0</v>
      </c>
      <c r="G2733" s="4" t="s">
        <v>3982</v>
      </c>
    </row>
    <row r="2734">
      <c r="A2734" s="1">
        <v>2732.0</v>
      </c>
      <c r="B2734" s="4" t="s">
        <v>4041</v>
      </c>
      <c r="C2734" s="5" t="str">
        <f>IFERROR(__xludf.DUMMYFUNCTION("GOOGLETRANSLATE(D:D,""auto"",""en"")"),"6 City of Hubei new zero")</f>
        <v>6 City of Hubei new zero</v>
      </c>
      <c r="D2734" s="4" t="s">
        <v>4082</v>
      </c>
      <c r="E2734" s="4">
        <v>0.0</v>
      </c>
      <c r="F2734" s="4">
        <v>33.0</v>
      </c>
      <c r="G2734" s="4" t="s">
        <v>4083</v>
      </c>
    </row>
    <row r="2735">
      <c r="A2735" s="1">
        <v>2733.0</v>
      </c>
      <c r="B2735" s="4" t="s">
        <v>4041</v>
      </c>
      <c r="C2735" s="5" t="str">
        <f>IFERROR(__xludf.DUMMYFUNCTION("GOOGLETRANSLATE(D:D,""auto"",""en"")"),"The official called on banks to help businesses")</f>
        <v>The official called on banks to help businesses</v>
      </c>
      <c r="D2735" s="4" t="s">
        <v>4084</v>
      </c>
      <c r="E2735" s="4">
        <v>0.0</v>
      </c>
      <c r="F2735" s="4">
        <v>34.0</v>
      </c>
      <c r="G2735" s="4" t="s">
        <v>4085</v>
      </c>
    </row>
    <row r="2736">
      <c r="A2736" s="1">
        <v>2734.0</v>
      </c>
      <c r="B2736" s="4" t="s">
        <v>4041</v>
      </c>
      <c r="C2736" s="5" t="str">
        <f>IFERROR(__xludf.DUMMYFUNCTION("GOOGLETRANSLATE(D:D,""auto"",""en"")"),"Xie Na pregnant with a second child suspected")</f>
        <v>Xie Na pregnant with a second child suspected</v>
      </c>
      <c r="D2736" s="4" t="s">
        <v>4086</v>
      </c>
      <c r="E2736" s="4">
        <v>0.0</v>
      </c>
      <c r="F2736" s="4">
        <v>35.0</v>
      </c>
      <c r="G2736" s="4" t="s">
        <v>4087</v>
      </c>
    </row>
    <row r="2737">
      <c r="A2737" s="1">
        <v>2735.0</v>
      </c>
      <c r="B2737" s="4" t="s">
        <v>4041</v>
      </c>
      <c r="C2737" s="5" t="str">
        <f>IFERROR(__xludf.DUMMYFUNCTION("GOOGLETRANSLATE(D:D,""auto"",""en"")"),"PepsiCo acquired taste Herbs")</f>
        <v>PepsiCo acquired taste Herbs</v>
      </c>
      <c r="D2737" s="4" t="s">
        <v>4088</v>
      </c>
      <c r="E2737" s="4">
        <v>0.0</v>
      </c>
      <c r="F2737" s="4">
        <v>36.0</v>
      </c>
      <c r="G2737" s="4" t="s">
        <v>4089</v>
      </c>
    </row>
    <row r="2738">
      <c r="A2738" s="1">
        <v>2736.0</v>
      </c>
      <c r="B2738" s="4" t="s">
        <v>4041</v>
      </c>
      <c r="C2738" s="5" t="str">
        <f>IFERROR(__xludf.DUMMYFUNCTION("GOOGLETRANSLATE(D:D,""auto"",""en"")"),"Wang Yibo imitate Henan village")</f>
        <v>Wang Yibo imitate Henan village</v>
      </c>
      <c r="D2738" s="4" t="s">
        <v>4090</v>
      </c>
      <c r="E2738" s="4">
        <v>0.0</v>
      </c>
      <c r="F2738" s="4">
        <v>37.0</v>
      </c>
      <c r="G2738" s="4" t="s">
        <v>4091</v>
      </c>
    </row>
    <row r="2739">
      <c r="A2739" s="1">
        <v>2737.0</v>
      </c>
      <c r="B2739" s="4" t="s">
        <v>4041</v>
      </c>
      <c r="C2739" s="5" t="str">
        <f>IFERROR(__xludf.DUMMYFUNCTION("GOOGLETRANSLATE(D:D,""auto"",""en"")"),"E employees to resign Huang Xiaoming")</f>
        <v>E employees to resign Huang Xiaoming</v>
      </c>
      <c r="D2739" s="4" t="s">
        <v>3973</v>
      </c>
      <c r="E2739" s="4">
        <v>0.0</v>
      </c>
      <c r="F2739" s="4">
        <v>38.0</v>
      </c>
      <c r="G2739" s="4" t="s">
        <v>3974</v>
      </c>
    </row>
    <row r="2740">
      <c r="A2740" s="1">
        <v>2738.0</v>
      </c>
      <c r="B2740" s="4" t="s">
        <v>4041</v>
      </c>
      <c r="C2740" s="5" t="str">
        <f>IFERROR(__xludf.DUMMYFUNCTION("GOOGLETRANSLATE(D:D,""auto"",""en"")"),"South China seafood market non-source")</f>
        <v>South China seafood market non-source</v>
      </c>
      <c r="D2740" s="4" t="s">
        <v>3938</v>
      </c>
      <c r="E2740" s="4">
        <v>0.0</v>
      </c>
      <c r="F2740" s="4">
        <v>39.0</v>
      </c>
      <c r="G2740" s="4" t="s">
        <v>3939</v>
      </c>
    </row>
    <row r="2741">
      <c r="A2741" s="1">
        <v>2739.0</v>
      </c>
      <c r="B2741" s="4" t="s">
        <v>4041</v>
      </c>
      <c r="C2741" s="5" t="str">
        <f>IFERROR(__xludf.DUMMYFUNCTION("GOOGLETRANSLATE(D:D,""auto"",""en"")"),"Astronomy dean pneumonia infection")</f>
        <v>Astronomy dean pneumonia infection</v>
      </c>
      <c r="D2741" s="4" t="s">
        <v>4092</v>
      </c>
      <c r="E2741" s="4">
        <v>0.0</v>
      </c>
      <c r="F2741" s="4">
        <v>40.0</v>
      </c>
      <c r="G2741" s="4" t="s">
        <v>4093</v>
      </c>
    </row>
    <row r="2742">
      <c r="A2742" s="1">
        <v>2740.0</v>
      </c>
      <c r="B2742" s="4" t="s">
        <v>4041</v>
      </c>
      <c r="C2742" s="5" t="str">
        <f>IFERROR(__xludf.DUMMYFUNCTION("GOOGLETRANSLATE(D:D,""auto"",""en"")"),"40,000 killer bees Ximei")</f>
        <v>40,000 killer bees Ximei</v>
      </c>
      <c r="D2742" s="4" t="s">
        <v>3936</v>
      </c>
      <c r="E2742" s="4">
        <v>0.0</v>
      </c>
      <c r="F2742" s="4">
        <v>41.0</v>
      </c>
      <c r="G2742" s="4" t="s">
        <v>3937</v>
      </c>
    </row>
    <row r="2743">
      <c r="A2743" s="1">
        <v>2741.0</v>
      </c>
      <c r="B2743" s="4" t="s">
        <v>4041</v>
      </c>
      <c r="C2743" s="5" t="str">
        <f>IFERROR(__xludf.DUMMYFUNCTION("GOOGLETRANSLATE(D:D,""auto"",""en"")"),"Shaanxi full restoration of traffic")</f>
        <v>Shaanxi full restoration of traffic</v>
      </c>
      <c r="D2743" s="4" t="s">
        <v>4094</v>
      </c>
      <c r="E2743" s="4">
        <v>0.0</v>
      </c>
      <c r="F2743" s="4">
        <v>42.0</v>
      </c>
      <c r="G2743" s="4" t="s">
        <v>4095</v>
      </c>
    </row>
    <row r="2744">
      <c r="A2744" s="1">
        <v>2742.0</v>
      </c>
      <c r="B2744" s="4" t="s">
        <v>4041</v>
      </c>
      <c r="C2744" s="5" t="str">
        <f>IFERROR(__xludf.DUMMYFUNCTION("GOOGLETRANSLATE(D:D,""auto"",""en"")"),"The new crown spread of the virus or the United States")</f>
        <v>The new crown spread of the virus or the United States</v>
      </c>
      <c r="D2744" s="4" t="s">
        <v>3950</v>
      </c>
      <c r="E2744" s="4">
        <v>0.0</v>
      </c>
      <c r="F2744" s="4">
        <v>43.0</v>
      </c>
      <c r="G2744" s="4" t="s">
        <v>3951</v>
      </c>
    </row>
    <row r="2745">
      <c r="A2745" s="1">
        <v>2743.0</v>
      </c>
      <c r="B2745" s="4" t="s">
        <v>4041</v>
      </c>
      <c r="C2745" s="5" t="str">
        <f>IFERROR(__xludf.DUMMYFUNCTION("GOOGLETRANSLATE(D:D,""auto"",""en"")"),"Cinema ready to return to work")</f>
        <v>Cinema ready to return to work</v>
      </c>
      <c r="D2745" s="4" t="s">
        <v>3997</v>
      </c>
      <c r="E2745" s="4">
        <v>0.0</v>
      </c>
      <c r="F2745" s="4">
        <v>44.0</v>
      </c>
      <c r="G2745" s="4" t="s">
        <v>3998</v>
      </c>
    </row>
    <row r="2746">
      <c r="A2746" s="1">
        <v>2744.0</v>
      </c>
      <c r="B2746" s="4" t="s">
        <v>4041</v>
      </c>
      <c r="C2746" s="5" t="str">
        <f>IFERROR(__xludf.DUMMYFUNCTION("GOOGLETRANSLATE(D:D,""auto"",""en"")"),"US CDC to respond to rumors")</f>
        <v>US CDC to respond to rumors</v>
      </c>
      <c r="D2746" s="4" t="s">
        <v>4011</v>
      </c>
      <c r="E2746" s="4">
        <v>0.0</v>
      </c>
      <c r="F2746" s="4">
        <v>45.0</v>
      </c>
      <c r="G2746" s="4" t="s">
        <v>4012</v>
      </c>
    </row>
    <row r="2747">
      <c r="A2747" s="1">
        <v>2745.0</v>
      </c>
      <c r="B2747" s="4" t="s">
        <v>4041</v>
      </c>
      <c r="C2747" s="5" t="str">
        <f>IFERROR(__xludf.DUMMYFUNCTION("GOOGLETRANSLATE(D:D,""auto"",""en"")"),"Hubei four cadres to be promoted")</f>
        <v>Hubei four cadres to be promoted</v>
      </c>
      <c r="D2747" s="4" t="s">
        <v>4096</v>
      </c>
      <c r="E2747" s="4">
        <v>0.0</v>
      </c>
      <c r="F2747" s="4">
        <v>46.0</v>
      </c>
      <c r="G2747" s="4" t="s">
        <v>4097</v>
      </c>
    </row>
    <row r="2748">
      <c r="A2748" s="1">
        <v>2746.0</v>
      </c>
      <c r="B2748" s="4" t="s">
        <v>4041</v>
      </c>
      <c r="C2748" s="5" t="str">
        <f>IFERROR(__xludf.DUMMYFUNCTION("GOOGLETRANSLATE(D:D,""auto"",""en"")"),"New cases of the incubation period 27 days")</f>
        <v>New cases of the incubation period 27 days</v>
      </c>
      <c r="D2748" s="4" t="s">
        <v>3932</v>
      </c>
      <c r="E2748" s="4">
        <v>0.0</v>
      </c>
      <c r="F2748" s="4">
        <v>47.0</v>
      </c>
      <c r="G2748" s="4" t="s">
        <v>3933</v>
      </c>
    </row>
    <row r="2749">
      <c r="A2749" s="1">
        <v>2747.0</v>
      </c>
      <c r="B2749" s="4" t="s">
        <v>4041</v>
      </c>
      <c r="C2749" s="5" t="str">
        <f>IFERROR(__xludf.DUMMYFUNCTION("GOOGLETRANSLATE(D:D,""auto"",""en"")"),"Italy exacerbate the epidemic of pneumonia")</f>
        <v>Italy exacerbate the epidemic of pneumonia</v>
      </c>
      <c r="D2749" s="4" t="s">
        <v>4098</v>
      </c>
      <c r="E2749" s="4">
        <v>0.0</v>
      </c>
      <c r="F2749" s="4">
        <v>48.0</v>
      </c>
      <c r="G2749" s="4" t="s">
        <v>4099</v>
      </c>
    </row>
    <row r="2750">
      <c r="A2750" s="1">
        <v>2748.0</v>
      </c>
      <c r="B2750" s="4" t="s">
        <v>4041</v>
      </c>
      <c r="C2750" s="5" t="str">
        <f>IFERROR(__xludf.DUMMYFUNCTION("GOOGLETRANSLATE(D:D,""auto"",""en"")"),"February Barber do not get together")</f>
        <v>February Barber do not get together</v>
      </c>
      <c r="D2750" s="4" t="s">
        <v>4100</v>
      </c>
      <c r="E2750" s="4">
        <v>0.0</v>
      </c>
      <c r="F2750" s="4">
        <v>49.0</v>
      </c>
      <c r="G2750" s="4" t="s">
        <v>4101</v>
      </c>
    </row>
    <row r="2751">
      <c r="A2751" s="1">
        <v>2749.0</v>
      </c>
      <c r="B2751" s="4" t="s">
        <v>4041</v>
      </c>
      <c r="C2751" s="5" t="str">
        <f>IFERROR(__xludf.DUMMYFUNCTION("GOOGLETRANSLATE(D:D,""auto"",""en"")"),"Zhejiang vaccines produce antibodies")</f>
        <v>Zhejiang vaccines produce antibodies</v>
      </c>
      <c r="D2751" s="4" t="s">
        <v>3948</v>
      </c>
      <c r="E2751" s="4">
        <v>0.0</v>
      </c>
      <c r="F2751" s="4">
        <v>50.0</v>
      </c>
      <c r="G2751" s="4" t="s">
        <v>3949</v>
      </c>
    </row>
    <row r="2752">
      <c r="A2752" s="1">
        <v>2750.0</v>
      </c>
      <c r="B2752" s="4" t="s">
        <v>4102</v>
      </c>
      <c r="C2752" s="5" t="str">
        <f>IFERROR(__xludf.DUMMYFUNCTION("GOOGLETRANSLATE(D:D,""auto"",""en"")"),"The new virus or seasonal crown")</f>
        <v>The new virus or seasonal crown</v>
      </c>
      <c r="D2752" s="4" t="s">
        <v>4103</v>
      </c>
      <c r="E2752" s="4">
        <v>0.0</v>
      </c>
      <c r="F2752" s="4">
        <v>1.0</v>
      </c>
      <c r="G2752" s="4" t="s">
        <v>4104</v>
      </c>
    </row>
    <row r="2753">
      <c r="A2753" s="1">
        <v>2751.0</v>
      </c>
      <c r="B2753" s="4" t="s">
        <v>4102</v>
      </c>
      <c r="C2753" s="5" t="str">
        <f>IFERROR(__xludf.DUMMYFUNCTION("GOOGLETRANSLATE(D:D,""auto"",""en"")"),"Hayden responded licensing")</f>
        <v>Hayden responded licensing</v>
      </c>
      <c r="D2753" s="4" t="s">
        <v>4105</v>
      </c>
      <c r="E2753" s="4">
        <v>0.0</v>
      </c>
      <c r="F2753" s="4">
        <v>2.0</v>
      </c>
      <c r="G2753" s="4" t="s">
        <v>4106</v>
      </c>
    </row>
    <row r="2754">
      <c r="A2754" s="1">
        <v>2752.0</v>
      </c>
      <c r="B2754" s="4" t="s">
        <v>4102</v>
      </c>
      <c r="C2754" s="5" t="str">
        <f>IFERROR(__xludf.DUMMYFUNCTION("GOOGLETRANSLATE(D:D,""auto"",""en"")"),"Southern Medical major arrest scene")</f>
        <v>Southern Medical major arrest scene</v>
      </c>
      <c r="D2754" s="4" t="s">
        <v>4107</v>
      </c>
      <c r="E2754" s="4">
        <v>0.0</v>
      </c>
      <c r="F2754" s="4">
        <v>3.0</v>
      </c>
      <c r="G2754" s="4" t="s">
        <v>4108</v>
      </c>
    </row>
    <row r="2755">
      <c r="A2755" s="1">
        <v>2753.0</v>
      </c>
      <c r="B2755" s="4" t="s">
        <v>4102</v>
      </c>
      <c r="C2755" s="5" t="str">
        <f>IFERROR(__xludf.DUMMYFUNCTION("GOOGLETRANSLATE(D:D,""auto"",""en"")"),"Zhong Nanshan talk about re-infection")</f>
        <v>Zhong Nanshan talk about re-infection</v>
      </c>
      <c r="D2755" s="4" t="s">
        <v>4070</v>
      </c>
      <c r="E2755" s="4">
        <v>0.0</v>
      </c>
      <c r="F2755" s="4">
        <v>4.0</v>
      </c>
      <c r="G2755" s="4" t="s">
        <v>4071</v>
      </c>
    </row>
    <row r="2756">
      <c r="A2756" s="1">
        <v>2754.0</v>
      </c>
      <c r="B2756" s="4" t="s">
        <v>4102</v>
      </c>
      <c r="C2756" s="5" t="str">
        <f>IFERROR(__xludf.DUMMYFUNCTION("GOOGLETRANSLATE(D:D,""auto"",""en"")"),"James Bryant issued a document mourn")</f>
        <v>James Bryant issued a document mourn</v>
      </c>
      <c r="D2756" s="4" t="s">
        <v>4109</v>
      </c>
      <c r="E2756" s="4">
        <v>0.0</v>
      </c>
      <c r="F2756" s="4">
        <v>5.0</v>
      </c>
      <c r="G2756" s="4" t="s">
        <v>4110</v>
      </c>
    </row>
    <row r="2757">
      <c r="A2757" s="1">
        <v>2755.0</v>
      </c>
      <c r="B2757" s="4" t="s">
        <v>4102</v>
      </c>
      <c r="C2757" s="5" t="str">
        <f>IFERROR(__xludf.DUMMYFUNCTION("GOOGLETRANSLATE(D:D,""auto"",""en"")"),"WHO Experts on Wuhan inflection point")</f>
        <v>WHO Experts on Wuhan inflection point</v>
      </c>
      <c r="D2757" s="4" t="s">
        <v>4111</v>
      </c>
      <c r="E2757" s="4">
        <v>0.0</v>
      </c>
      <c r="F2757" s="4">
        <v>6.0</v>
      </c>
      <c r="G2757" s="4" t="s">
        <v>4112</v>
      </c>
    </row>
    <row r="2758">
      <c r="A2758" s="1">
        <v>2756.0</v>
      </c>
      <c r="B2758" s="4" t="s">
        <v>4102</v>
      </c>
      <c r="C2758" s="5" t="str">
        <f>IFERROR(__xludf.DUMMYFUNCTION("GOOGLETRANSLATE(D:D,""auto"",""en"")"),"Zhong Nanshan talk about positive review")</f>
        <v>Zhong Nanshan talk about positive review</v>
      </c>
      <c r="D2758" s="4" t="s">
        <v>4113</v>
      </c>
      <c r="E2758" s="4">
        <v>0.0</v>
      </c>
      <c r="F2758" s="4">
        <v>7.0</v>
      </c>
      <c r="G2758" s="4" t="s">
        <v>4114</v>
      </c>
    </row>
    <row r="2759">
      <c r="A2759" s="1">
        <v>2757.0</v>
      </c>
      <c r="B2759" s="4" t="s">
        <v>4102</v>
      </c>
      <c r="C2759" s="5" t="str">
        <f>IFERROR(__xludf.DUMMYFUNCTION("GOOGLETRANSLATE(D:D,""auto"",""en"")"),"There are important autopsy found")</f>
        <v>There are important autopsy found</v>
      </c>
      <c r="D2759" s="4" t="s">
        <v>4115</v>
      </c>
      <c r="E2759" s="4">
        <v>0.0</v>
      </c>
      <c r="F2759" s="4">
        <v>8.0</v>
      </c>
      <c r="G2759" s="4" t="s">
        <v>4116</v>
      </c>
    </row>
    <row r="2760">
      <c r="A2760" s="1">
        <v>2758.0</v>
      </c>
      <c r="B2760" s="4" t="s">
        <v>4102</v>
      </c>
      <c r="C2760" s="5" t="str">
        <f>IFERROR(__xludf.DUMMYFUNCTION("GOOGLETRANSLATE(D:D,""auto"",""en"")"),"Vanessa sue leasing companies")</f>
        <v>Vanessa sue leasing companies</v>
      </c>
      <c r="D2760" s="4" t="s">
        <v>4117</v>
      </c>
      <c r="E2760" s="4">
        <v>0.0</v>
      </c>
      <c r="F2760" s="4">
        <v>9.0</v>
      </c>
      <c r="G2760" s="4" t="s">
        <v>4118</v>
      </c>
    </row>
    <row r="2761">
      <c r="A2761" s="1">
        <v>2759.0</v>
      </c>
      <c r="B2761" s="4" t="s">
        <v>4102</v>
      </c>
      <c r="C2761" s="5" t="str">
        <f>IFERROR(__xludf.DUMMYFUNCTION("GOOGLETRANSLATE(D:D,""auto"",""en"")"),"Strictly control channel Lihanlie")</f>
        <v>Strictly control channel Lihanlie</v>
      </c>
      <c r="D2761" s="4" t="s">
        <v>4119</v>
      </c>
      <c r="E2761" s="4">
        <v>0.0</v>
      </c>
      <c r="F2761" s="4">
        <v>10.0</v>
      </c>
      <c r="G2761" s="4" t="s">
        <v>4120</v>
      </c>
    </row>
    <row r="2762">
      <c r="A2762" s="1">
        <v>2760.0</v>
      </c>
      <c r="B2762" s="4" t="s">
        <v>4102</v>
      </c>
      <c r="C2762" s="5" t="str">
        <f>IFERROR(__xludf.DUMMYFUNCTION("GOOGLETRANSLATE(D:D,""auto"",""en"")"),"Wu Xin care of his father haggard significant")</f>
        <v>Wu Xin care of his father haggard significant</v>
      </c>
      <c r="D2762" s="4" t="s">
        <v>4121</v>
      </c>
      <c r="E2762" s="4">
        <v>0.0</v>
      </c>
      <c r="F2762" s="4">
        <v>11.0</v>
      </c>
      <c r="G2762" s="4" t="s">
        <v>4122</v>
      </c>
    </row>
    <row r="2763">
      <c r="A2763" s="1">
        <v>2761.0</v>
      </c>
      <c r="B2763" s="4" t="s">
        <v>4102</v>
      </c>
      <c r="C2763" s="5" t="str">
        <f>IFERROR(__xludf.DUMMYFUNCTION("GOOGLETRANSLATE(D:D,""auto"",""en"")"),"The new crown virus oral vaccine")</f>
        <v>The new crown virus oral vaccine</v>
      </c>
      <c r="D2763" s="4" t="s">
        <v>4123</v>
      </c>
      <c r="E2763" s="4">
        <v>0.0</v>
      </c>
      <c r="F2763" s="4">
        <v>12.0</v>
      </c>
      <c r="G2763" s="4" t="s">
        <v>4124</v>
      </c>
    </row>
    <row r="2764">
      <c r="A2764" s="1">
        <v>2762.0</v>
      </c>
      <c r="B2764" s="4" t="s">
        <v>4102</v>
      </c>
      <c r="C2764" s="5" t="str">
        <f>IFERROR(__xludf.DUMMYFUNCTION("GOOGLETRANSLATE(D:D,""auto"",""en"")"),"South Korea to Jilin fever 4 people")</f>
        <v>South Korea to Jilin fever 4 people</v>
      </c>
      <c r="D2764" s="4" t="s">
        <v>4125</v>
      </c>
      <c r="E2764" s="4">
        <v>0.0</v>
      </c>
      <c r="F2764" s="4">
        <v>13.0</v>
      </c>
      <c r="G2764" s="4" t="s">
        <v>4126</v>
      </c>
    </row>
    <row r="2765">
      <c r="A2765" s="1">
        <v>2763.0</v>
      </c>
      <c r="B2765" s="4" t="s">
        <v>4102</v>
      </c>
      <c r="C2765" s="5" t="str">
        <f>IFERROR(__xludf.DUMMYFUNCTION("GOOGLETRANSLATE(D:D,""auto"",""en"")"),"Korean Air 1 crew confirmed")</f>
        <v>Korean Air 1 crew confirmed</v>
      </c>
      <c r="D2765" s="4" t="s">
        <v>4127</v>
      </c>
      <c r="E2765" s="4">
        <v>0.0</v>
      </c>
      <c r="F2765" s="4">
        <v>14.0</v>
      </c>
      <c r="G2765" s="4" t="s">
        <v>4128</v>
      </c>
    </row>
    <row r="2766">
      <c r="A2766" s="1">
        <v>2764.0</v>
      </c>
      <c r="B2766" s="4" t="s">
        <v>4102</v>
      </c>
      <c r="C2766" s="5" t="str">
        <f>IFERROR(__xludf.DUMMYFUNCTION("GOOGLETRANSLATE(D:D,""auto"",""en"")"),"Xianning burst fire")</f>
        <v>Xianning burst fire</v>
      </c>
      <c r="D2766" s="4" t="s">
        <v>4129</v>
      </c>
      <c r="E2766" s="4">
        <v>0.0</v>
      </c>
      <c r="F2766" s="4">
        <v>15.0</v>
      </c>
      <c r="G2766" s="4" t="s">
        <v>4130</v>
      </c>
    </row>
    <row r="2767">
      <c r="A2767" s="1">
        <v>2765.0</v>
      </c>
      <c r="B2767" s="4" t="s">
        <v>4102</v>
      </c>
      <c r="C2767" s="5" t="str">
        <f>IFERROR(__xludf.DUMMYFUNCTION("GOOGLETRANSLATE(D:D,""auto"",""en"")"),"Korean media false positives night 60 people dead")</f>
        <v>Korean media false positives night 60 people dead</v>
      </c>
      <c r="D2767" s="4" t="s">
        <v>4131</v>
      </c>
      <c r="E2767" s="4">
        <v>0.0</v>
      </c>
      <c r="F2767" s="4">
        <v>16.0</v>
      </c>
      <c r="G2767" s="4" t="s">
        <v>4132</v>
      </c>
    </row>
    <row r="2768">
      <c r="A2768" s="1">
        <v>2766.0</v>
      </c>
      <c r="B2768" s="4" t="s">
        <v>4102</v>
      </c>
      <c r="C2768" s="5" t="str">
        <f>IFERROR(__xludf.DUMMYFUNCTION("GOOGLETRANSLATE(D:D,""auto"",""en"")"),"South Korean pastor arrested all-optical Hoon")</f>
        <v>South Korean pastor arrested all-optical Hoon</v>
      </c>
      <c r="D2768" s="4" t="s">
        <v>4133</v>
      </c>
      <c r="E2768" s="4">
        <v>0.0</v>
      </c>
      <c r="F2768" s="4">
        <v>17.0</v>
      </c>
      <c r="G2768" s="4" t="s">
        <v>4134</v>
      </c>
    </row>
    <row r="2769">
      <c r="A2769" s="1">
        <v>2767.0</v>
      </c>
      <c r="B2769" s="4" t="s">
        <v>4102</v>
      </c>
      <c r="C2769" s="5" t="str">
        <f>IFERROR(__xludf.DUMMYFUNCTION("GOOGLETRANSLATE(D:D,""auto"",""en"")"),"Weiyuan County of Sichuan earthquake")</f>
        <v>Weiyuan County of Sichuan earthquake</v>
      </c>
      <c r="D2769" s="4" t="s">
        <v>4135</v>
      </c>
      <c r="E2769" s="4">
        <v>0.0</v>
      </c>
      <c r="F2769" s="4">
        <v>18.0</v>
      </c>
      <c r="G2769" s="4" t="s">
        <v>4136</v>
      </c>
    </row>
    <row r="2770">
      <c r="A2770" s="1">
        <v>2768.0</v>
      </c>
      <c r="B2770" s="4" t="s">
        <v>4102</v>
      </c>
      <c r="C2770" s="5" t="str">
        <f>IFERROR(__xludf.DUMMYFUNCTION("GOOGLETRANSLATE(D:D,""auto"",""en"")"),"4 ECMO equipment arrived in Wuhan")</f>
        <v>4 ECMO equipment arrived in Wuhan</v>
      </c>
      <c r="D2770" s="4" t="s">
        <v>4137</v>
      </c>
      <c r="E2770" s="4">
        <v>0.0</v>
      </c>
      <c r="F2770" s="4">
        <v>19.0</v>
      </c>
      <c r="G2770" s="4" t="s">
        <v>4138</v>
      </c>
    </row>
    <row r="2771">
      <c r="A2771" s="1">
        <v>2769.0</v>
      </c>
      <c r="B2771" s="4" t="s">
        <v>4102</v>
      </c>
      <c r="C2771" s="5" t="str">
        <f>IFERROR(__xludf.DUMMYFUNCTION("GOOGLETRANSLATE(D:D,""auto"",""en"")"),"Guangzhou 13 cases of complex positive after discharge")</f>
        <v>Guangzhou 13 cases of complex positive after discharge</v>
      </c>
      <c r="D2771" s="4" t="s">
        <v>4139</v>
      </c>
      <c r="E2771" s="4">
        <v>0.0</v>
      </c>
      <c r="F2771" s="4">
        <v>20.0</v>
      </c>
      <c r="G2771" s="4" t="s">
        <v>4140</v>
      </c>
    </row>
    <row r="2772">
      <c r="A2772" s="1">
        <v>2770.0</v>
      </c>
      <c r="B2772" s="4" t="s">
        <v>4102</v>
      </c>
      <c r="C2772" s="5" t="str">
        <f>IFERROR(__xludf.DUMMYFUNCTION("GOOGLETRANSLATE(D:D,""auto"",""en"")"),"Yilan County, Taiwan earthquake")</f>
        <v>Yilan County, Taiwan earthquake</v>
      </c>
      <c r="D2772" s="4" t="s">
        <v>4141</v>
      </c>
      <c r="E2772" s="4">
        <v>0.0</v>
      </c>
      <c r="F2772" s="4">
        <v>21.0</v>
      </c>
      <c r="G2772" s="4" t="s">
        <v>4142</v>
      </c>
    </row>
    <row r="2773">
      <c r="A2773" s="1">
        <v>2771.0</v>
      </c>
      <c r="B2773" s="4" t="s">
        <v>4102</v>
      </c>
      <c r="C2773" s="5" t="str">
        <f>IFERROR(__xludf.DUMMYFUNCTION("GOOGLETRANSLATE(D:D,""auto"",""en"")"),"Disclosure of information epidemic checked")</f>
        <v>Disclosure of information epidemic checked</v>
      </c>
      <c r="D2773" s="4" t="s">
        <v>4143</v>
      </c>
      <c r="E2773" s="4">
        <v>0.0</v>
      </c>
      <c r="F2773" s="4">
        <v>22.0</v>
      </c>
      <c r="G2773" s="4" t="s">
        <v>4144</v>
      </c>
    </row>
    <row r="2774">
      <c r="A2774" s="1">
        <v>2772.0</v>
      </c>
      <c r="B2774" s="4" t="s">
        <v>4102</v>
      </c>
      <c r="C2774" s="5" t="str">
        <f>IFERROR(__xludf.DUMMYFUNCTION("GOOGLETRANSLATE(D:D,""auto"",""en"")"),"Iran's Deputy Minister of Health infection")</f>
        <v>Iran's Deputy Minister of Health infection</v>
      </c>
      <c r="D2774" s="4" t="s">
        <v>4145</v>
      </c>
      <c r="E2774" s="4">
        <v>0.0</v>
      </c>
      <c r="F2774" s="4">
        <v>23.0</v>
      </c>
      <c r="G2774" s="4" t="s">
        <v>4146</v>
      </c>
    </row>
    <row r="2775">
      <c r="A2775" s="1">
        <v>2773.0</v>
      </c>
      <c r="B2775" s="4" t="s">
        <v>4102</v>
      </c>
      <c r="C2775" s="5" t="str">
        <f>IFERROR(__xludf.DUMMYFUNCTION("GOOGLETRANSLATE(D:D,""auto"",""en"")"),"After eight negative nucleic acid diagnosis")</f>
        <v>After eight negative nucleic acid diagnosis</v>
      </c>
      <c r="D2775" s="4" t="s">
        <v>4147</v>
      </c>
      <c r="E2775" s="4">
        <v>0.0</v>
      </c>
      <c r="F2775" s="4">
        <v>24.0</v>
      </c>
      <c r="G2775" s="4" t="s">
        <v>4148</v>
      </c>
    </row>
    <row r="2776">
      <c r="A2776" s="1">
        <v>2774.0</v>
      </c>
      <c r="B2776" s="4" t="s">
        <v>4102</v>
      </c>
      <c r="C2776" s="5" t="str">
        <f>IFERROR(__xludf.DUMMYFUNCTION("GOOGLETRANSLATE(D:D,""auto"",""en"")"),"27 provincial restore passenger lines")</f>
        <v>27 provincial restore passenger lines</v>
      </c>
      <c r="D2776" s="4" t="s">
        <v>4149</v>
      </c>
      <c r="E2776" s="4">
        <v>0.0</v>
      </c>
      <c r="F2776" s="4">
        <v>25.0</v>
      </c>
      <c r="G2776" s="4" t="s">
        <v>4150</v>
      </c>
    </row>
    <row r="2777">
      <c r="A2777" s="1">
        <v>2775.0</v>
      </c>
      <c r="B2777" s="4" t="s">
        <v>4102</v>
      </c>
      <c r="C2777" s="5" t="str">
        <f>IFERROR(__xludf.DUMMYFUNCTION("GOOGLETRANSLATE(D:D,""auto"",""en"")"),"Strawberry House")</f>
        <v>Strawberry House</v>
      </c>
      <c r="D2777" s="4" t="s">
        <v>4151</v>
      </c>
      <c r="E2777" s="4">
        <v>0.0</v>
      </c>
      <c r="F2777" s="4">
        <v>26.0</v>
      </c>
      <c r="G2777" s="4" t="s">
        <v>4152</v>
      </c>
    </row>
    <row r="2778">
      <c r="A2778" s="1">
        <v>2776.0</v>
      </c>
      <c r="B2778" s="4" t="s">
        <v>4102</v>
      </c>
      <c r="C2778" s="5" t="str">
        <f>IFERROR(__xludf.DUMMYFUNCTION("GOOGLETRANSLATE(D:D,""auto"",""en"")"),"Standing Committee two decisions")</f>
        <v>Standing Committee two decisions</v>
      </c>
      <c r="D2778" s="4" t="s">
        <v>4068</v>
      </c>
      <c r="E2778" s="4">
        <v>0.0</v>
      </c>
      <c r="F2778" s="4">
        <v>27.0</v>
      </c>
      <c r="G2778" s="4" t="s">
        <v>4069</v>
      </c>
    </row>
    <row r="2779">
      <c r="A2779" s="1">
        <v>2777.0</v>
      </c>
      <c r="B2779" s="4" t="s">
        <v>4102</v>
      </c>
      <c r="C2779" s="5" t="str">
        <f>IFERROR(__xludf.DUMMYFUNCTION("GOOGLETRANSLATE(D:D,""auto"",""en"")"),"Shenzhen, Guangdong sounding the alarm Contagion")</f>
        <v>Shenzhen, Guangdong sounding the alarm Contagion</v>
      </c>
      <c r="D2779" s="4" t="s">
        <v>4050</v>
      </c>
      <c r="E2779" s="4">
        <v>0.0</v>
      </c>
      <c r="F2779" s="4">
        <v>28.0</v>
      </c>
      <c r="G2779" s="4" t="s">
        <v>4051</v>
      </c>
    </row>
    <row r="2780">
      <c r="A2780" s="1">
        <v>2778.0</v>
      </c>
      <c r="B2780" s="4" t="s">
        <v>4102</v>
      </c>
      <c r="C2780" s="5" t="str">
        <f>IFERROR(__xludf.DUMMYFUNCTION("GOOGLETRANSLATE(D:D,""auto"",""en"")"),"0 Province of cases to be observed 28 days")</f>
        <v>0 Province of cases to be observed 28 days</v>
      </c>
      <c r="D2780" s="4" t="s">
        <v>4153</v>
      </c>
      <c r="E2780" s="4">
        <v>0.0</v>
      </c>
      <c r="F2780" s="4">
        <v>29.0</v>
      </c>
      <c r="G2780" s="4" t="s">
        <v>4154</v>
      </c>
    </row>
    <row r="2781">
      <c r="A2781" s="1">
        <v>2779.0</v>
      </c>
      <c r="B2781" s="4" t="s">
        <v>4102</v>
      </c>
      <c r="C2781" s="5" t="str">
        <f>IFERROR(__xludf.DUMMYFUNCTION("GOOGLETRANSLATE(D:D,""auto"",""en"")"),"Strawberry house not only the music")</f>
        <v>Strawberry house not only the music</v>
      </c>
      <c r="D2781" s="4" t="s">
        <v>4003</v>
      </c>
      <c r="E2781" s="4">
        <v>0.0</v>
      </c>
      <c r="F2781" s="4">
        <v>30.0</v>
      </c>
      <c r="G2781" s="4" t="s">
        <v>4004</v>
      </c>
    </row>
    <row r="2782">
      <c r="A2782" s="1">
        <v>2780.0</v>
      </c>
      <c r="B2782" s="4" t="s">
        <v>4102</v>
      </c>
      <c r="C2782" s="5" t="str">
        <f>IFERROR(__xludf.DUMMYFUNCTION("GOOGLETRANSLATE(D:D,""auto"",""en"")"),"FBI is investigating discrimination ethnic Chinese")</f>
        <v>FBI is investigating discrimination ethnic Chinese</v>
      </c>
      <c r="D2782" s="4" t="s">
        <v>4155</v>
      </c>
      <c r="E2782" s="4">
        <v>0.0</v>
      </c>
      <c r="F2782" s="4">
        <v>31.0</v>
      </c>
      <c r="G2782" s="4" t="s">
        <v>4156</v>
      </c>
    </row>
    <row r="2783">
      <c r="A2783" s="1">
        <v>2781.0</v>
      </c>
      <c r="B2783" s="4" t="s">
        <v>4102</v>
      </c>
      <c r="C2783" s="5" t="str">
        <f>IFERROR(__xludf.DUMMYFUNCTION("GOOGLETRANSLATE(D:D,""auto"",""en"")"),"Shenyang anti-epidemic outside input")</f>
        <v>Shenyang anti-epidemic outside input</v>
      </c>
      <c r="D2783" s="4" t="s">
        <v>4157</v>
      </c>
      <c r="E2783" s="4">
        <v>0.0</v>
      </c>
      <c r="F2783" s="4">
        <v>32.0</v>
      </c>
      <c r="G2783" s="4" t="s">
        <v>4158</v>
      </c>
    </row>
    <row r="2784">
      <c r="A2784" s="1">
        <v>2782.0</v>
      </c>
      <c r="B2784" s="4" t="s">
        <v>4102</v>
      </c>
      <c r="C2784" s="5" t="str">
        <f>IFERROR(__xludf.DUMMYFUNCTION("GOOGLETRANSLATE(D:D,""auto"",""en"")"),"Huang Xiaoming sued a number of friends")</f>
        <v>Huang Xiaoming sued a number of friends</v>
      </c>
      <c r="D2784" s="4" t="s">
        <v>4062</v>
      </c>
      <c r="E2784" s="4">
        <v>0.0</v>
      </c>
      <c r="F2784" s="4">
        <v>33.0</v>
      </c>
      <c r="G2784" s="4" t="s">
        <v>4063</v>
      </c>
    </row>
    <row r="2785">
      <c r="A2785" s="1">
        <v>2783.0</v>
      </c>
      <c r="B2785" s="4" t="s">
        <v>4102</v>
      </c>
      <c r="C2785" s="5" t="str">
        <f>IFERROR(__xludf.DUMMYFUNCTION("GOOGLETRANSLATE(D:D,""auto"",""en"")"),"The explosive global epidemic")</f>
        <v>The explosive global epidemic</v>
      </c>
      <c r="D2785" s="4" t="s">
        <v>4072</v>
      </c>
      <c r="E2785" s="4">
        <v>0.0</v>
      </c>
      <c r="F2785" s="4">
        <v>34.0</v>
      </c>
      <c r="G2785" s="4" t="s">
        <v>4073</v>
      </c>
    </row>
    <row r="2786">
      <c r="A2786" s="1">
        <v>2784.0</v>
      </c>
      <c r="B2786" s="4" t="s">
        <v>4102</v>
      </c>
      <c r="C2786" s="5" t="str">
        <f>IFERROR(__xludf.DUMMYFUNCTION("GOOGLETRANSLATE(D:D,""auto"",""en"")"),"Wugongshan issued an urgent notice")</f>
        <v>Wugongshan issued an urgent notice</v>
      </c>
      <c r="D2786" s="4" t="s">
        <v>4046</v>
      </c>
      <c r="E2786" s="4">
        <v>0.0</v>
      </c>
      <c r="F2786" s="4">
        <v>35.0</v>
      </c>
      <c r="G2786" s="4" t="s">
        <v>4047</v>
      </c>
    </row>
    <row r="2787">
      <c r="A2787" s="1">
        <v>2785.0</v>
      </c>
      <c r="B2787" s="4" t="s">
        <v>4102</v>
      </c>
      <c r="C2787" s="5" t="str">
        <f>IFERROR(__xludf.DUMMYFUNCTION("GOOGLETRANSLATE(D:D,""auto"",""en"")"),"Bryant memorial service")</f>
        <v>Bryant memorial service</v>
      </c>
      <c r="D2787" s="4" t="s">
        <v>4042</v>
      </c>
      <c r="E2787" s="4">
        <v>0.0</v>
      </c>
      <c r="F2787" s="4">
        <v>36.0</v>
      </c>
      <c r="G2787" s="4" t="s">
        <v>4043</v>
      </c>
    </row>
    <row r="2788">
      <c r="A2788" s="1">
        <v>2786.0</v>
      </c>
      <c r="B2788" s="4" t="s">
        <v>4102</v>
      </c>
      <c r="C2788" s="5" t="str">
        <f>IFERROR(__xludf.DUMMYFUNCTION("GOOGLETRANSLATE(D:D,""auto"",""en"")"),"Now millions of Arctic methane point")</f>
        <v>Now millions of Arctic methane point</v>
      </c>
      <c r="D2788" s="4" t="s">
        <v>4076</v>
      </c>
      <c r="E2788" s="4">
        <v>0.0</v>
      </c>
      <c r="F2788" s="4">
        <v>37.0</v>
      </c>
      <c r="G2788" s="4" t="s">
        <v>4077</v>
      </c>
    </row>
    <row r="2789">
      <c r="A2789" s="1">
        <v>2787.0</v>
      </c>
      <c r="B2789" s="4" t="s">
        <v>4102</v>
      </c>
      <c r="C2789" s="5" t="str">
        <f>IFERROR(__xludf.DUMMYFUNCTION("GOOGLETRANSLATE(D:D,""auto"",""en"")"),"The official called on banks to help businesses")</f>
        <v>The official called on banks to help businesses</v>
      </c>
      <c r="D2789" s="4" t="s">
        <v>4084</v>
      </c>
      <c r="E2789" s="4">
        <v>0.0</v>
      </c>
      <c r="F2789" s="4">
        <v>38.0</v>
      </c>
      <c r="G2789" s="4" t="s">
        <v>4085</v>
      </c>
    </row>
    <row r="2790">
      <c r="A2790" s="1">
        <v>2788.0</v>
      </c>
      <c r="B2790" s="4" t="s">
        <v>4102</v>
      </c>
      <c r="C2790" s="5" t="str">
        <f>IFERROR(__xludf.DUMMYFUNCTION("GOOGLETRANSLATE(D:D,""auto"",""en"")"),"Li Yong daughter sun photograph")</f>
        <v>Li Yong daughter sun photograph</v>
      </c>
      <c r="D2790" s="4" t="s">
        <v>4048</v>
      </c>
      <c r="E2790" s="4">
        <v>0.0</v>
      </c>
      <c r="F2790" s="4">
        <v>39.0</v>
      </c>
      <c r="G2790" s="4" t="s">
        <v>4049</v>
      </c>
    </row>
    <row r="2791">
      <c r="A2791" s="1">
        <v>2789.0</v>
      </c>
      <c r="B2791" s="4" t="s">
        <v>4102</v>
      </c>
      <c r="C2791" s="5" t="str">
        <f>IFERROR(__xludf.DUMMYFUNCTION("GOOGLETRANSLATE(D:D,""auto"",""en"")"),"Hubei retired officials be disciplined")</f>
        <v>Hubei retired officials be disciplined</v>
      </c>
      <c r="D2791" s="4" t="s">
        <v>4064</v>
      </c>
      <c r="E2791" s="4">
        <v>0.0</v>
      </c>
      <c r="F2791" s="4">
        <v>40.0</v>
      </c>
      <c r="G2791" s="4" t="s">
        <v>4065</v>
      </c>
    </row>
    <row r="2792">
      <c r="A2792" s="1">
        <v>2790.0</v>
      </c>
      <c r="B2792" s="4" t="s">
        <v>4102</v>
      </c>
      <c r="C2792" s="5" t="str">
        <f>IFERROR(__xludf.DUMMYFUNCTION("GOOGLETRANSLATE(D:D,""auto"",""en"")"),"Malaysian Prime Minister to resign")</f>
        <v>Malaysian Prime Minister to resign</v>
      </c>
      <c r="D2792" s="4" t="s">
        <v>4060</v>
      </c>
      <c r="E2792" s="4">
        <v>0.0</v>
      </c>
      <c r="F2792" s="4">
        <v>41.0</v>
      </c>
      <c r="G2792" s="4" t="s">
        <v>4061</v>
      </c>
    </row>
    <row r="2793">
      <c r="A2793" s="1">
        <v>2791.0</v>
      </c>
      <c r="B2793" s="4" t="s">
        <v>4102</v>
      </c>
      <c r="C2793" s="5" t="str">
        <f>IFERROR(__xludf.DUMMYFUNCTION("GOOGLETRANSLATE(D:D,""auto"",""en"")"),"Zhang Ziyi to his son shaved")</f>
        <v>Zhang Ziyi to his son shaved</v>
      </c>
      <c r="D2793" s="4" t="s">
        <v>4159</v>
      </c>
      <c r="E2793" s="4">
        <v>0.0</v>
      </c>
      <c r="F2793" s="4">
        <v>42.0</v>
      </c>
      <c r="G2793" s="4" t="s">
        <v>4160</v>
      </c>
    </row>
    <row r="2794">
      <c r="A2794" s="1">
        <v>2792.0</v>
      </c>
      <c r="B2794" s="4" t="s">
        <v>4102</v>
      </c>
      <c r="C2794" s="5" t="str">
        <f>IFERROR(__xludf.DUMMYFUNCTION("GOOGLETRANSLATE(D:D,""auto"",""en"")"),"Multi-country appreciates China's fight against SARS")</f>
        <v>Multi-country appreciates China's fight against SARS</v>
      </c>
      <c r="D2794" s="4" t="s">
        <v>4161</v>
      </c>
      <c r="E2794" s="4">
        <v>0.0</v>
      </c>
      <c r="F2794" s="4">
        <v>43.0</v>
      </c>
      <c r="G2794" s="4" t="s">
        <v>4162</v>
      </c>
    </row>
    <row r="2795">
      <c r="A2795" s="1">
        <v>2793.0</v>
      </c>
      <c r="B2795" s="4" t="s">
        <v>4102</v>
      </c>
      <c r="C2795" s="5" t="str">
        <f>IFERROR(__xludf.DUMMYFUNCTION("GOOGLETRANSLATE(D:D,""auto"",""en"")"),"5 City of Hubei new 0")</f>
        <v>5 City of Hubei new 0</v>
      </c>
      <c r="D2795" s="4" t="s">
        <v>4163</v>
      </c>
      <c r="E2795" s="4">
        <v>0.0</v>
      </c>
      <c r="F2795" s="4">
        <v>44.0</v>
      </c>
      <c r="G2795" s="4" t="s">
        <v>4164</v>
      </c>
    </row>
    <row r="2796">
      <c r="A2796" s="1">
        <v>2794.0</v>
      </c>
      <c r="B2796" s="4" t="s">
        <v>4102</v>
      </c>
      <c r="C2796" s="5" t="str">
        <f>IFERROR(__xludf.DUMMYFUNCTION("GOOGLETRANSLATE(D:D,""auto"",""en"")"),"Israeli air strike two countries")</f>
        <v>Israeli air strike two countries</v>
      </c>
      <c r="D2796" s="4" t="s">
        <v>4165</v>
      </c>
      <c r="E2796" s="4">
        <v>0.0</v>
      </c>
      <c r="F2796" s="4">
        <v>45.0</v>
      </c>
      <c r="G2796" s="4" t="s">
        <v>4166</v>
      </c>
    </row>
    <row r="2797">
      <c r="A2797" s="1">
        <v>2795.0</v>
      </c>
      <c r="B2797" s="4" t="s">
        <v>4102</v>
      </c>
      <c r="C2797" s="5" t="str">
        <f>IFERROR(__xludf.DUMMYFUNCTION("GOOGLETRANSLATE(D:D,""auto"",""en"")"),"Ningxia University then respond to nuclear sub")</f>
        <v>Ningxia University then respond to nuclear sub</v>
      </c>
      <c r="D2797" s="4" t="s">
        <v>4167</v>
      </c>
      <c r="E2797" s="4">
        <v>0.0</v>
      </c>
      <c r="F2797" s="4">
        <v>46.0</v>
      </c>
      <c r="G2797" s="4" t="s">
        <v>4168</v>
      </c>
    </row>
    <row r="2798">
      <c r="A2798" s="1">
        <v>2796.0</v>
      </c>
      <c r="B2798" s="4" t="s">
        <v>4102</v>
      </c>
      <c r="C2798" s="5" t="str">
        <f>IFERROR(__xludf.DUMMYFUNCTION("GOOGLETRANSLATE(D:D,""auto"",""en"")"),"South Korea confirmed 27-year-old prison guard")</f>
        <v>South Korea confirmed 27-year-old prison guard</v>
      </c>
      <c r="D2798" s="4" t="s">
        <v>4169</v>
      </c>
      <c r="E2798" s="4">
        <v>0.0</v>
      </c>
      <c r="F2798" s="4">
        <v>47.0</v>
      </c>
      <c r="G2798" s="4" t="s">
        <v>4170</v>
      </c>
    </row>
    <row r="2799">
      <c r="A2799" s="1">
        <v>2797.0</v>
      </c>
      <c r="B2799" s="4" t="s">
        <v>4102</v>
      </c>
      <c r="C2799" s="5" t="str">
        <f>IFERROR(__xludf.DUMMYFUNCTION("GOOGLETRANSLATE(D:D,""auto"",""en"")"),"Dali was party secretary-free")</f>
        <v>Dali was party secretary-free</v>
      </c>
      <c r="D2799" s="4" t="s">
        <v>4052</v>
      </c>
      <c r="E2799" s="4">
        <v>0.0</v>
      </c>
      <c r="F2799" s="4">
        <v>48.0</v>
      </c>
      <c r="G2799" s="4" t="s">
        <v>4053</v>
      </c>
    </row>
    <row r="2800">
      <c r="A2800" s="1">
        <v>2798.0</v>
      </c>
      <c r="B2800" s="4" t="s">
        <v>4102</v>
      </c>
      <c r="C2800" s="5" t="str">
        <f>IFERROR(__xludf.DUMMYFUNCTION("GOOGLETRANSLATE(D:D,""auto"",""en"")"),"The Wall Street Journal staff of vocal")</f>
        <v>The Wall Street Journal staff of vocal</v>
      </c>
      <c r="D2800" s="4" t="s">
        <v>4171</v>
      </c>
      <c r="E2800" s="4">
        <v>0.0</v>
      </c>
      <c r="F2800" s="4">
        <v>49.0</v>
      </c>
      <c r="G2800" s="4" t="s">
        <v>4172</v>
      </c>
    </row>
    <row r="2801">
      <c r="A2801" s="1">
        <v>2799.0</v>
      </c>
      <c r="B2801" s="4" t="s">
        <v>4102</v>
      </c>
      <c r="C2801" s="5" t="str">
        <f>IFERROR(__xludf.DUMMYFUNCTION("GOOGLETRANSLATE(D:D,""auto"",""en"")"),"Chen issued a statement studio")</f>
        <v>Chen issued a statement studio</v>
      </c>
      <c r="D2801" s="4" t="s">
        <v>4173</v>
      </c>
      <c r="E2801" s="4">
        <v>0.0</v>
      </c>
      <c r="F2801" s="4">
        <v>50.0</v>
      </c>
      <c r="G2801" s="4" t="s">
        <v>4174</v>
      </c>
    </row>
    <row r="2802">
      <c r="A2802" s="1">
        <v>2800.0</v>
      </c>
      <c r="B2802" s="4" t="s">
        <v>4175</v>
      </c>
      <c r="C2802" s="5" t="str">
        <f>IFERROR(__xludf.DUMMYFUNCTION("GOOGLETRANSLATE(D:D,""auto"",""en"")"),"Foxconn hired Zhong Nanshan")</f>
        <v>Foxconn hired Zhong Nanshan</v>
      </c>
      <c r="D2802" s="4" t="s">
        <v>4176</v>
      </c>
      <c r="E2802" s="4">
        <v>0.0</v>
      </c>
      <c r="F2802" s="4">
        <v>1.0</v>
      </c>
      <c r="G2802" s="4" t="s">
        <v>4177</v>
      </c>
    </row>
    <row r="2803">
      <c r="A2803" s="1">
        <v>2801.0</v>
      </c>
      <c r="B2803" s="4" t="s">
        <v>4175</v>
      </c>
      <c r="C2803" s="5" t="str">
        <f>IFERROR(__xludf.DUMMYFUNCTION("GOOGLETRANSLATE(D:D,""auto"",""en"")"),"Disclosure of information epidemic checked")</f>
        <v>Disclosure of information epidemic checked</v>
      </c>
      <c r="D2803" s="4" t="s">
        <v>4143</v>
      </c>
      <c r="E2803" s="4">
        <v>0.0</v>
      </c>
      <c r="F2803" s="4">
        <v>2.0</v>
      </c>
      <c r="G2803" s="4" t="s">
        <v>4144</v>
      </c>
    </row>
    <row r="2804">
      <c r="A2804" s="1">
        <v>2802.0</v>
      </c>
      <c r="B2804" s="4" t="s">
        <v>4175</v>
      </c>
      <c r="C2804" s="5" t="str">
        <f>IFERROR(__xludf.DUMMYFUNCTION("GOOGLETRANSLATE(D:D,""auto"",""en"")"),"27 provincial restore passenger lines")</f>
        <v>27 provincial restore passenger lines</v>
      </c>
      <c r="D2804" s="4" t="s">
        <v>4149</v>
      </c>
      <c r="E2804" s="4">
        <v>0.0</v>
      </c>
      <c r="F2804" s="4">
        <v>3.0</v>
      </c>
      <c r="G2804" s="4" t="s">
        <v>4150</v>
      </c>
    </row>
    <row r="2805">
      <c r="A2805" s="1">
        <v>2803.0</v>
      </c>
      <c r="B2805" s="4" t="s">
        <v>4175</v>
      </c>
      <c r="C2805" s="5" t="str">
        <f>IFERROR(__xludf.DUMMYFUNCTION("GOOGLETRANSLATE(D:D,""auto"",""en"")"),"Yilan County, Taiwan earthquake")</f>
        <v>Yilan County, Taiwan earthquake</v>
      </c>
      <c r="D2805" s="4" t="s">
        <v>4141</v>
      </c>
      <c r="E2805" s="4">
        <v>0.0</v>
      </c>
      <c r="F2805" s="4">
        <v>4.0</v>
      </c>
      <c r="G2805" s="4" t="s">
        <v>4142</v>
      </c>
    </row>
    <row r="2806">
      <c r="A2806" s="1">
        <v>2804.0</v>
      </c>
      <c r="B2806" s="4" t="s">
        <v>4175</v>
      </c>
      <c r="C2806" s="5" t="str">
        <f>IFERROR(__xludf.DUMMYFUNCTION("GOOGLETRANSLATE(D:D,""auto"",""en"")"),"After the market to buy fish infection")</f>
        <v>After the market to buy fish infection</v>
      </c>
      <c r="D2806" s="4" t="s">
        <v>4178</v>
      </c>
      <c r="E2806" s="4">
        <v>0.0</v>
      </c>
      <c r="F2806" s="4">
        <v>5.0</v>
      </c>
      <c r="G2806" s="4" t="s">
        <v>4179</v>
      </c>
    </row>
    <row r="2807">
      <c r="A2807" s="1">
        <v>2805.0</v>
      </c>
      <c r="B2807" s="4" t="s">
        <v>4175</v>
      </c>
      <c r="C2807" s="5" t="str">
        <f>IFERROR(__xludf.DUMMYFUNCTION("GOOGLETRANSLATE(D:D,""auto"",""en"")"),"The first 94 people Erfei Nan Jing isolation")</f>
        <v>The first 94 people Erfei Nan Jing isolation</v>
      </c>
      <c r="D2807" s="4" t="s">
        <v>4180</v>
      </c>
      <c r="E2807" s="4">
        <v>0.0</v>
      </c>
      <c r="F2807" s="4">
        <v>6.0</v>
      </c>
      <c r="G2807" s="4" t="s">
        <v>4181</v>
      </c>
    </row>
    <row r="2808">
      <c r="A2808" s="1">
        <v>2806.0</v>
      </c>
      <c r="B2808" s="4" t="s">
        <v>4175</v>
      </c>
      <c r="C2808" s="5" t="str">
        <f>IFERROR(__xludf.DUMMYFUNCTION("GOOGLETRANSLATE(D:D,""auto"",""en"")"),"Ministry of Foreign Affairs to respond to the outcome of theft")</f>
        <v>Ministry of Foreign Affairs to respond to the outcome of theft</v>
      </c>
      <c r="D2808" s="4" t="s">
        <v>4182</v>
      </c>
      <c r="E2808" s="4">
        <v>0.0</v>
      </c>
      <c r="F2808" s="4">
        <v>7.0</v>
      </c>
      <c r="G2808" s="4" t="s">
        <v>4183</v>
      </c>
    </row>
    <row r="2809">
      <c r="A2809" s="1">
        <v>2807.0</v>
      </c>
      <c r="B2809" s="4" t="s">
        <v>4175</v>
      </c>
      <c r="C2809" s="5" t="str">
        <f>IFERROR(__xludf.DUMMYFUNCTION("GOOGLETRANSLATE(D:D,""auto"",""en"")"),"Official rumor thousands of people into Changsha")</f>
        <v>Official rumor thousands of people into Changsha</v>
      </c>
      <c r="D2809" s="4" t="s">
        <v>4184</v>
      </c>
      <c r="E2809" s="4">
        <v>0.0</v>
      </c>
      <c r="F2809" s="4">
        <v>8.0</v>
      </c>
      <c r="G2809" s="4" t="s">
        <v>4185</v>
      </c>
    </row>
    <row r="2810">
      <c r="A2810" s="1">
        <v>2808.0</v>
      </c>
      <c r="B2810" s="4" t="s">
        <v>4175</v>
      </c>
      <c r="C2810" s="5" t="str">
        <f>IFERROR(__xludf.DUMMYFUNCTION("GOOGLETRANSLATE(D:D,""auto"",""en"")"),"Iran's Deputy Minister of Health infection")</f>
        <v>Iran's Deputy Minister of Health infection</v>
      </c>
      <c r="D2810" s="4" t="s">
        <v>4145</v>
      </c>
      <c r="E2810" s="4">
        <v>0.0</v>
      </c>
      <c r="F2810" s="4">
        <v>9.0</v>
      </c>
      <c r="G2810" s="4" t="s">
        <v>4146</v>
      </c>
    </row>
    <row r="2811">
      <c r="A2811" s="1">
        <v>2809.0</v>
      </c>
      <c r="B2811" s="4" t="s">
        <v>4175</v>
      </c>
      <c r="C2811" s="5" t="str">
        <f>IFERROR(__xludf.DUMMYFUNCTION("GOOGLETRANSLATE(D:D,""auto"",""en"")"),"Non Hubei new cases 5 cases")</f>
        <v>Non Hubei new cases 5 cases</v>
      </c>
      <c r="D2811" s="4" t="s">
        <v>4186</v>
      </c>
      <c r="E2811" s="4">
        <v>0.0</v>
      </c>
      <c r="F2811" s="4">
        <v>10.0</v>
      </c>
      <c r="G2811" s="4" t="s">
        <v>4187</v>
      </c>
    </row>
    <row r="2812">
      <c r="A2812" s="1">
        <v>2810.0</v>
      </c>
      <c r="B2812" s="4" t="s">
        <v>4175</v>
      </c>
      <c r="C2812" s="5" t="str">
        <f>IFERROR(__xludf.DUMMYFUNCTION("GOOGLETRANSLATE(D:D,""auto"",""en"")"),"Bryant reached last wish")</f>
        <v>Bryant reached last wish</v>
      </c>
      <c r="D2812" s="4" t="s">
        <v>4188</v>
      </c>
      <c r="E2812" s="4">
        <v>0.0</v>
      </c>
      <c r="F2812" s="4">
        <v>11.0</v>
      </c>
      <c r="G2812" s="4" t="s">
        <v>4189</v>
      </c>
    </row>
    <row r="2813">
      <c r="A2813" s="1">
        <v>2811.0</v>
      </c>
      <c r="B2813" s="4" t="s">
        <v>4175</v>
      </c>
      <c r="C2813" s="5" t="str">
        <f>IFERROR(__xludf.DUMMYFUNCTION("GOOGLETRANSLATE(D:D,""auto"",""en"")"),"Japan's response, or cancel the Olympics")</f>
        <v>Japan's response, or cancel the Olympics</v>
      </c>
      <c r="D2813" s="4" t="s">
        <v>4190</v>
      </c>
      <c r="E2813" s="4">
        <v>0.0</v>
      </c>
      <c r="F2813" s="4">
        <v>12.0</v>
      </c>
      <c r="G2813" s="4" t="s">
        <v>4191</v>
      </c>
    </row>
    <row r="2814">
      <c r="A2814" s="1">
        <v>2812.0</v>
      </c>
      <c r="B2814" s="4" t="s">
        <v>4175</v>
      </c>
      <c r="C2814" s="5" t="str">
        <f>IFERROR(__xludf.DUMMYFUNCTION("GOOGLETRANSLATE(D:D,""auto"",""en"")"),"Now Wuhan to Beijing Dongcheng cases")</f>
        <v>Now Wuhan to Beijing Dongcheng cases</v>
      </c>
      <c r="D2814" s="4" t="s">
        <v>4192</v>
      </c>
      <c r="E2814" s="4">
        <v>0.0</v>
      </c>
      <c r="F2814" s="4">
        <v>13.0</v>
      </c>
      <c r="G2814" s="4" t="s">
        <v>4193</v>
      </c>
    </row>
    <row r="2815">
      <c r="A2815" s="1">
        <v>2813.0</v>
      </c>
      <c r="B2815" s="4" t="s">
        <v>4175</v>
      </c>
      <c r="C2815" s="5" t="str">
        <f>IFERROR(__xludf.DUMMYFUNCTION("GOOGLETRANSLATE(D:D,""auto"",""en"")"),"Temple kneeling blanket measure virus")</f>
        <v>Temple kneeling blanket measure virus</v>
      </c>
      <c r="D2815" s="4" t="s">
        <v>4194</v>
      </c>
      <c r="E2815" s="4">
        <v>0.0</v>
      </c>
      <c r="F2815" s="4">
        <v>14.0</v>
      </c>
      <c r="G2815" s="4" t="s">
        <v>4195</v>
      </c>
    </row>
    <row r="2816">
      <c r="A2816" s="1">
        <v>2814.0</v>
      </c>
      <c r="B2816" s="4" t="s">
        <v>4175</v>
      </c>
      <c r="C2816" s="5" t="str">
        <f>IFERROR(__xludf.DUMMYFUNCTION("GOOGLETRANSLATE(D:D,""auto"",""en"")"),"Ministry of Commerce to talk about Wuhan Food Industry")</f>
        <v>Ministry of Commerce to talk about Wuhan Food Industry</v>
      </c>
      <c r="D2816" s="4" t="s">
        <v>4196</v>
      </c>
      <c r="E2816" s="4">
        <v>0.0</v>
      </c>
      <c r="F2816" s="4">
        <v>15.0</v>
      </c>
      <c r="G2816" s="4" t="s">
        <v>4197</v>
      </c>
    </row>
    <row r="2817">
      <c r="A2817" s="1">
        <v>2815.0</v>
      </c>
      <c r="B2817" s="4" t="s">
        <v>4175</v>
      </c>
      <c r="C2817" s="5" t="str">
        <f>IFERROR(__xludf.DUMMYFUNCTION("GOOGLETRANSLATE(D:D,""auto"",""en"")"),"Korea Fei Weihai 5 fever")</f>
        <v>Korea Fei Weihai 5 fever</v>
      </c>
      <c r="D2817" s="4" t="s">
        <v>4198</v>
      </c>
      <c r="E2817" s="4">
        <v>0.0</v>
      </c>
      <c r="F2817" s="4">
        <v>16.0</v>
      </c>
      <c r="G2817" s="4" t="s">
        <v>4199</v>
      </c>
    </row>
    <row r="2818">
      <c r="A2818" s="1">
        <v>2816.0</v>
      </c>
      <c r="B2818" s="4" t="s">
        <v>4175</v>
      </c>
      <c r="C2818" s="5" t="str">
        <f>IFERROR(__xludf.DUMMYFUNCTION("GOOGLETRANSLATE(D:D,""auto"",""en"")"),"Tokyo Olympic Games may be canceled")</f>
        <v>Tokyo Olympic Games may be canceled</v>
      </c>
      <c r="D2818" s="4" t="s">
        <v>4200</v>
      </c>
      <c r="E2818" s="4">
        <v>0.0</v>
      </c>
      <c r="F2818" s="4">
        <v>17.0</v>
      </c>
      <c r="G2818" s="4" t="s">
        <v>4201</v>
      </c>
    </row>
    <row r="2819">
      <c r="A2819" s="1">
        <v>2817.0</v>
      </c>
      <c r="B2819" s="4" t="s">
        <v>4175</v>
      </c>
      <c r="C2819" s="5" t="str">
        <f>IFERROR(__xludf.DUMMYFUNCTION("GOOGLETRANSLATE(D:D,""auto"",""en"")"),"Wuhan, the first patient details")</f>
        <v>Wuhan, the first patient details</v>
      </c>
      <c r="D2819" s="4" t="s">
        <v>4202</v>
      </c>
      <c r="E2819" s="4">
        <v>0.0</v>
      </c>
      <c r="F2819" s="4">
        <v>18.0</v>
      </c>
      <c r="G2819" s="4" t="s">
        <v>4203</v>
      </c>
    </row>
    <row r="2820">
      <c r="A2820" s="1">
        <v>2818.0</v>
      </c>
      <c r="B2820" s="4" t="s">
        <v>4175</v>
      </c>
      <c r="C2820" s="5" t="str">
        <f>IFERROR(__xludf.DUMMYFUNCTION("GOOGLETRANSLATE(D:D,""auto"",""en"")"),"Jingmen secretary of the mayor was admonishing")</f>
        <v>Jingmen secretary of the mayor was admonishing</v>
      </c>
      <c r="D2820" s="4" t="s">
        <v>4204</v>
      </c>
      <c r="E2820" s="4">
        <v>0.0</v>
      </c>
      <c r="F2820" s="4">
        <v>19.0</v>
      </c>
      <c r="G2820" s="4" t="s">
        <v>4205</v>
      </c>
    </row>
    <row r="2821">
      <c r="A2821" s="1">
        <v>2819.0</v>
      </c>
      <c r="B2821" s="4" t="s">
        <v>4175</v>
      </c>
      <c r="C2821" s="5" t="str">
        <f>IFERROR(__xludf.DUMMYFUNCTION("GOOGLETRANSLATE(D:D,""auto"",""en"")"),"Net exposure suspect Zhang Han composite Nazha")</f>
        <v>Net exposure suspect Zhang Han composite Nazha</v>
      </c>
      <c r="D2821" s="4" t="s">
        <v>4206</v>
      </c>
      <c r="E2821" s="4">
        <v>0.0</v>
      </c>
      <c r="F2821" s="4">
        <v>20.0</v>
      </c>
      <c r="G2821" s="4" t="s">
        <v>4207</v>
      </c>
    </row>
    <row r="2822">
      <c r="A2822" s="1">
        <v>2820.0</v>
      </c>
      <c r="B2822" s="4" t="s">
        <v>4175</v>
      </c>
      <c r="C2822" s="5" t="str">
        <f>IFERROR(__xludf.DUMMYFUNCTION("GOOGLETRANSLATE(D:D,""auto"",""en"")"),"Huang Xu turned chef Strawberry House")</f>
        <v>Huang Xu turned chef Strawberry House</v>
      </c>
      <c r="D2822" s="4" t="s">
        <v>4208</v>
      </c>
      <c r="E2822" s="4">
        <v>0.0</v>
      </c>
      <c r="F2822" s="4">
        <v>21.0</v>
      </c>
      <c r="G2822" s="4" t="s">
        <v>4209</v>
      </c>
    </row>
    <row r="2823">
      <c r="A2823" s="1">
        <v>2821.0</v>
      </c>
      <c r="B2823" s="4" t="s">
        <v>4175</v>
      </c>
      <c r="C2823" s="5" t="str">
        <f>IFERROR(__xludf.DUMMYFUNCTION("GOOGLETRANSLATE(D:D,""auto"",""en"")"),"Weiyuan County of Sichuan earthquake")</f>
        <v>Weiyuan County of Sichuan earthquake</v>
      </c>
      <c r="D2823" s="4" t="s">
        <v>4135</v>
      </c>
      <c r="E2823" s="4">
        <v>0.0</v>
      </c>
      <c r="F2823" s="4">
        <v>22.0</v>
      </c>
      <c r="G2823" s="4" t="s">
        <v>4136</v>
      </c>
    </row>
    <row r="2824">
      <c r="A2824" s="1">
        <v>2822.0</v>
      </c>
      <c r="B2824" s="4" t="s">
        <v>4175</v>
      </c>
      <c r="C2824" s="5" t="str">
        <f>IFERROR(__xludf.DUMMYFUNCTION("GOOGLETRANSLATE(D:D,""auto"",""en"")"),"Guangzhou 13 cases of complex positive after discharge")</f>
        <v>Guangzhou 13 cases of complex positive after discharge</v>
      </c>
      <c r="D2824" s="4" t="s">
        <v>4139</v>
      </c>
      <c r="E2824" s="4">
        <v>0.0</v>
      </c>
      <c r="F2824" s="4">
        <v>23.0</v>
      </c>
      <c r="G2824" s="4" t="s">
        <v>4140</v>
      </c>
    </row>
    <row r="2825">
      <c r="A2825" s="1">
        <v>2823.0</v>
      </c>
      <c r="B2825" s="4" t="s">
        <v>4175</v>
      </c>
      <c r="C2825" s="5" t="str">
        <f>IFERROR(__xludf.DUMMYFUNCTION("GOOGLETRANSLATE(D:D,""auto"",""en"")"),"Beidou Satellite Access System")</f>
        <v>Beidou Satellite Access System</v>
      </c>
      <c r="D2825" s="4" t="s">
        <v>4210</v>
      </c>
      <c r="E2825" s="4">
        <v>0.0</v>
      </c>
      <c r="F2825" s="4">
        <v>24.0</v>
      </c>
      <c r="G2825" s="4" t="s">
        <v>4211</v>
      </c>
    </row>
    <row r="2826">
      <c r="A2826" s="1">
        <v>2824.0</v>
      </c>
      <c r="B2826" s="4" t="s">
        <v>4175</v>
      </c>
      <c r="C2826" s="5" t="str">
        <f>IFERROR(__xludf.DUMMYFUNCTION("GOOGLETRANSLATE(D:D,""auto"",""en"")"),"Hubei new non-zero death")</f>
        <v>Hubei new non-zero death</v>
      </c>
      <c r="D2826" s="4" t="s">
        <v>4212</v>
      </c>
      <c r="E2826" s="4">
        <v>0.0</v>
      </c>
      <c r="F2826" s="4">
        <v>25.0</v>
      </c>
      <c r="G2826" s="4" t="s">
        <v>4213</v>
      </c>
    </row>
    <row r="2827">
      <c r="A2827" s="1">
        <v>2825.0</v>
      </c>
      <c r="B2827" s="4" t="s">
        <v>4175</v>
      </c>
      <c r="C2827" s="5" t="str">
        <f>IFERROR(__xludf.DUMMYFUNCTION("GOOGLETRANSLATE(D:D,""auto"",""en"")"),"USFK confirmed a new crown")</f>
        <v>USFK confirmed a new crown</v>
      </c>
      <c r="D2827" s="4" t="s">
        <v>4214</v>
      </c>
      <c r="E2827" s="4">
        <v>0.0</v>
      </c>
      <c r="F2827" s="4">
        <v>26.0</v>
      </c>
      <c r="G2827" s="4" t="s">
        <v>4215</v>
      </c>
    </row>
    <row r="2828">
      <c r="A2828" s="1">
        <v>2826.0</v>
      </c>
      <c r="B2828" s="4" t="s">
        <v>4175</v>
      </c>
      <c r="C2828" s="5" t="str">
        <f>IFERROR(__xludf.DUMMYFUNCTION("GOOGLETRANSLATE(D:D,""auto"",""en"")"),"South Korea 12 deaths")</f>
        <v>South Korea 12 deaths</v>
      </c>
      <c r="D2828" s="4" t="s">
        <v>4216</v>
      </c>
      <c r="E2828" s="4">
        <v>0.0</v>
      </c>
      <c r="F2828" s="4">
        <v>27.0</v>
      </c>
      <c r="G2828" s="4" t="s">
        <v>4217</v>
      </c>
    </row>
    <row r="2829">
      <c r="A2829" s="1">
        <v>2827.0</v>
      </c>
      <c r="B2829" s="4" t="s">
        <v>4175</v>
      </c>
      <c r="C2829" s="5" t="str">
        <f>IFERROR(__xludf.DUMMYFUNCTION("GOOGLETRANSLATE(D:D,""auto"",""en"")"),"Liu Yifei sun shine fitness")</f>
        <v>Liu Yifei sun shine fitness</v>
      </c>
      <c r="D2829" s="4" t="s">
        <v>4218</v>
      </c>
      <c r="E2829" s="4">
        <v>0.0</v>
      </c>
      <c r="F2829" s="4">
        <v>28.0</v>
      </c>
      <c r="G2829" s="4" t="s">
        <v>4219</v>
      </c>
    </row>
    <row r="2830">
      <c r="A2830" s="1">
        <v>2828.0</v>
      </c>
      <c r="B2830" s="4" t="s">
        <v>4175</v>
      </c>
      <c r="C2830" s="5" t="str">
        <f>IFERROR(__xludf.DUMMYFUNCTION("GOOGLETRANSLATE(D:D,""auto"",""en"")"),"10 The latest issue of masks")</f>
        <v>10 The latest issue of masks</v>
      </c>
      <c r="D2830" s="4" t="s">
        <v>4220</v>
      </c>
      <c r="E2830" s="4">
        <v>0.0</v>
      </c>
      <c r="F2830" s="4">
        <v>29.0</v>
      </c>
      <c r="G2830" s="4" t="s">
        <v>4221</v>
      </c>
    </row>
    <row r="2831">
      <c r="A2831" s="1">
        <v>2829.0</v>
      </c>
      <c r="B2831" s="4" t="s">
        <v>4175</v>
      </c>
      <c r="C2831" s="5" t="str">
        <f>IFERROR(__xludf.DUMMYFUNCTION("GOOGLETRANSLATE(D:D,""auto"",""en"")"),"Auxiliary infected 404 people in Hubei")</f>
        <v>Auxiliary infected 404 people in Hubei</v>
      </c>
      <c r="D2831" s="4" t="s">
        <v>4222</v>
      </c>
      <c r="E2831" s="4">
        <v>0.0</v>
      </c>
      <c r="F2831" s="4">
        <v>30.0</v>
      </c>
      <c r="G2831" s="4" t="s">
        <v>4223</v>
      </c>
    </row>
    <row r="2832">
      <c r="A2832" s="1">
        <v>2830.0</v>
      </c>
      <c r="B2832" s="4" t="s">
        <v>4175</v>
      </c>
      <c r="C2832" s="5" t="str">
        <f>IFERROR(__xludf.DUMMYFUNCTION("GOOGLETRANSLATE(D:D,""auto"",""en"")"),"Xianning burst fire")</f>
        <v>Xianning burst fire</v>
      </c>
      <c r="D2832" s="4" t="s">
        <v>4129</v>
      </c>
      <c r="E2832" s="4">
        <v>0.0</v>
      </c>
      <c r="F2832" s="4">
        <v>31.0</v>
      </c>
      <c r="G2832" s="4" t="s">
        <v>4130</v>
      </c>
    </row>
    <row r="2833">
      <c r="A2833" s="1">
        <v>2831.0</v>
      </c>
      <c r="B2833" s="4" t="s">
        <v>4175</v>
      </c>
      <c r="C2833" s="5" t="str">
        <f>IFERROR(__xludf.DUMMYFUNCTION("GOOGLETRANSLATE(D:D,""auto"",""en"")"),"Shanghai is making every effort to organize S10")</f>
        <v>Shanghai is making every effort to organize S10</v>
      </c>
      <c r="D2833" s="4" t="s">
        <v>4224</v>
      </c>
      <c r="E2833" s="4">
        <v>0.0</v>
      </c>
      <c r="F2833" s="4">
        <v>32.0</v>
      </c>
      <c r="G2833" s="4" t="s">
        <v>4225</v>
      </c>
    </row>
    <row r="2834">
      <c r="A2834" s="1">
        <v>2832.0</v>
      </c>
      <c r="B2834" s="4" t="s">
        <v>4175</v>
      </c>
      <c r="C2834" s="5" t="str">
        <f>IFERROR(__xludf.DUMMYFUNCTION("GOOGLETRANSLATE(D:D,""auto"",""en"")"),"Korean media false positives night 60 people dead")</f>
        <v>Korean media false positives night 60 people dead</v>
      </c>
      <c r="D2834" s="4" t="s">
        <v>4131</v>
      </c>
      <c r="E2834" s="4">
        <v>0.0</v>
      </c>
      <c r="F2834" s="4">
        <v>33.0</v>
      </c>
      <c r="G2834" s="4" t="s">
        <v>4132</v>
      </c>
    </row>
    <row r="2835">
      <c r="A2835" s="1">
        <v>2833.0</v>
      </c>
      <c r="B2835" s="4" t="s">
        <v>4175</v>
      </c>
      <c r="C2835" s="5" t="str">
        <f>IFERROR(__xludf.DUMMYFUNCTION("GOOGLETRANSLATE(D:D,""auto"",""en"")"),"After 95 Auxiliary sacrifice the fight against SARS")</f>
        <v>After 95 Auxiliary sacrifice the fight against SARS</v>
      </c>
      <c r="D2835" s="4" t="s">
        <v>4226</v>
      </c>
      <c r="E2835" s="4">
        <v>0.0</v>
      </c>
      <c r="F2835" s="4">
        <v>34.0</v>
      </c>
      <c r="G2835" s="4" t="s">
        <v>4227</v>
      </c>
    </row>
    <row r="2836">
      <c r="A2836" s="1">
        <v>2834.0</v>
      </c>
      <c r="B2836" s="4" t="s">
        <v>4175</v>
      </c>
      <c r="C2836" s="5" t="str">
        <f>IFERROR(__xludf.DUMMYFUNCTION("GOOGLETRANSLATE(D:D,""auto"",""en"")"),"Another Korean church pastor confirmed")</f>
        <v>Another Korean church pastor confirmed</v>
      </c>
      <c r="D2836" s="4" t="s">
        <v>4228</v>
      </c>
      <c r="E2836" s="4">
        <v>0.0</v>
      </c>
      <c r="F2836" s="4">
        <v>35.0</v>
      </c>
      <c r="G2836" s="4" t="s">
        <v>4229</v>
      </c>
    </row>
    <row r="2837">
      <c r="A2837" s="1">
        <v>2835.0</v>
      </c>
      <c r="B2837" s="4" t="s">
        <v>4175</v>
      </c>
      <c r="C2837" s="5" t="str">
        <f>IFERROR(__xludf.DUMMYFUNCTION("GOOGLETRANSLATE(D:D,""auto"",""en"")"),"South Korea to Jilin fever 4 people")</f>
        <v>South Korea to Jilin fever 4 people</v>
      </c>
      <c r="D2837" s="4" t="s">
        <v>4125</v>
      </c>
      <c r="E2837" s="4">
        <v>0.0</v>
      </c>
      <c r="F2837" s="4">
        <v>36.0</v>
      </c>
      <c r="G2837" s="4" t="s">
        <v>4126</v>
      </c>
    </row>
    <row r="2838">
      <c r="A2838" s="1">
        <v>2836.0</v>
      </c>
      <c r="B2838" s="4" t="s">
        <v>4175</v>
      </c>
      <c r="C2838" s="5" t="str">
        <f>IFERROR(__xludf.DUMMYFUNCTION("GOOGLETRANSLATE(D:D,""auto"",""en"")"),"There are important autopsy found")</f>
        <v>There are important autopsy found</v>
      </c>
      <c r="D2838" s="4" t="s">
        <v>4115</v>
      </c>
      <c r="E2838" s="4">
        <v>0.0</v>
      </c>
      <c r="F2838" s="4">
        <v>37.0</v>
      </c>
      <c r="G2838" s="4" t="s">
        <v>4116</v>
      </c>
    </row>
    <row r="2839">
      <c r="A2839" s="1">
        <v>2837.0</v>
      </c>
      <c r="B2839" s="4" t="s">
        <v>4175</v>
      </c>
      <c r="C2839" s="5" t="str">
        <f>IFERROR(__xludf.DUMMYFUNCTION("GOOGLETRANSLATE(D:D,""auto"",""en"")"),"North Korea North Korea suspended tourism")</f>
        <v>North Korea North Korea suspended tourism</v>
      </c>
      <c r="D2839" s="4" t="s">
        <v>4230</v>
      </c>
      <c r="E2839" s="4">
        <v>0.0</v>
      </c>
      <c r="F2839" s="4">
        <v>38.0</v>
      </c>
      <c r="G2839" s="4" t="s">
        <v>4231</v>
      </c>
    </row>
    <row r="2840">
      <c r="A2840" s="1">
        <v>2838.0</v>
      </c>
      <c r="B2840" s="4" t="s">
        <v>4175</v>
      </c>
      <c r="C2840" s="5" t="str">
        <f>IFERROR(__xludf.DUMMYFUNCTION("GOOGLETRANSLATE(D:D,""auto"",""en"")"),"Yangcheng Lake crabs large number of poor sales")</f>
        <v>Yangcheng Lake crabs large number of poor sales</v>
      </c>
      <c r="D2840" s="4" t="s">
        <v>4232</v>
      </c>
      <c r="E2840" s="4">
        <v>0.0</v>
      </c>
      <c r="F2840" s="4">
        <v>39.0</v>
      </c>
      <c r="G2840" s="4" t="s">
        <v>4233</v>
      </c>
    </row>
    <row r="2841">
      <c r="A2841" s="1">
        <v>2839.0</v>
      </c>
      <c r="B2841" s="4" t="s">
        <v>4175</v>
      </c>
      <c r="C2841" s="5" t="str">
        <f>IFERROR(__xludf.DUMMYFUNCTION("GOOGLETRANSLATE(D:D,""auto"",""en"")"),"0 Province of cases to be observed 28 days")</f>
        <v>0 Province of cases to be observed 28 days</v>
      </c>
      <c r="D2841" s="4" t="s">
        <v>4153</v>
      </c>
      <c r="E2841" s="4">
        <v>0.0</v>
      </c>
      <c r="F2841" s="4">
        <v>40.0</v>
      </c>
      <c r="G2841" s="4" t="s">
        <v>4154</v>
      </c>
    </row>
    <row r="2842">
      <c r="A2842" s="1">
        <v>2840.0</v>
      </c>
      <c r="B2842" s="4" t="s">
        <v>4175</v>
      </c>
      <c r="C2842" s="5" t="str">
        <f>IFERROR(__xludf.DUMMYFUNCTION("GOOGLETRANSLATE(D:D,""auto"",""en"")"),"The United Nations issued a warning locusts")</f>
        <v>The United Nations issued a warning locusts</v>
      </c>
      <c r="D2842" s="4" t="s">
        <v>4234</v>
      </c>
      <c r="E2842" s="4">
        <v>0.0</v>
      </c>
      <c r="F2842" s="4">
        <v>41.0</v>
      </c>
      <c r="G2842" s="4" t="s">
        <v>4235</v>
      </c>
    </row>
    <row r="2843">
      <c r="A2843" s="1">
        <v>2841.0</v>
      </c>
      <c r="B2843" s="4" t="s">
        <v>4175</v>
      </c>
      <c r="C2843" s="5" t="str">
        <f>IFERROR(__xludf.DUMMYFUNCTION("GOOGLETRANSLATE(D:D,""auto"",""en"")"),"Pan Changjiang hate her domineering back")</f>
        <v>Pan Changjiang hate her domineering back</v>
      </c>
      <c r="D2843" s="4" t="s">
        <v>4236</v>
      </c>
      <c r="E2843" s="4">
        <v>0.0</v>
      </c>
      <c r="F2843" s="4">
        <v>42.0</v>
      </c>
      <c r="G2843" s="4" t="s">
        <v>4237</v>
      </c>
    </row>
    <row r="2844">
      <c r="A2844" s="1">
        <v>2842.0</v>
      </c>
      <c r="B2844" s="4" t="s">
        <v>4175</v>
      </c>
      <c r="C2844" s="5" t="str">
        <f>IFERROR(__xludf.DUMMYFUNCTION("GOOGLETRANSLATE(D:D,""auto"",""en"")"),"Israeli air strike two countries")</f>
        <v>Israeli air strike two countries</v>
      </c>
      <c r="D2844" s="4" t="s">
        <v>4165</v>
      </c>
      <c r="E2844" s="4">
        <v>0.0</v>
      </c>
      <c r="F2844" s="4">
        <v>43.0</v>
      </c>
      <c r="G2844" s="4" t="s">
        <v>4166</v>
      </c>
    </row>
    <row r="2845">
      <c r="A2845" s="1">
        <v>2843.0</v>
      </c>
      <c r="B2845" s="4" t="s">
        <v>4175</v>
      </c>
      <c r="C2845" s="5" t="str">
        <f>IFERROR(__xludf.DUMMYFUNCTION("GOOGLETRANSLATE(D:D,""auto"",""en"")"),"United States masks a gap")</f>
        <v>United States masks a gap</v>
      </c>
      <c r="D2845" s="4" t="s">
        <v>4238</v>
      </c>
      <c r="E2845" s="4">
        <v>0.0</v>
      </c>
      <c r="F2845" s="4">
        <v>44.0</v>
      </c>
      <c r="G2845" s="4" t="s">
        <v>4239</v>
      </c>
    </row>
    <row r="2846">
      <c r="A2846" s="1">
        <v>2844.0</v>
      </c>
      <c r="B2846" s="4" t="s">
        <v>4175</v>
      </c>
      <c r="C2846" s="5" t="str">
        <f>IFERROR(__xludf.DUMMYFUNCTION("GOOGLETRANSLATE(D:D,""auto"",""en"")"),"Zhong Nanshan talk about re-infection")</f>
        <v>Zhong Nanshan talk about re-infection</v>
      </c>
      <c r="D2846" s="4" t="s">
        <v>4070</v>
      </c>
      <c r="E2846" s="4">
        <v>0.0</v>
      </c>
      <c r="F2846" s="4">
        <v>45.0</v>
      </c>
      <c r="G2846" s="4" t="s">
        <v>4071</v>
      </c>
    </row>
    <row r="2847">
      <c r="A2847" s="1">
        <v>2845.0</v>
      </c>
      <c r="B2847" s="4" t="s">
        <v>4175</v>
      </c>
      <c r="C2847" s="5" t="str">
        <f>IFERROR(__xludf.DUMMYFUNCTION("GOOGLETRANSLATE(D:D,""auto"",""en"")"),"FBI is investigating discrimination ethnic Chinese")</f>
        <v>FBI is investigating discrimination ethnic Chinese</v>
      </c>
      <c r="D2847" s="4" t="s">
        <v>4155</v>
      </c>
      <c r="E2847" s="4">
        <v>0.0</v>
      </c>
      <c r="F2847" s="4">
        <v>46.0</v>
      </c>
      <c r="G2847" s="4" t="s">
        <v>4156</v>
      </c>
    </row>
    <row r="2848">
      <c r="A2848" s="1">
        <v>2846.0</v>
      </c>
      <c r="B2848" s="4" t="s">
        <v>4175</v>
      </c>
      <c r="C2848" s="5" t="str">
        <f>IFERROR(__xludf.DUMMYFUNCTION("GOOGLETRANSLATE(D:D,""auto"",""en"")"),"Central Organization Department to talk about party donations")</f>
        <v>Central Organization Department to talk about party donations</v>
      </c>
      <c r="D2848" s="4" t="s">
        <v>4240</v>
      </c>
      <c r="E2848" s="4">
        <v>0.0</v>
      </c>
      <c r="F2848" s="4">
        <v>47.0</v>
      </c>
      <c r="G2848" s="4" t="s">
        <v>4241</v>
      </c>
    </row>
    <row r="2849">
      <c r="A2849" s="1">
        <v>2847.0</v>
      </c>
      <c r="B2849" s="4" t="s">
        <v>4175</v>
      </c>
      <c r="C2849" s="5" t="str">
        <f>IFERROR(__xludf.DUMMYFUNCTION("GOOGLETRANSLATE(D:D,""auto"",""en"")"),"Han Foundation exposure shopping list")</f>
        <v>Han Foundation exposure shopping list</v>
      </c>
      <c r="D2849" s="4" t="s">
        <v>4242</v>
      </c>
      <c r="E2849" s="4">
        <v>0.0</v>
      </c>
      <c r="F2849" s="4">
        <v>48.0</v>
      </c>
      <c r="G2849" s="4" t="s">
        <v>4243</v>
      </c>
    </row>
    <row r="2850">
      <c r="A2850" s="1">
        <v>2848.0</v>
      </c>
      <c r="B2850" s="4" t="s">
        <v>4175</v>
      </c>
      <c r="C2850" s="5" t="str">
        <f>IFERROR(__xludf.DUMMYFUNCTION("GOOGLETRANSLATE(D:D,""auto"",""en"")"),"Beijing strict immigration Health Management")</f>
        <v>Beijing strict immigration Health Management</v>
      </c>
      <c r="D2850" s="4" t="s">
        <v>4244</v>
      </c>
      <c r="E2850" s="4">
        <v>0.0</v>
      </c>
      <c r="F2850" s="4">
        <v>49.0</v>
      </c>
      <c r="G2850" s="4" t="s">
        <v>4245</v>
      </c>
    </row>
    <row r="2851">
      <c r="A2851" s="1">
        <v>2849.0</v>
      </c>
      <c r="B2851" s="4" t="s">
        <v>4175</v>
      </c>
      <c r="C2851" s="5" t="str">
        <f>IFERROR(__xludf.DUMMYFUNCTION("GOOGLETRANSLATE(D:D,""auto"",""en"")"),"The new crown virus oral vaccine")</f>
        <v>The new crown virus oral vaccine</v>
      </c>
      <c r="D2851" s="4" t="s">
        <v>4123</v>
      </c>
      <c r="E2851" s="4">
        <v>0.0</v>
      </c>
      <c r="F2851" s="4">
        <v>50.0</v>
      </c>
      <c r="G2851" s="4" t="s">
        <v>4124</v>
      </c>
    </row>
    <row r="2852">
      <c r="A2852" s="1">
        <v>2850.0</v>
      </c>
      <c r="B2852" s="4" t="s">
        <v>4246</v>
      </c>
      <c r="C2852" s="5" t="str">
        <f>IFERROR(__xludf.DUMMYFUNCTION("GOOGLETRANSLATE(D:D,""auto"",""en"")"),"Sicong appeared Thailand")</f>
        <v>Sicong appeared Thailand</v>
      </c>
      <c r="D2852" s="4" t="s">
        <v>4247</v>
      </c>
      <c r="E2852" s="4">
        <v>0.0</v>
      </c>
      <c r="F2852" s="4">
        <v>1.0</v>
      </c>
      <c r="G2852" s="4" t="s">
        <v>4248</v>
      </c>
    </row>
    <row r="2853">
      <c r="A2853" s="1">
        <v>2851.0</v>
      </c>
      <c r="B2853" s="4" t="s">
        <v>4246</v>
      </c>
      <c r="C2853" s="5" t="str">
        <f>IFERROR(__xludf.DUMMYFUNCTION("GOOGLETRANSLATE(D:D,""auto"",""en"")"),"Net exposure suspect Zhang Han composite Nazha")</f>
        <v>Net exposure suspect Zhang Han composite Nazha</v>
      </c>
      <c r="D2853" s="4" t="s">
        <v>4206</v>
      </c>
      <c r="E2853" s="4">
        <v>0.0</v>
      </c>
      <c r="F2853" s="4">
        <v>2.0</v>
      </c>
      <c r="G2853" s="4" t="s">
        <v>4207</v>
      </c>
    </row>
    <row r="2854">
      <c r="A2854" s="1">
        <v>2852.0</v>
      </c>
      <c r="B2854" s="4" t="s">
        <v>4246</v>
      </c>
      <c r="C2854" s="5" t="str">
        <f>IFERROR(__xludf.DUMMYFUNCTION("GOOGLETRANSLATE(D:D,""auto"",""en"")"),"Sun Li Sun pictured with sister")</f>
        <v>Sun Li Sun pictured with sister</v>
      </c>
      <c r="D2854" s="4" t="s">
        <v>4249</v>
      </c>
      <c r="E2854" s="4">
        <v>0.0</v>
      </c>
      <c r="F2854" s="4">
        <v>3.0</v>
      </c>
      <c r="G2854" s="4" t="s">
        <v>4250</v>
      </c>
    </row>
    <row r="2855">
      <c r="A2855" s="1">
        <v>2853.0</v>
      </c>
      <c r="B2855" s="4" t="s">
        <v>4246</v>
      </c>
      <c r="C2855" s="5" t="str">
        <f>IFERROR(__xludf.DUMMYFUNCTION("GOOGLETRANSLATE(D:D,""auto"",""en"")"),"10 The latest issue of masks")</f>
        <v>10 The latest issue of masks</v>
      </c>
      <c r="D2855" s="4" t="s">
        <v>4220</v>
      </c>
      <c r="E2855" s="4">
        <v>0.0</v>
      </c>
      <c r="F2855" s="4">
        <v>4.0</v>
      </c>
      <c r="G2855" s="4" t="s">
        <v>4221</v>
      </c>
    </row>
    <row r="2856">
      <c r="A2856" s="1">
        <v>2854.0</v>
      </c>
      <c r="B2856" s="4" t="s">
        <v>4246</v>
      </c>
      <c r="C2856" s="5" t="str">
        <f>IFERROR(__xludf.DUMMYFUNCTION("GOOGLETRANSLATE(D:D,""auto"",""en"")"),"Jingmen secretary of the mayor was admonishing")</f>
        <v>Jingmen secretary of the mayor was admonishing</v>
      </c>
      <c r="D2856" s="4" t="s">
        <v>4204</v>
      </c>
      <c r="E2856" s="4">
        <v>0.0</v>
      </c>
      <c r="F2856" s="4">
        <v>5.0</v>
      </c>
      <c r="G2856" s="4" t="s">
        <v>4205</v>
      </c>
    </row>
    <row r="2857">
      <c r="A2857" s="1">
        <v>2855.0</v>
      </c>
      <c r="B2857" s="4" t="s">
        <v>4246</v>
      </c>
      <c r="C2857" s="5" t="str">
        <f>IFERROR(__xludf.DUMMYFUNCTION("GOOGLETRANSLATE(D:D,""auto"",""en"")"),"Korea Fei Weihai 5 fever")</f>
        <v>Korea Fei Weihai 5 fever</v>
      </c>
      <c r="D2857" s="4" t="s">
        <v>4198</v>
      </c>
      <c r="E2857" s="4">
        <v>0.0</v>
      </c>
      <c r="F2857" s="4">
        <v>6.0</v>
      </c>
      <c r="G2857" s="4" t="s">
        <v>4199</v>
      </c>
    </row>
    <row r="2858">
      <c r="A2858" s="1">
        <v>2856.0</v>
      </c>
      <c r="B2858" s="4" t="s">
        <v>4246</v>
      </c>
      <c r="C2858" s="5" t="str">
        <f>IFERROR(__xludf.DUMMYFUNCTION("GOOGLETRANSLATE(D:D,""auto"",""en"")"),"E nurse aid to relieve the limit order")</f>
        <v>E nurse aid to relieve the limit order</v>
      </c>
      <c r="D2858" s="4" t="s">
        <v>4251</v>
      </c>
      <c r="E2858" s="4">
        <v>0.0</v>
      </c>
      <c r="F2858" s="4">
        <v>7.0</v>
      </c>
      <c r="G2858" s="4" t="s">
        <v>4252</v>
      </c>
    </row>
    <row r="2859">
      <c r="A2859" s="1">
        <v>2857.0</v>
      </c>
      <c r="B2859" s="4" t="s">
        <v>4246</v>
      </c>
      <c r="C2859" s="5" t="str">
        <f>IFERROR(__xludf.DUMMYFUNCTION("GOOGLETRANSLATE(D:D,""auto"",""en"")"),"North Korea North Korea suspended tourism")</f>
        <v>North Korea North Korea suspended tourism</v>
      </c>
      <c r="D2859" s="4" t="s">
        <v>4230</v>
      </c>
      <c r="E2859" s="4">
        <v>0.0</v>
      </c>
      <c r="F2859" s="4">
        <v>8.0</v>
      </c>
      <c r="G2859" s="4" t="s">
        <v>4231</v>
      </c>
    </row>
    <row r="2860">
      <c r="A2860" s="1">
        <v>2858.0</v>
      </c>
      <c r="B2860" s="4" t="s">
        <v>4246</v>
      </c>
      <c r="C2860" s="5" t="str">
        <f>IFERROR(__xludf.DUMMYFUNCTION("GOOGLETRANSLATE(D:D,""auto"",""en"")"),"Shiraiwa pine 谈返 Kyoto Women's")</f>
        <v>Shiraiwa pine 谈返 Kyoto Women's</v>
      </c>
      <c r="D2860" s="4" t="s">
        <v>4253</v>
      </c>
      <c r="E2860" s="4">
        <v>0.0</v>
      </c>
      <c r="F2860" s="4">
        <v>9.0</v>
      </c>
      <c r="G2860" s="4" t="s">
        <v>4254</v>
      </c>
    </row>
    <row r="2861">
      <c r="A2861" s="1">
        <v>2859.0</v>
      </c>
      <c r="B2861" s="4" t="s">
        <v>4246</v>
      </c>
      <c r="C2861" s="5" t="str">
        <f>IFERROR(__xludf.DUMMYFUNCTION("GOOGLETRANSLATE(D:D,""auto"",""en"")"),"Han arrived from prison response")</f>
        <v>Han arrived from prison response</v>
      </c>
      <c r="D2861" s="4" t="s">
        <v>4255</v>
      </c>
      <c r="E2861" s="4">
        <v>0.0</v>
      </c>
      <c r="F2861" s="4">
        <v>10.0</v>
      </c>
      <c r="G2861" s="4" t="s">
        <v>4256</v>
      </c>
    </row>
    <row r="2862">
      <c r="A2862" s="1">
        <v>2860.0</v>
      </c>
      <c r="B2862" s="4" t="s">
        <v>4246</v>
      </c>
      <c r="C2862" s="5" t="str">
        <f>IFERROR(__xludf.DUMMYFUNCTION("GOOGLETRANSLATE(D:D,""auto"",""en"")"),"Auxiliary infected 404 people in Hubei")</f>
        <v>Auxiliary infected 404 people in Hubei</v>
      </c>
      <c r="D2862" s="4" t="s">
        <v>4222</v>
      </c>
      <c r="E2862" s="4">
        <v>0.0</v>
      </c>
      <c r="F2862" s="4">
        <v>11.0</v>
      </c>
      <c r="G2862" s="4" t="s">
        <v>4223</v>
      </c>
    </row>
    <row r="2863">
      <c r="A2863" s="1">
        <v>2861.0</v>
      </c>
      <c r="B2863" s="4" t="s">
        <v>4246</v>
      </c>
      <c r="C2863" s="5" t="str">
        <f>IFERROR(__xludf.DUMMYFUNCTION("GOOGLETRANSLATE(D:D,""auto"",""en"")"),"Chinese woman arrived in Beijing from Hubei thorough investigation")</f>
        <v>Chinese woman arrived in Beijing from Hubei thorough investigation</v>
      </c>
      <c r="D2863" s="4" t="s">
        <v>4257</v>
      </c>
      <c r="E2863" s="4">
        <v>0.0</v>
      </c>
      <c r="F2863" s="4">
        <v>12.0</v>
      </c>
      <c r="G2863" s="4" t="s">
        <v>4258</v>
      </c>
    </row>
    <row r="2864">
      <c r="A2864" s="1">
        <v>2862.0</v>
      </c>
      <c r="B2864" s="4" t="s">
        <v>4246</v>
      </c>
      <c r="C2864" s="5" t="str">
        <f>IFERROR(__xludf.DUMMYFUNCTION("GOOGLETRANSLATE(D:D,""auto"",""en"")"),"Xintiandi week ban on wearing masks")</f>
        <v>Xintiandi week ban on wearing masks</v>
      </c>
      <c r="D2864" s="4" t="s">
        <v>4259</v>
      </c>
      <c r="E2864" s="4">
        <v>0.0</v>
      </c>
      <c r="F2864" s="4">
        <v>13.0</v>
      </c>
      <c r="G2864" s="4" t="s">
        <v>4260</v>
      </c>
    </row>
    <row r="2865">
      <c r="A2865" s="1">
        <v>2863.0</v>
      </c>
      <c r="B2865" s="4" t="s">
        <v>4246</v>
      </c>
      <c r="C2865" s="5" t="str">
        <f>IFERROR(__xludf.DUMMYFUNCTION("GOOGLETRANSLATE(D:D,""auto"",""en"")"),"Wang Fei lawyer released a statement")</f>
        <v>Wang Fei lawyer released a statement</v>
      </c>
      <c r="D2865" s="4" t="s">
        <v>4261</v>
      </c>
      <c r="E2865" s="4">
        <v>0.0</v>
      </c>
      <c r="F2865" s="4">
        <v>14.0</v>
      </c>
      <c r="G2865" s="4" t="s">
        <v>4262</v>
      </c>
    </row>
    <row r="2866">
      <c r="A2866" s="1">
        <v>2864.0</v>
      </c>
      <c r="B2866" s="4" t="s">
        <v>4246</v>
      </c>
      <c r="C2866" s="5" t="str">
        <f>IFERROR(__xludf.DUMMYFUNCTION("GOOGLETRANSLATE(D:D,""auto"",""en"")"),"Zhejiang will set off a duck locust")</f>
        <v>Zhejiang will set off a duck locust</v>
      </c>
      <c r="D2866" s="4" t="s">
        <v>4263</v>
      </c>
      <c r="E2866" s="4">
        <v>0.0</v>
      </c>
      <c r="F2866" s="4">
        <v>15.0</v>
      </c>
      <c r="G2866" s="4" t="s">
        <v>4264</v>
      </c>
    </row>
    <row r="2867">
      <c r="A2867" s="1">
        <v>2865.0</v>
      </c>
      <c r="B2867" s="4" t="s">
        <v>4246</v>
      </c>
      <c r="C2867" s="5" t="str">
        <f>IFERROR(__xludf.DUMMYFUNCTION("GOOGLETRANSLATE(D:D,""auto"",""en"")"),"Beijing new clusters of disease")</f>
        <v>Beijing new clusters of disease</v>
      </c>
      <c r="D2867" s="4" t="s">
        <v>4265</v>
      </c>
      <c r="E2867" s="4">
        <v>0.0</v>
      </c>
      <c r="F2867" s="4">
        <v>16.0</v>
      </c>
      <c r="G2867" s="4" t="s">
        <v>4266</v>
      </c>
    </row>
    <row r="2868">
      <c r="A2868" s="1">
        <v>2866.0</v>
      </c>
      <c r="B2868" s="4" t="s">
        <v>4246</v>
      </c>
      <c r="C2868" s="5" t="str">
        <f>IFERROR(__xludf.DUMMYFUNCTION("GOOGLETRANSLATE(D:D,""auto"",""en"")"),"Hua Chunying made representations to the United States")</f>
        <v>Hua Chunying made representations to the United States</v>
      </c>
      <c r="D2868" s="4" t="s">
        <v>4267</v>
      </c>
      <c r="E2868" s="4">
        <v>0.0</v>
      </c>
      <c r="F2868" s="4">
        <v>17.0</v>
      </c>
      <c r="G2868" s="4" t="s">
        <v>4268</v>
      </c>
    </row>
    <row r="2869">
      <c r="A2869" s="1">
        <v>2867.0</v>
      </c>
      <c r="B2869" s="4" t="s">
        <v>4246</v>
      </c>
      <c r="C2869" s="5" t="str">
        <f>IFERROR(__xludf.DUMMYFUNCTION("GOOGLETRANSLATE(D:D,""auto"",""en"")"),"Song Zhongji contributions 570 000")</f>
        <v>Song Zhongji contributions 570 000</v>
      </c>
      <c r="D2869" s="4" t="s">
        <v>4269</v>
      </c>
      <c r="E2869" s="4">
        <v>0.0</v>
      </c>
      <c r="F2869" s="4">
        <v>18.0</v>
      </c>
      <c r="G2869" s="4" t="s">
        <v>4270</v>
      </c>
    </row>
    <row r="2870">
      <c r="A2870" s="1">
        <v>2868.0</v>
      </c>
      <c r="B2870" s="4" t="s">
        <v>4246</v>
      </c>
      <c r="C2870" s="5" t="str">
        <f>IFERROR(__xludf.DUMMYFUNCTION("GOOGLETRANSLATE(D:D,""auto"",""en"")"),"Flora Cheung was traced to modify Age")</f>
        <v>Flora Cheung was traced to modify Age</v>
      </c>
      <c r="D2870" s="4" t="s">
        <v>4271</v>
      </c>
      <c r="E2870" s="4">
        <v>0.0</v>
      </c>
      <c r="F2870" s="4">
        <v>19.0</v>
      </c>
      <c r="G2870" s="4" t="s">
        <v>4272</v>
      </c>
    </row>
    <row r="2871">
      <c r="A2871" s="1">
        <v>2869.0</v>
      </c>
      <c r="B2871" s="4" t="s">
        <v>4246</v>
      </c>
      <c r="C2871" s="5" t="str">
        <f>IFERROR(__xludf.DUMMYFUNCTION("GOOGLETRANSLATE(D:D,""auto"",""en"")"),"Prison centralized infection reason")</f>
        <v>Prison centralized infection reason</v>
      </c>
      <c r="D2871" s="4" t="s">
        <v>4273</v>
      </c>
      <c r="E2871" s="4">
        <v>0.0</v>
      </c>
      <c r="F2871" s="4">
        <v>20.0</v>
      </c>
      <c r="G2871" s="4" t="s">
        <v>4274</v>
      </c>
    </row>
    <row r="2872">
      <c r="A2872" s="1">
        <v>2870.0</v>
      </c>
      <c r="B2872" s="4" t="s">
        <v>4246</v>
      </c>
      <c r="C2872" s="5" t="str">
        <f>IFERROR(__xludf.DUMMYFUNCTION("GOOGLETRANSLATE(D:D,""auto"",""en"")"),"The central bank to choose the orientation RRR")</f>
        <v>The central bank to choose the orientation RRR</v>
      </c>
      <c r="D2872" s="4" t="s">
        <v>4275</v>
      </c>
      <c r="E2872" s="4">
        <v>0.0</v>
      </c>
      <c r="F2872" s="4">
        <v>21.0</v>
      </c>
      <c r="G2872" s="4" t="s">
        <v>4276</v>
      </c>
    </row>
    <row r="2873">
      <c r="A2873" s="1">
        <v>2871.0</v>
      </c>
      <c r="B2873" s="4" t="s">
        <v>4246</v>
      </c>
      <c r="C2873" s="5" t="str">
        <f>IFERROR(__xludf.DUMMYFUNCTION("GOOGLETRANSLATE(D:D,""auto"",""en"")"),"Locusts swept more than 20 countries")</f>
        <v>Locusts swept more than 20 countries</v>
      </c>
      <c r="D2873" s="4" t="s">
        <v>4277</v>
      </c>
      <c r="E2873" s="4">
        <v>0.0</v>
      </c>
      <c r="F2873" s="4">
        <v>22.0</v>
      </c>
      <c r="G2873" s="4" t="s">
        <v>4278</v>
      </c>
    </row>
    <row r="2874">
      <c r="A2874" s="1">
        <v>2872.0</v>
      </c>
      <c r="B2874" s="4" t="s">
        <v>4246</v>
      </c>
      <c r="C2874" s="5" t="str">
        <f>IFERROR(__xludf.DUMMYFUNCTION("GOOGLETRANSLATE(D:D,""auto"",""en"")"),"Milwaukee shootings")</f>
        <v>Milwaukee shootings</v>
      </c>
      <c r="D2874" s="4" t="s">
        <v>4279</v>
      </c>
      <c r="E2874" s="4">
        <v>0.0</v>
      </c>
      <c r="F2874" s="4">
        <v>23.0</v>
      </c>
      <c r="G2874" s="4" t="s">
        <v>4280</v>
      </c>
    </row>
    <row r="2875">
      <c r="A2875" s="1">
        <v>2873.0</v>
      </c>
      <c r="B2875" s="4" t="s">
        <v>4246</v>
      </c>
      <c r="C2875" s="5" t="str">
        <f>IFERROR(__xludf.DUMMYFUNCTION("GOOGLETRANSLATE(D:D,""auto"",""en"")"),"16 down in response to the provincial level")</f>
        <v>16 down in response to the provincial level</v>
      </c>
      <c r="D2875" s="4" t="s">
        <v>4281</v>
      </c>
      <c r="E2875" s="4">
        <v>0.0</v>
      </c>
      <c r="F2875" s="4">
        <v>24.0</v>
      </c>
      <c r="G2875" s="4" t="s">
        <v>4282</v>
      </c>
    </row>
    <row r="2876">
      <c r="A2876" s="1">
        <v>2874.0</v>
      </c>
      <c r="B2876" s="4" t="s">
        <v>4246</v>
      </c>
      <c r="C2876" s="5" t="str">
        <f>IFERROR(__xludf.DUMMYFUNCTION("GOOGLETRANSLATE(D:D,""auto"",""en"")"),"Women's commutation book traced back to Beijing")</f>
        <v>Women's commutation book traced back to Beijing</v>
      </c>
      <c r="D2876" s="4" t="s">
        <v>4283</v>
      </c>
      <c r="E2876" s="4">
        <v>0.0</v>
      </c>
      <c r="F2876" s="4">
        <v>25.0</v>
      </c>
      <c r="G2876" s="4" t="s">
        <v>4284</v>
      </c>
    </row>
    <row r="2877">
      <c r="A2877" s="1">
        <v>2875.0</v>
      </c>
      <c r="B2877" s="4" t="s">
        <v>4246</v>
      </c>
      <c r="C2877" s="5" t="str">
        <f>IFERROR(__xludf.DUMMYFUNCTION("GOOGLETRANSLATE(D:D,""auto"",""en"")"),"Japan to develop new measurement method virus")</f>
        <v>Japan to develop new measurement method virus</v>
      </c>
      <c r="D2877" s="4" t="s">
        <v>4285</v>
      </c>
      <c r="E2877" s="4">
        <v>0.0</v>
      </c>
      <c r="F2877" s="4">
        <v>26.0</v>
      </c>
      <c r="G2877" s="4" t="s">
        <v>4286</v>
      </c>
    </row>
    <row r="2878">
      <c r="A2878" s="1">
        <v>2876.0</v>
      </c>
      <c r="B2878" s="4" t="s">
        <v>4246</v>
      </c>
      <c r="C2878" s="5" t="str">
        <f>IFERROR(__xludf.DUMMYFUNCTION("GOOGLETRANSLATE(D:D,""auto"",""en"")"),"Han's daughter arrived from sound")</f>
        <v>Han's daughter arrived from sound</v>
      </c>
      <c r="D2878" s="4" t="s">
        <v>4287</v>
      </c>
      <c r="E2878" s="4">
        <v>0.0</v>
      </c>
      <c r="F2878" s="4">
        <v>27.0</v>
      </c>
      <c r="G2878" s="4" t="s">
        <v>4288</v>
      </c>
    </row>
    <row r="2879">
      <c r="A2879" s="1">
        <v>2877.0</v>
      </c>
      <c r="B2879" s="4" t="s">
        <v>4246</v>
      </c>
      <c r="C2879" s="5" t="str">
        <f>IFERROR(__xludf.DUMMYFUNCTION("GOOGLETRANSLATE(D:D,""auto"",""en"")"),"One hundred thousand ducks locust truth")</f>
        <v>One hundred thousand ducks locust truth</v>
      </c>
      <c r="D2879" s="4" t="s">
        <v>4289</v>
      </c>
      <c r="E2879" s="4">
        <v>0.0</v>
      </c>
      <c r="F2879" s="4">
        <v>28.0</v>
      </c>
      <c r="G2879" s="4" t="s">
        <v>4290</v>
      </c>
    </row>
    <row r="2880">
      <c r="A2880" s="1">
        <v>2878.0</v>
      </c>
      <c r="B2880" s="4" t="s">
        <v>4246</v>
      </c>
      <c r="C2880" s="5" t="str">
        <f>IFERROR(__xludf.DUMMYFUNCTION("GOOGLETRANSLATE(D:D,""auto"",""en"")"),"Cure patients with severe lung damage")</f>
        <v>Cure patients with severe lung damage</v>
      </c>
      <c r="D2880" s="4" t="s">
        <v>4291</v>
      </c>
      <c r="E2880" s="4">
        <v>0.0</v>
      </c>
      <c r="F2880" s="4">
        <v>29.0</v>
      </c>
      <c r="G2880" s="4" t="s">
        <v>4292</v>
      </c>
    </row>
    <row r="2881">
      <c r="A2881" s="1">
        <v>2879.0</v>
      </c>
      <c r="B2881" s="4" t="s">
        <v>4246</v>
      </c>
      <c r="C2881" s="5" t="str">
        <f>IFERROR(__xludf.DUMMYFUNCTION("GOOGLETRANSLATE(D:D,""auto"",""en"")"),"Taiwan 578 students fever")</f>
        <v>Taiwan 578 students fever</v>
      </c>
      <c r="D2881" s="4" t="s">
        <v>4293</v>
      </c>
      <c r="E2881" s="4">
        <v>0.0</v>
      </c>
      <c r="F2881" s="4">
        <v>30.0</v>
      </c>
      <c r="G2881" s="4" t="s">
        <v>4294</v>
      </c>
    </row>
    <row r="2882">
      <c r="A2882" s="1">
        <v>2880.0</v>
      </c>
      <c r="B2882" s="4" t="s">
        <v>4246</v>
      </c>
      <c r="C2882" s="5" t="str">
        <f>IFERROR(__xludf.DUMMYFUNCTION("GOOGLETRANSLATE(D:D,""auto"",""en"")"),"Exposure Xiaozhan old social accounts")</f>
        <v>Exposure Xiaozhan old social accounts</v>
      </c>
      <c r="D2882" s="4" t="s">
        <v>4295</v>
      </c>
      <c r="E2882" s="4">
        <v>0.0</v>
      </c>
      <c r="F2882" s="4">
        <v>31.0</v>
      </c>
      <c r="G2882" s="4" t="s">
        <v>4296</v>
      </c>
    </row>
    <row r="2883">
      <c r="A2883" s="1">
        <v>2881.0</v>
      </c>
      <c r="B2883" s="4" t="s">
        <v>4246</v>
      </c>
      <c r="C2883" s="5" t="str">
        <f>IFERROR(__xludf.DUMMYFUNCTION("GOOGLETRANSLATE(D:D,""auto"",""en"")"),"In principle, we continue to postpone the opening")</f>
        <v>In principle, we continue to postpone the opening</v>
      </c>
      <c r="D2883" s="4" t="s">
        <v>4297</v>
      </c>
      <c r="E2883" s="4">
        <v>0.0</v>
      </c>
      <c r="F2883" s="4">
        <v>32.0</v>
      </c>
      <c r="G2883" s="4" t="s">
        <v>4298</v>
      </c>
    </row>
    <row r="2884">
      <c r="A2884" s="1">
        <v>2882.0</v>
      </c>
      <c r="B2884" s="4" t="s">
        <v>4246</v>
      </c>
      <c r="C2884" s="5" t="str">
        <f>IFERROR(__xludf.DUMMYFUNCTION("GOOGLETRANSLATE(D:D,""auto"",""en"")"),"Masks to wear 1-2 months")</f>
        <v>Masks to wear 1-2 months</v>
      </c>
      <c r="D2884" s="4" t="s">
        <v>4299</v>
      </c>
      <c r="E2884" s="4">
        <v>0.0</v>
      </c>
      <c r="F2884" s="4">
        <v>33.0</v>
      </c>
      <c r="G2884" s="4" t="s">
        <v>4300</v>
      </c>
    </row>
    <row r="2885">
      <c r="A2885" s="1">
        <v>2883.0</v>
      </c>
      <c r="B2885" s="4" t="s">
        <v>4246</v>
      </c>
      <c r="C2885" s="5" t="str">
        <f>IFERROR(__xludf.DUMMYFUNCTION("GOOGLETRANSLATE(D:D,""auto"",""en"")"),"Temple kneeling blanket measure virus")</f>
        <v>Temple kneeling blanket measure virus</v>
      </c>
      <c r="D2885" s="4" t="s">
        <v>4194</v>
      </c>
      <c r="E2885" s="4">
        <v>0.0</v>
      </c>
      <c r="F2885" s="4">
        <v>34.0</v>
      </c>
      <c r="G2885" s="4" t="s">
        <v>4195</v>
      </c>
    </row>
    <row r="2886">
      <c r="A2886" s="1">
        <v>2884.0</v>
      </c>
      <c r="B2886" s="4" t="s">
        <v>4246</v>
      </c>
      <c r="C2886" s="5" t="str">
        <f>IFERROR(__xludf.DUMMYFUNCTION("GOOGLETRANSLATE(D:D,""auto"",""en"")"),"Liu Yifei sun shine fitness")</f>
        <v>Liu Yifei sun shine fitness</v>
      </c>
      <c r="D2886" s="4" t="s">
        <v>4218</v>
      </c>
      <c r="E2886" s="4">
        <v>0.0</v>
      </c>
      <c r="F2886" s="4">
        <v>35.0</v>
      </c>
      <c r="G2886" s="4" t="s">
        <v>4219</v>
      </c>
    </row>
    <row r="2887">
      <c r="A2887" s="1">
        <v>2885.0</v>
      </c>
      <c r="B2887" s="4" t="s">
        <v>4246</v>
      </c>
      <c r="C2887" s="5" t="str">
        <f>IFERROR(__xludf.DUMMYFUNCTION("GOOGLETRANSLATE(D:D,""auto"",""en"")"),"Director exposed the unspoken rules thriller")</f>
        <v>Director exposed the unspoken rules thriller</v>
      </c>
      <c r="D2887" s="4" t="s">
        <v>4301</v>
      </c>
      <c r="E2887" s="4">
        <v>0.0</v>
      </c>
      <c r="F2887" s="4">
        <v>36.0</v>
      </c>
      <c r="G2887" s="4" t="s">
        <v>4302</v>
      </c>
    </row>
    <row r="2888">
      <c r="A2888" s="1">
        <v>2886.0</v>
      </c>
      <c r="B2888" s="4" t="s">
        <v>4246</v>
      </c>
      <c r="C2888" s="5" t="str">
        <f>IFERROR(__xludf.DUMMYFUNCTION("GOOGLETRANSLATE(D:D,""auto"",""en"")"),"China to provide supplies to Japan")</f>
        <v>China to provide supplies to Japan</v>
      </c>
      <c r="D2888" s="4" t="s">
        <v>4303</v>
      </c>
      <c r="E2888" s="4">
        <v>0.0</v>
      </c>
      <c r="F2888" s="4">
        <v>37.0</v>
      </c>
      <c r="G2888" s="4" t="s">
        <v>4304</v>
      </c>
    </row>
    <row r="2889">
      <c r="A2889" s="1">
        <v>2887.0</v>
      </c>
      <c r="B2889" s="4" t="s">
        <v>4246</v>
      </c>
      <c r="C2889" s="5" t="str">
        <f>IFERROR(__xludf.DUMMYFUNCTION("GOOGLETRANSLATE(D:D,""auto"",""en"")"),"Hayley Asian solidarity issued")</f>
        <v>Hayley Asian solidarity issued</v>
      </c>
      <c r="D2889" s="4" t="s">
        <v>4305</v>
      </c>
      <c r="E2889" s="4">
        <v>0.0</v>
      </c>
      <c r="F2889" s="4">
        <v>38.0</v>
      </c>
      <c r="G2889" s="4" t="s">
        <v>4306</v>
      </c>
    </row>
    <row r="2890">
      <c r="A2890" s="1">
        <v>2888.0</v>
      </c>
      <c r="B2890" s="4" t="s">
        <v>4246</v>
      </c>
      <c r="C2890" s="5" t="str">
        <f>IFERROR(__xludf.DUMMYFUNCTION("GOOGLETRANSLATE(D:D,""auto"",""en"")"),"Google hopes to cooperate with Huawei")</f>
        <v>Google hopes to cooperate with Huawei</v>
      </c>
      <c r="D2890" s="4" t="s">
        <v>4307</v>
      </c>
      <c r="E2890" s="4">
        <v>0.0</v>
      </c>
      <c r="F2890" s="4">
        <v>39.0</v>
      </c>
      <c r="G2890" s="4" t="s">
        <v>4308</v>
      </c>
    </row>
    <row r="2891">
      <c r="A2891" s="1">
        <v>2889.0</v>
      </c>
      <c r="B2891" s="4" t="s">
        <v>4246</v>
      </c>
      <c r="C2891" s="5" t="str">
        <f>IFERROR(__xludf.DUMMYFUNCTION("GOOGLETRANSLATE(D:D,""auto"",""en"")"),"Sichuan cautious start dates")</f>
        <v>Sichuan cautious start dates</v>
      </c>
      <c r="D2891" s="4" t="s">
        <v>4309</v>
      </c>
      <c r="E2891" s="4">
        <v>0.0</v>
      </c>
      <c r="F2891" s="4">
        <v>40.0</v>
      </c>
      <c r="G2891" s="4" t="s">
        <v>4310</v>
      </c>
    </row>
    <row r="2892">
      <c r="A2892" s="1">
        <v>2890.0</v>
      </c>
      <c r="B2892" s="4" t="s">
        <v>4246</v>
      </c>
      <c r="C2892" s="5" t="str">
        <f>IFERROR(__xludf.DUMMYFUNCTION("GOOGLETRANSLATE(D:D,""auto"",""en"")"),"24 cases of new cases of non-Hubei")</f>
        <v>24 cases of new cases of non-Hubei</v>
      </c>
      <c r="D2892" s="4" t="s">
        <v>4311</v>
      </c>
      <c r="E2892" s="4">
        <v>0.0</v>
      </c>
      <c r="F2892" s="4">
        <v>41.0</v>
      </c>
      <c r="G2892" s="4" t="s">
        <v>4312</v>
      </c>
    </row>
    <row r="2893">
      <c r="A2893" s="1">
        <v>2891.0</v>
      </c>
      <c r="B2893" s="4" t="s">
        <v>4246</v>
      </c>
      <c r="C2893" s="5" t="str">
        <f>IFERROR(__xludf.DUMMYFUNCTION("GOOGLETRANSLATE(D:D,""auto"",""en"")"),"Hashimoto love real announce pregnancy")</f>
        <v>Hashimoto love real announce pregnancy</v>
      </c>
      <c r="D2893" s="4" t="s">
        <v>4313</v>
      </c>
      <c r="E2893" s="4">
        <v>0.0</v>
      </c>
      <c r="F2893" s="4">
        <v>42.0</v>
      </c>
      <c r="G2893" s="4" t="s">
        <v>4314</v>
      </c>
    </row>
    <row r="2894">
      <c r="A2894" s="1">
        <v>2892.0</v>
      </c>
      <c r="B2894" s="4" t="s">
        <v>4246</v>
      </c>
      <c r="C2894" s="5" t="str">
        <f>IFERROR(__xludf.DUMMYFUNCTION("GOOGLETRANSLATE(D:D,""auto"",""en"")"),"Bryant reached last wish")</f>
        <v>Bryant reached last wish</v>
      </c>
      <c r="D2894" s="4" t="s">
        <v>4188</v>
      </c>
      <c r="E2894" s="4">
        <v>0.0</v>
      </c>
      <c r="F2894" s="4">
        <v>43.0</v>
      </c>
      <c r="G2894" s="4" t="s">
        <v>4189</v>
      </c>
    </row>
    <row r="2895">
      <c r="A2895" s="1">
        <v>2893.0</v>
      </c>
      <c r="B2895" s="4" t="s">
        <v>4246</v>
      </c>
      <c r="C2895" s="5" t="str">
        <f>IFERROR(__xludf.DUMMYFUNCTION("GOOGLETRANSLATE(D:D,""auto"",""en"")"),"Shanghai will strengthen the management of immigration")</f>
        <v>Shanghai will strengthen the management of immigration</v>
      </c>
      <c r="D2895" s="4" t="s">
        <v>4315</v>
      </c>
      <c r="E2895" s="4">
        <v>0.0</v>
      </c>
      <c r="F2895" s="4">
        <v>44.0</v>
      </c>
      <c r="G2895" s="4" t="s">
        <v>4316</v>
      </c>
    </row>
    <row r="2896">
      <c r="A2896" s="1">
        <v>2894.0</v>
      </c>
      <c r="B2896" s="4" t="s">
        <v>4246</v>
      </c>
      <c r="C2896" s="5" t="str">
        <f>IFERROR(__xludf.DUMMYFUNCTION("GOOGLETRANSLATE(D:D,""auto"",""en"")"),"Wuhan, the first patient details")</f>
        <v>Wuhan, the first patient details</v>
      </c>
      <c r="D2896" s="4" t="s">
        <v>4202</v>
      </c>
      <c r="E2896" s="4">
        <v>0.0</v>
      </c>
      <c r="F2896" s="4">
        <v>45.0</v>
      </c>
      <c r="G2896" s="4" t="s">
        <v>4203</v>
      </c>
    </row>
    <row r="2897">
      <c r="A2897" s="1">
        <v>2895.0</v>
      </c>
      <c r="B2897" s="4" t="s">
        <v>4246</v>
      </c>
      <c r="C2897" s="5" t="str">
        <f>IFERROR(__xludf.DUMMYFUNCTION("GOOGLETRANSLATE(D:D,""auto"",""en"")"),"Baer's Pochard appeared Yunnan")</f>
        <v>Baer's Pochard appeared Yunnan</v>
      </c>
      <c r="D2897" s="4" t="s">
        <v>4317</v>
      </c>
      <c r="E2897" s="4">
        <v>0.0</v>
      </c>
      <c r="F2897" s="4">
        <v>46.0</v>
      </c>
      <c r="G2897" s="4" t="s">
        <v>4318</v>
      </c>
    </row>
    <row r="2898">
      <c r="A2898" s="1">
        <v>2896.0</v>
      </c>
      <c r="B2898" s="4" t="s">
        <v>4246</v>
      </c>
      <c r="C2898" s="5" t="str">
        <f>IFERROR(__xludf.DUMMYFUNCTION("GOOGLETRANSLATE(D:D,""auto"",""en"")"),"Japan garbage discovered large sums of money")</f>
        <v>Japan garbage discovered large sums of money</v>
      </c>
      <c r="D2898" s="4" t="s">
        <v>4319</v>
      </c>
      <c r="E2898" s="4">
        <v>0.0</v>
      </c>
      <c r="F2898" s="4">
        <v>47.0</v>
      </c>
      <c r="G2898" s="4" t="s">
        <v>4320</v>
      </c>
    </row>
    <row r="2899">
      <c r="A2899" s="1">
        <v>2897.0</v>
      </c>
      <c r="B2899" s="4" t="s">
        <v>4246</v>
      </c>
      <c r="C2899" s="5" t="str">
        <f>IFERROR(__xludf.DUMMYFUNCTION("GOOGLETRANSLATE(D:D,""auto"",""en"")"),"Zhong Nanshan talk about the resumption of work")</f>
        <v>Zhong Nanshan talk about the resumption of work</v>
      </c>
      <c r="D2899" s="4" t="s">
        <v>4321</v>
      </c>
      <c r="E2899" s="4">
        <v>0.0</v>
      </c>
      <c r="F2899" s="4">
        <v>48.0</v>
      </c>
      <c r="G2899" s="4" t="s">
        <v>4322</v>
      </c>
    </row>
    <row r="2900">
      <c r="A2900" s="1">
        <v>2898.0</v>
      </c>
      <c r="B2900" s="4" t="s">
        <v>4246</v>
      </c>
      <c r="C2900" s="5" t="str">
        <f>IFERROR(__xludf.DUMMYFUNCTION("GOOGLETRANSLATE(D:D,""auto"",""en"")"),"Central Organization Department to talk about party donations")</f>
        <v>Central Organization Department to talk about party donations</v>
      </c>
      <c r="D2900" s="4" t="s">
        <v>4240</v>
      </c>
      <c r="E2900" s="4">
        <v>0.0</v>
      </c>
      <c r="F2900" s="4">
        <v>49.0</v>
      </c>
      <c r="G2900" s="4" t="s">
        <v>4241</v>
      </c>
    </row>
    <row r="2901">
      <c r="A2901" s="1">
        <v>2899.0</v>
      </c>
      <c r="B2901" s="4" t="s">
        <v>4246</v>
      </c>
      <c r="C2901" s="5" t="str">
        <f>IFERROR(__xludf.DUMMYFUNCTION("GOOGLETRANSLATE(D:D,""auto"",""en"")"),"After the market to buy fish infection")</f>
        <v>After the market to buy fish infection</v>
      </c>
      <c r="D2901" s="4" t="s">
        <v>4178</v>
      </c>
      <c r="E2901" s="4">
        <v>0.0</v>
      </c>
      <c r="F2901" s="4">
        <v>50.0</v>
      </c>
      <c r="G2901" s="4" t="s">
        <v>4179</v>
      </c>
    </row>
    <row r="2902">
      <c r="A2902" s="1">
        <v>2900.0</v>
      </c>
      <c r="B2902" s="4" t="s">
        <v>4323</v>
      </c>
      <c r="C2902" s="5" t="str">
        <f>IFERROR(__xludf.DUMMYFUNCTION("GOOGLETRANSLATE(D:D,""auto"",""en"")"),"One hundred thousand ducks locust truth")</f>
        <v>One hundred thousand ducks locust truth</v>
      </c>
      <c r="D2902" s="4" t="s">
        <v>4289</v>
      </c>
      <c r="E2902" s="4">
        <v>0.0</v>
      </c>
      <c r="F2902" s="4">
        <v>1.0</v>
      </c>
      <c r="G2902" s="4" t="s">
        <v>4290</v>
      </c>
    </row>
    <row r="2903">
      <c r="A2903" s="1">
        <v>2901.0</v>
      </c>
      <c r="B2903" s="4" t="s">
        <v>4323</v>
      </c>
      <c r="C2903" s="5" t="str">
        <f>IFERROR(__xludf.DUMMYFUNCTION("GOOGLETRANSLATE(D:D,""auto"",""en"")"),"Taiwan 578 students fever")</f>
        <v>Taiwan 578 students fever</v>
      </c>
      <c r="D2903" s="4" t="s">
        <v>4293</v>
      </c>
      <c r="E2903" s="4">
        <v>0.0</v>
      </c>
      <c r="F2903" s="4">
        <v>2.0</v>
      </c>
      <c r="G2903" s="4" t="s">
        <v>4294</v>
      </c>
    </row>
    <row r="2904">
      <c r="A2904" s="1">
        <v>2902.0</v>
      </c>
      <c r="B2904" s="4" t="s">
        <v>4323</v>
      </c>
      <c r="C2904" s="5" t="str">
        <f>IFERROR(__xludf.DUMMYFUNCTION("GOOGLETRANSLATE(D:D,""auto"",""en"")"),"Experts judged the source of the new crown")</f>
        <v>Experts judged the source of the new crown</v>
      </c>
      <c r="D2904" s="4" t="s">
        <v>4324</v>
      </c>
      <c r="E2904" s="4">
        <v>0.0</v>
      </c>
      <c r="F2904" s="4">
        <v>3.0</v>
      </c>
      <c r="G2904" s="4" t="s">
        <v>4325</v>
      </c>
    </row>
    <row r="2905">
      <c r="A2905" s="1">
        <v>2903.0</v>
      </c>
      <c r="B2905" s="4" t="s">
        <v>4323</v>
      </c>
      <c r="C2905" s="5" t="str">
        <f>IFERROR(__xludf.DUMMYFUNCTION("GOOGLETRANSLATE(D:D,""auto"",""en"")"),"Han's daughter arrived from sound")</f>
        <v>Han's daughter arrived from sound</v>
      </c>
      <c r="D2905" s="4" t="s">
        <v>4287</v>
      </c>
      <c r="E2905" s="4">
        <v>0.0</v>
      </c>
      <c r="F2905" s="4">
        <v>4.0</v>
      </c>
      <c r="G2905" s="4" t="s">
        <v>4288</v>
      </c>
    </row>
    <row r="2906">
      <c r="A2906" s="1">
        <v>2904.0</v>
      </c>
      <c r="B2906" s="4" t="s">
        <v>4323</v>
      </c>
      <c r="C2906" s="5" t="str">
        <f>IFERROR(__xludf.DUMMYFUNCTION("GOOGLETRANSLATE(D:D,""auto"",""en"")"),"Cure patients with severe lung damage")</f>
        <v>Cure patients with severe lung damage</v>
      </c>
      <c r="D2906" s="4" t="s">
        <v>4291</v>
      </c>
      <c r="E2906" s="4">
        <v>0.0</v>
      </c>
      <c r="F2906" s="4">
        <v>5.0</v>
      </c>
      <c r="G2906" s="4" t="s">
        <v>4292</v>
      </c>
    </row>
    <row r="2907">
      <c r="A2907" s="1">
        <v>2905.0</v>
      </c>
      <c r="B2907" s="4" t="s">
        <v>4323</v>
      </c>
      <c r="C2907" s="5" t="str">
        <f>IFERROR(__xludf.DUMMYFUNCTION("GOOGLETRANSLATE(D:D,""auto"",""en"")"),"Masks to wear 1-2 months")</f>
        <v>Masks to wear 1-2 months</v>
      </c>
      <c r="D2907" s="4" t="s">
        <v>4299</v>
      </c>
      <c r="E2907" s="4">
        <v>0.0</v>
      </c>
      <c r="F2907" s="4">
        <v>6.0</v>
      </c>
      <c r="G2907" s="4" t="s">
        <v>4300</v>
      </c>
    </row>
    <row r="2908">
      <c r="A2908" s="1">
        <v>2906.0</v>
      </c>
      <c r="B2908" s="4" t="s">
        <v>4323</v>
      </c>
      <c r="C2908" s="5" t="str">
        <f>IFERROR(__xludf.DUMMYFUNCTION("GOOGLETRANSLATE(D:D,""auto"",""en"")"),"South Korea confirmed a single day's first super-China")</f>
        <v>South Korea confirmed a single day's first super-China</v>
      </c>
      <c r="D2908" s="4" t="s">
        <v>4326</v>
      </c>
      <c r="E2908" s="4">
        <v>0.0</v>
      </c>
      <c r="F2908" s="4">
        <v>7.0</v>
      </c>
      <c r="G2908" s="4" t="s">
        <v>4327</v>
      </c>
    </row>
    <row r="2909">
      <c r="A2909" s="1">
        <v>2907.0</v>
      </c>
      <c r="B2909" s="4" t="s">
        <v>4323</v>
      </c>
      <c r="C2909" s="5" t="str">
        <f>IFERROR(__xludf.DUMMYFUNCTION("GOOGLETRANSLATE(D:D,""auto"",""en"")"),"In principle, we continue to postpone the opening")</f>
        <v>In principle, we continue to postpone the opening</v>
      </c>
      <c r="D2909" s="4" t="s">
        <v>4297</v>
      </c>
      <c r="E2909" s="4">
        <v>0.0</v>
      </c>
      <c r="F2909" s="4">
        <v>8.0</v>
      </c>
      <c r="G2909" s="4" t="s">
        <v>4298</v>
      </c>
    </row>
    <row r="2910">
      <c r="A2910" s="1">
        <v>2908.0</v>
      </c>
      <c r="B2910" s="4" t="s">
        <v>4323</v>
      </c>
      <c r="C2910" s="5" t="str">
        <f>IFERROR(__xludf.DUMMYFUNCTION("GOOGLETRANSLATE(D:D,""auto"",""en"")"),"Mongolia presented 30,000 sheep")</f>
        <v>Mongolia presented 30,000 sheep</v>
      </c>
      <c r="D2910" s="4" t="s">
        <v>4328</v>
      </c>
      <c r="E2910" s="4">
        <v>0.0</v>
      </c>
      <c r="F2910" s="4">
        <v>9.0</v>
      </c>
      <c r="G2910" s="4" t="s">
        <v>4329</v>
      </c>
    </row>
    <row r="2911">
      <c r="A2911" s="1">
        <v>2909.0</v>
      </c>
      <c r="B2911" s="4" t="s">
        <v>4323</v>
      </c>
      <c r="C2911" s="5" t="str">
        <f>IFERROR(__xludf.DUMMYFUNCTION("GOOGLETRANSLATE(D:D,""auto"",""en"")"),"Wuhan Women's Prison picture exposure")</f>
        <v>Wuhan Women's Prison picture exposure</v>
      </c>
      <c r="D2911" s="4" t="s">
        <v>4330</v>
      </c>
      <c r="E2911" s="4">
        <v>0.0</v>
      </c>
      <c r="F2911" s="4">
        <v>10.0</v>
      </c>
      <c r="G2911" s="4" t="s">
        <v>4331</v>
      </c>
    </row>
    <row r="2912">
      <c r="A2912" s="1">
        <v>2910.0</v>
      </c>
      <c r="B2912" s="4" t="s">
        <v>4323</v>
      </c>
      <c r="C2912" s="5" t="str">
        <f>IFERROR(__xludf.DUMMYFUNCTION("GOOGLETRANSLATE(D:D,""auto"",""en"")"),"Beijing released six new regulations")</f>
        <v>Beijing released six new regulations</v>
      </c>
      <c r="D2912" s="4" t="s">
        <v>4332</v>
      </c>
      <c r="E2912" s="4">
        <v>0.0</v>
      </c>
      <c r="F2912" s="4">
        <v>11.0</v>
      </c>
      <c r="G2912" s="4" t="s">
        <v>4333</v>
      </c>
    </row>
    <row r="2913">
      <c r="A2913" s="1">
        <v>2911.0</v>
      </c>
      <c r="B2913" s="4" t="s">
        <v>4323</v>
      </c>
      <c r="C2913" s="5" t="str">
        <f>IFERROR(__xludf.DUMMYFUNCTION("GOOGLETRANSLATE(D:D,""auto"",""en"")"),"Huang Xiaoming as baby birthday")</f>
        <v>Huang Xiaoming as baby birthday</v>
      </c>
      <c r="D2913" s="4" t="s">
        <v>4334</v>
      </c>
      <c r="E2913" s="4">
        <v>0.0</v>
      </c>
      <c r="F2913" s="4">
        <v>12.0</v>
      </c>
      <c r="G2913" s="4" t="s">
        <v>4335</v>
      </c>
    </row>
    <row r="2914">
      <c r="A2914" s="1">
        <v>2912.0</v>
      </c>
      <c r="B2914" s="4" t="s">
        <v>4323</v>
      </c>
      <c r="C2914" s="5" t="str">
        <f>IFERROR(__xludf.DUMMYFUNCTION("GOOGLETRANSLATE(D:D,""auto"",""en"")"),"Liu Zhen Xin Long issued a document to talk about the disease")</f>
        <v>Liu Zhen Xin Long issued a document to talk about the disease</v>
      </c>
      <c r="D2914" s="4" t="s">
        <v>4336</v>
      </c>
      <c r="E2914" s="4">
        <v>0.0</v>
      </c>
      <c r="F2914" s="4">
        <v>13.0</v>
      </c>
      <c r="G2914" s="4" t="s">
        <v>4337</v>
      </c>
    </row>
    <row r="2915">
      <c r="A2915" s="1">
        <v>2913.0</v>
      </c>
      <c r="B2915" s="4" t="s">
        <v>4323</v>
      </c>
      <c r="C2915" s="5" t="str">
        <f>IFERROR(__xludf.DUMMYFUNCTION("GOOGLETRANSLATE(D:D,""auto"",""en"")"),"Bryant sister sun new tattoo")</f>
        <v>Bryant sister sun new tattoo</v>
      </c>
      <c r="D2915" s="4" t="s">
        <v>4338</v>
      </c>
      <c r="E2915" s="4">
        <v>0.0</v>
      </c>
      <c r="F2915" s="4">
        <v>14.0</v>
      </c>
      <c r="G2915" s="4" t="s">
        <v>4339</v>
      </c>
    </row>
    <row r="2916">
      <c r="A2916" s="1">
        <v>2914.0</v>
      </c>
      <c r="B2916" s="4" t="s">
        <v>4323</v>
      </c>
      <c r="C2916" s="5" t="str">
        <f>IFERROR(__xludf.DUMMYFUNCTION("GOOGLETRANSLATE(D:D,""auto"",""en"")"),"Antarctic snow appears watermelon")</f>
        <v>Antarctic snow appears watermelon</v>
      </c>
      <c r="D2916" s="4" t="s">
        <v>4340</v>
      </c>
      <c r="E2916" s="4">
        <v>0.0</v>
      </c>
      <c r="F2916" s="4">
        <v>15.0</v>
      </c>
      <c r="G2916" s="4" t="s">
        <v>4341</v>
      </c>
    </row>
    <row r="2917">
      <c r="A2917" s="1">
        <v>2915.0</v>
      </c>
      <c r="B2917" s="4" t="s">
        <v>4323</v>
      </c>
      <c r="C2917" s="5" t="str">
        <f>IFERROR(__xludf.DUMMYFUNCTION("GOOGLETRANSLATE(D:D,""auto"",""en"")"),"4900 TCM rush to the rescue Hubei")</f>
        <v>4900 TCM rush to the rescue Hubei</v>
      </c>
      <c r="D2917" s="4" t="s">
        <v>4342</v>
      </c>
      <c r="E2917" s="4">
        <v>0.0</v>
      </c>
      <c r="F2917" s="4">
        <v>16.0</v>
      </c>
      <c r="G2917" s="4" t="s">
        <v>4343</v>
      </c>
    </row>
    <row r="2918">
      <c r="A2918" s="1">
        <v>2916.0</v>
      </c>
      <c r="B2918" s="4" t="s">
        <v>4323</v>
      </c>
      <c r="C2918" s="5" t="str">
        <f>IFERROR(__xludf.DUMMYFUNCTION("GOOGLETRANSLATE(D:D,""auto"",""en"")"),"Dogs detect weakly positive")</f>
        <v>Dogs detect weakly positive</v>
      </c>
      <c r="D2918" s="4" t="s">
        <v>4344</v>
      </c>
      <c r="E2918" s="4">
        <v>0.0</v>
      </c>
      <c r="F2918" s="4">
        <v>17.0</v>
      </c>
      <c r="G2918" s="4" t="s">
        <v>4345</v>
      </c>
    </row>
    <row r="2919">
      <c r="A2919" s="1">
        <v>2917.0</v>
      </c>
      <c r="B2919" s="4" t="s">
        <v>4323</v>
      </c>
      <c r="C2919" s="5" t="str">
        <f>IFERROR(__xludf.DUMMYFUNCTION("GOOGLETRANSLATE(D:D,""auto"",""en"")"),"Ministry of Education, College Entrance postponed")</f>
        <v>Ministry of Education, College Entrance postponed</v>
      </c>
      <c r="D2919" s="4" t="s">
        <v>4346</v>
      </c>
      <c r="E2919" s="4">
        <v>0.0</v>
      </c>
      <c r="F2919" s="4">
        <v>18.0</v>
      </c>
      <c r="G2919" s="4" t="s">
        <v>4347</v>
      </c>
    </row>
    <row r="2920">
      <c r="A2920" s="1">
        <v>2918.0</v>
      </c>
      <c r="B2920" s="4" t="s">
        <v>4323</v>
      </c>
      <c r="C2920" s="5" t="str">
        <f>IFERROR(__xludf.DUMMYFUNCTION("GOOGLETRANSLATE(D:D,""auto"",""en"")"),"The new crown autopsy report")</f>
        <v>The new crown autopsy report</v>
      </c>
      <c r="D2920" s="4" t="s">
        <v>4348</v>
      </c>
      <c r="E2920" s="4">
        <v>0.0</v>
      </c>
      <c r="F2920" s="4">
        <v>19.0</v>
      </c>
      <c r="G2920" s="4" t="s">
        <v>4349</v>
      </c>
    </row>
    <row r="2921">
      <c r="A2921" s="1">
        <v>2919.0</v>
      </c>
      <c r="B2921" s="4" t="s">
        <v>4323</v>
      </c>
      <c r="C2921" s="5" t="str">
        <f>IFERROR(__xludf.DUMMYFUNCTION("GOOGLETRANSLATE(D:D,""auto"",""en"")"),"Korea nearly ten thousand soldiers were isolated")</f>
        <v>Korea nearly ten thousand soldiers were isolated</v>
      </c>
      <c r="D2921" s="4" t="s">
        <v>4350</v>
      </c>
      <c r="E2921" s="4">
        <v>0.0</v>
      </c>
      <c r="F2921" s="4">
        <v>20.0</v>
      </c>
      <c r="G2921" s="4" t="s">
        <v>4351</v>
      </c>
    </row>
    <row r="2922">
      <c r="A2922" s="1">
        <v>2920.0</v>
      </c>
      <c r="B2922" s="4" t="s">
        <v>4323</v>
      </c>
      <c r="C2922" s="5" t="str">
        <f>IFERROR(__xludf.DUMMYFUNCTION("GOOGLETRANSLATE(D:D,""auto"",""en"")"),"Turtles or potential host")</f>
        <v>Turtles or potential host</v>
      </c>
      <c r="D2922" s="4" t="s">
        <v>4352</v>
      </c>
      <c r="E2922" s="4">
        <v>0.0</v>
      </c>
      <c r="F2922" s="4">
        <v>21.0</v>
      </c>
      <c r="G2922" s="4" t="s">
        <v>4353</v>
      </c>
    </row>
    <row r="2923">
      <c r="A2923" s="1">
        <v>2921.0</v>
      </c>
      <c r="B2923" s="4" t="s">
        <v>4323</v>
      </c>
      <c r="C2923" s="5" t="str">
        <f>IFERROR(__xludf.DUMMYFUNCTION("GOOGLETRANSLATE(D:D,""auto"",""en"")"),"Yunxiang case the woman is now high vulnerability")</f>
        <v>Yunxiang case the woman is now high vulnerability</v>
      </c>
      <c r="D2923" s="4" t="s">
        <v>4354</v>
      </c>
      <c r="E2923" s="4">
        <v>0.0</v>
      </c>
      <c r="F2923" s="4">
        <v>22.0</v>
      </c>
      <c r="G2923" s="4" t="s">
        <v>4355</v>
      </c>
    </row>
    <row r="2924">
      <c r="A2924" s="1">
        <v>2922.0</v>
      </c>
      <c r="B2924" s="4" t="s">
        <v>4323</v>
      </c>
      <c r="C2924" s="5" t="str">
        <f>IFERROR(__xludf.DUMMYFUNCTION("GOOGLETRANSLATE(D:D,""auto"",""en"")"),"Vivian nurse sun shine")</f>
        <v>Vivian nurse sun shine</v>
      </c>
      <c r="D2924" s="4" t="s">
        <v>4356</v>
      </c>
      <c r="E2924" s="4">
        <v>0.0</v>
      </c>
      <c r="F2924" s="4">
        <v>23.0</v>
      </c>
      <c r="G2924" s="4" t="s">
        <v>4357</v>
      </c>
    </row>
    <row r="2925">
      <c r="A2925" s="1">
        <v>2923.0</v>
      </c>
      <c r="B2925" s="4" t="s">
        <v>4323</v>
      </c>
      <c r="C2925" s="5" t="str">
        <f>IFERROR(__xludf.DUMMYFUNCTION("GOOGLETRANSLATE(D:D,""auto"",""en"")"),"Gordon responded Wade")</f>
        <v>Gordon responded Wade</v>
      </c>
      <c r="D2925" s="4" t="s">
        <v>4358</v>
      </c>
      <c r="E2925" s="4">
        <v>0.0</v>
      </c>
      <c r="F2925" s="4">
        <v>24.0</v>
      </c>
      <c r="G2925" s="4" t="s">
        <v>4359</v>
      </c>
    </row>
    <row r="2926">
      <c r="A2926" s="1">
        <v>2924.0</v>
      </c>
      <c r="B2926" s="4" t="s">
        <v>4323</v>
      </c>
      <c r="C2926" s="5" t="str">
        <f>IFERROR(__xludf.DUMMYFUNCTION("GOOGLETRANSLATE(D:D,""auto"",""en"")"),"Iranian woman died of pneumonia internationals")</f>
        <v>Iranian woman died of pneumonia internationals</v>
      </c>
      <c r="D2926" s="4" t="s">
        <v>4360</v>
      </c>
      <c r="E2926" s="4">
        <v>0.0</v>
      </c>
      <c r="F2926" s="4">
        <v>25.0</v>
      </c>
      <c r="G2926" s="4" t="s">
        <v>4361</v>
      </c>
    </row>
    <row r="2927">
      <c r="A2927" s="1">
        <v>2925.0</v>
      </c>
      <c r="B2927" s="4" t="s">
        <v>4323</v>
      </c>
      <c r="C2927" s="5" t="str">
        <f>IFERROR(__xludf.DUMMYFUNCTION("GOOGLETRANSLATE(D:D,""auto"",""en"")"),"New virus detected in tears crown")</f>
        <v>New virus detected in tears crown</v>
      </c>
      <c r="D2927" s="4" t="s">
        <v>4362</v>
      </c>
      <c r="E2927" s="4">
        <v>0.0</v>
      </c>
      <c r="F2927" s="4">
        <v>26.0</v>
      </c>
      <c r="G2927" s="4" t="s">
        <v>4363</v>
      </c>
    </row>
    <row r="2928">
      <c r="A2928" s="1">
        <v>2926.0</v>
      </c>
      <c r="B2928" s="4" t="s">
        <v>4323</v>
      </c>
      <c r="C2928" s="5" t="str">
        <f>IFERROR(__xludf.DUMMYFUNCTION("GOOGLETRANSLATE(D:D,""auto"",""en"")"),"Xi'an 338 people were accountable")</f>
        <v>Xi'an 338 people were accountable</v>
      </c>
      <c r="D2928" s="4" t="s">
        <v>4364</v>
      </c>
      <c r="E2928" s="4">
        <v>0.0</v>
      </c>
      <c r="F2928" s="4">
        <v>27.0</v>
      </c>
      <c r="G2928" s="4" t="s">
        <v>4365</v>
      </c>
    </row>
    <row r="2929">
      <c r="A2929" s="1">
        <v>2927.0</v>
      </c>
      <c r="B2929" s="4" t="s">
        <v>4323</v>
      </c>
      <c r="C2929" s="5" t="str">
        <f>IFERROR(__xludf.DUMMYFUNCTION("GOOGLETRANSLATE(D:D,""auto"",""en"")"),"Sun Yang was banned for eight years")</f>
        <v>Sun Yang was banned for eight years</v>
      </c>
      <c r="D2929" s="4" t="s">
        <v>4366</v>
      </c>
      <c r="E2929" s="4">
        <v>0.0</v>
      </c>
      <c r="F2929" s="4">
        <v>28.0</v>
      </c>
      <c r="G2929" s="4" t="s">
        <v>4367</v>
      </c>
    </row>
    <row r="2930">
      <c r="A2930" s="1">
        <v>2928.0</v>
      </c>
      <c r="B2930" s="4" t="s">
        <v>4323</v>
      </c>
      <c r="C2930" s="5" t="str">
        <f>IFERROR(__xludf.DUMMYFUNCTION("GOOGLETRANSLATE(D:D,""auto"",""en"")"),"New single digits outside Hubei")</f>
        <v>New single digits outside Hubei</v>
      </c>
      <c r="D2930" s="4" t="s">
        <v>4368</v>
      </c>
      <c r="E2930" s="4">
        <v>0.0</v>
      </c>
      <c r="F2930" s="4">
        <v>29.0</v>
      </c>
      <c r="G2930" s="4" t="s">
        <v>4369</v>
      </c>
    </row>
    <row r="2931">
      <c r="A2931" s="1">
        <v>2929.0</v>
      </c>
      <c r="B2931" s="4" t="s">
        <v>4323</v>
      </c>
      <c r="C2931" s="5" t="str">
        <f>IFERROR(__xludf.DUMMYFUNCTION("GOOGLETRANSLATE(D:D,""auto"",""en"")"),"Xuzhou patients discharged from hospital and diagnosed")</f>
        <v>Xuzhou patients discharged from hospital and diagnosed</v>
      </c>
      <c r="D2931" s="4" t="s">
        <v>4370</v>
      </c>
      <c r="E2931" s="4">
        <v>0.0</v>
      </c>
      <c r="F2931" s="4">
        <v>30.0</v>
      </c>
      <c r="G2931" s="4" t="s">
        <v>4371</v>
      </c>
    </row>
    <row r="2932">
      <c r="A2932" s="1">
        <v>2930.0</v>
      </c>
      <c r="B2932" s="4" t="s">
        <v>4323</v>
      </c>
      <c r="C2932" s="5" t="str">
        <f>IFERROR(__xludf.DUMMYFUNCTION("GOOGLETRANSLATE(D:D,""auto"",""en"")"),"California 33 people tested positive")</f>
        <v>California 33 people tested positive</v>
      </c>
      <c r="D2932" s="4" t="s">
        <v>4372</v>
      </c>
      <c r="E2932" s="4">
        <v>0.0</v>
      </c>
      <c r="F2932" s="4">
        <v>31.0</v>
      </c>
      <c r="G2932" s="4" t="s">
        <v>4373</v>
      </c>
    </row>
    <row r="2933">
      <c r="A2933" s="1">
        <v>2931.0</v>
      </c>
      <c r="B2933" s="4" t="s">
        <v>4323</v>
      </c>
      <c r="C2933" s="5" t="str">
        <f>IFERROR(__xludf.DUMMYFUNCTION("GOOGLETRANSLATE(D:D,""auto"",""en"")"),"Japan garbage discovered large sums of money")</f>
        <v>Japan garbage discovered large sums of money</v>
      </c>
      <c r="D2933" s="4" t="s">
        <v>4319</v>
      </c>
      <c r="E2933" s="4">
        <v>0.0</v>
      </c>
      <c r="F2933" s="4">
        <v>32.0</v>
      </c>
      <c r="G2933" s="4" t="s">
        <v>4320</v>
      </c>
    </row>
    <row r="2934">
      <c r="A2934" s="1">
        <v>2932.0</v>
      </c>
      <c r="B2934" s="4" t="s">
        <v>4323</v>
      </c>
      <c r="C2934" s="5" t="str">
        <f>IFERROR(__xludf.DUMMYFUNCTION("GOOGLETRANSLATE(D:D,""auto"",""en"")"),"Google hopes to cooperate with Huawei")</f>
        <v>Google hopes to cooperate with Huawei</v>
      </c>
      <c r="D2934" s="4" t="s">
        <v>4307</v>
      </c>
      <c r="E2934" s="4">
        <v>0.0</v>
      </c>
      <c r="F2934" s="4">
        <v>33.0</v>
      </c>
      <c r="G2934" s="4" t="s">
        <v>4308</v>
      </c>
    </row>
    <row r="2935">
      <c r="A2935" s="1">
        <v>2933.0</v>
      </c>
      <c r="B2935" s="4" t="s">
        <v>4323</v>
      </c>
      <c r="C2935" s="5" t="str">
        <f>IFERROR(__xludf.DUMMYFUNCTION("GOOGLETRANSLATE(D:D,""auto"",""en"")"),"IQIYI to the debtor")</f>
        <v>IQIYI to the debtor</v>
      </c>
      <c r="D2935" s="4" t="s">
        <v>4374</v>
      </c>
      <c r="E2935" s="4">
        <v>0.0</v>
      </c>
      <c r="F2935" s="4">
        <v>34.0</v>
      </c>
      <c r="G2935" s="4" t="s">
        <v>4375</v>
      </c>
    </row>
    <row r="2936">
      <c r="A2936" s="1">
        <v>2934.0</v>
      </c>
      <c r="B2936" s="4" t="s">
        <v>4323</v>
      </c>
      <c r="C2936" s="5" t="str">
        <f>IFERROR(__xludf.DUMMYFUNCTION("GOOGLETRANSLATE(D:D,""auto"",""en"")"),"Bryant part of the relics will be auctioned")</f>
        <v>Bryant part of the relics will be auctioned</v>
      </c>
      <c r="D2936" s="4" t="s">
        <v>4376</v>
      </c>
      <c r="E2936" s="4">
        <v>0.0</v>
      </c>
      <c r="F2936" s="4">
        <v>35.0</v>
      </c>
      <c r="G2936" s="4" t="s">
        <v>4377</v>
      </c>
    </row>
    <row r="2937">
      <c r="A2937" s="1">
        <v>2935.0</v>
      </c>
      <c r="B2937" s="4" t="s">
        <v>4323</v>
      </c>
      <c r="C2937" s="5" t="str">
        <f>IFERROR(__xludf.DUMMYFUNCTION("GOOGLETRANSLATE(D:D,""auto"",""en"")"),"Tsingtao Brewery president was removed from office")</f>
        <v>Tsingtao Brewery president was removed from office</v>
      </c>
      <c r="D2937" s="4" t="s">
        <v>4378</v>
      </c>
      <c r="E2937" s="4">
        <v>0.0</v>
      </c>
      <c r="F2937" s="4">
        <v>36.0</v>
      </c>
      <c r="G2937" s="4" t="s">
        <v>4379</v>
      </c>
    </row>
    <row r="2938">
      <c r="A2938" s="1">
        <v>2936.0</v>
      </c>
      <c r="B2938" s="4" t="s">
        <v>4323</v>
      </c>
      <c r="C2938" s="5" t="str">
        <f>IFERROR(__xludf.DUMMYFUNCTION("GOOGLETRANSLATE(D:D,""auto"",""en"")"),"Sun Yang response Swimming Association suspended")</f>
        <v>Sun Yang response Swimming Association suspended</v>
      </c>
      <c r="D2938" s="4" t="s">
        <v>4380</v>
      </c>
      <c r="E2938" s="4">
        <v>0.0</v>
      </c>
      <c r="F2938" s="4">
        <v>37.0</v>
      </c>
      <c r="G2938" s="4" t="s">
        <v>4381</v>
      </c>
    </row>
    <row r="2939">
      <c r="A2939" s="1">
        <v>2937.0</v>
      </c>
      <c r="B2939" s="4" t="s">
        <v>4323</v>
      </c>
      <c r="C2939" s="5" t="str">
        <f>IFERROR(__xludf.DUMMYFUNCTION("GOOGLETRANSLATE(D:D,""auto"",""en"")"),"Zhang Yixing donations Korea")</f>
        <v>Zhang Yixing donations Korea</v>
      </c>
      <c r="D2939" s="4" t="s">
        <v>4382</v>
      </c>
      <c r="E2939" s="4">
        <v>0.0</v>
      </c>
      <c r="F2939" s="4">
        <v>38.0</v>
      </c>
      <c r="G2939" s="4" t="s">
        <v>4383</v>
      </c>
    </row>
    <row r="2940">
      <c r="A2940" s="1">
        <v>2938.0</v>
      </c>
      <c r="B2940" s="4" t="s">
        <v>4323</v>
      </c>
      <c r="C2940" s="5" t="str">
        <f>IFERROR(__xludf.DUMMYFUNCTION("GOOGLETRANSLATE(D:D,""auto"",""en"")"),"Sun Yang response was banned for eight years")</f>
        <v>Sun Yang response was banned for eight years</v>
      </c>
      <c r="D2940" s="4" t="s">
        <v>4384</v>
      </c>
      <c r="E2940" s="4">
        <v>0.0</v>
      </c>
      <c r="F2940" s="4">
        <v>39.0</v>
      </c>
      <c r="G2940" s="4" t="s">
        <v>4385</v>
      </c>
    </row>
    <row r="2941">
      <c r="A2941" s="1">
        <v>2939.0</v>
      </c>
      <c r="B2941" s="4" t="s">
        <v>4323</v>
      </c>
      <c r="C2941" s="5" t="str">
        <f>IFERROR(__xludf.DUMMYFUNCTION("GOOGLETRANSLATE(D:D,""auto"",""en"")"),"Australia is now rare under downburst")</f>
        <v>Australia is now rare under downburst</v>
      </c>
      <c r="D2941" s="4" t="s">
        <v>4386</v>
      </c>
      <c r="E2941" s="4">
        <v>0.0</v>
      </c>
      <c r="F2941" s="4">
        <v>40.0</v>
      </c>
      <c r="G2941" s="4" t="s">
        <v>4387</v>
      </c>
    </row>
    <row r="2942">
      <c r="A2942" s="1">
        <v>2940.0</v>
      </c>
      <c r="B2942" s="4" t="s">
        <v>4323</v>
      </c>
      <c r="C2942" s="5" t="str">
        <f>IFERROR(__xludf.DUMMYFUNCTION("GOOGLETRANSLATE(D:D,""auto"",""en"")"),"The resumption of work-induced rebound dealt with severely")</f>
        <v>The resumption of work-induced rebound dealt with severely</v>
      </c>
      <c r="D2942" s="4" t="s">
        <v>4388</v>
      </c>
      <c r="E2942" s="4">
        <v>0.0</v>
      </c>
      <c r="F2942" s="4">
        <v>41.0</v>
      </c>
      <c r="G2942" s="4" t="s">
        <v>4389</v>
      </c>
    </row>
    <row r="2943">
      <c r="A2943" s="1">
        <v>2941.0</v>
      </c>
      <c r="B2943" s="4" t="s">
        <v>4323</v>
      </c>
      <c r="C2943" s="5" t="str">
        <f>IFERROR(__xludf.DUMMYFUNCTION("GOOGLETRANSLATE(D:D,""auto"",""en"")"),"Locusts swept more than 20 countries")</f>
        <v>Locusts swept more than 20 countries</v>
      </c>
      <c r="D2943" s="4" t="s">
        <v>4277</v>
      </c>
      <c r="E2943" s="4">
        <v>0.0</v>
      </c>
      <c r="F2943" s="4">
        <v>42.0</v>
      </c>
      <c r="G2943" s="4" t="s">
        <v>4278</v>
      </c>
    </row>
    <row r="2944">
      <c r="A2944" s="1">
        <v>2942.0</v>
      </c>
      <c r="B2944" s="4" t="s">
        <v>4323</v>
      </c>
      <c r="C2944" s="5" t="str">
        <f>IFERROR(__xludf.DUMMYFUNCTION("GOOGLETRANSLATE(D:D,""auto"",""en"")"),"Wei health committee to talk about the epidemic inflection point")</f>
        <v>Wei health committee to talk about the epidemic inflection point</v>
      </c>
      <c r="D2944" s="4" t="s">
        <v>4390</v>
      </c>
      <c r="E2944" s="4">
        <v>0.0</v>
      </c>
      <c r="F2944" s="4">
        <v>43.0</v>
      </c>
      <c r="G2944" s="4" t="s">
        <v>4391</v>
      </c>
    </row>
    <row r="2945">
      <c r="A2945" s="1">
        <v>2943.0</v>
      </c>
      <c r="B2945" s="4" t="s">
        <v>4323</v>
      </c>
      <c r="C2945" s="5" t="str">
        <f>IFERROR(__xludf.DUMMYFUNCTION("GOOGLETRANSLATE(D:D,""auto"",""en"")"),"Hua Chunying made representations to the United States")</f>
        <v>Hua Chunying made representations to the United States</v>
      </c>
      <c r="D2945" s="4" t="s">
        <v>4267</v>
      </c>
      <c r="E2945" s="4">
        <v>0.0</v>
      </c>
      <c r="F2945" s="4">
        <v>44.0</v>
      </c>
      <c r="G2945" s="4" t="s">
        <v>4268</v>
      </c>
    </row>
    <row r="2946">
      <c r="A2946" s="1">
        <v>2944.0</v>
      </c>
      <c r="B2946" s="4" t="s">
        <v>4323</v>
      </c>
      <c r="C2946" s="5" t="str">
        <f>IFERROR(__xludf.DUMMYFUNCTION("GOOGLETRANSLATE(D:D,""auto"",""en"")"),"Xu Jun killed 33 soldiers")</f>
        <v>Xu Jun killed 33 soldiers</v>
      </c>
      <c r="D2946" s="4" t="s">
        <v>4392</v>
      </c>
      <c r="E2946" s="4">
        <v>0.0</v>
      </c>
      <c r="F2946" s="4">
        <v>45.0</v>
      </c>
      <c r="G2946" s="4" t="s">
        <v>4393</v>
      </c>
    </row>
    <row r="2947">
      <c r="A2947" s="1">
        <v>2945.0</v>
      </c>
      <c r="B2947" s="4" t="s">
        <v>4323</v>
      </c>
      <c r="C2947" s="5" t="str">
        <f>IFERROR(__xludf.DUMMYFUNCTION("GOOGLETRANSLATE(D:D,""auto"",""en"")"),"The real version of The Truman Show")</f>
        <v>The real version of The Truman Show</v>
      </c>
      <c r="D2947" s="4" t="s">
        <v>4394</v>
      </c>
      <c r="E2947" s="4">
        <v>0.0</v>
      </c>
      <c r="F2947" s="4">
        <v>46.0</v>
      </c>
      <c r="G2947" s="4" t="s">
        <v>4395</v>
      </c>
    </row>
    <row r="2948">
      <c r="A2948" s="1">
        <v>2946.0</v>
      </c>
      <c r="B2948" s="4" t="s">
        <v>4323</v>
      </c>
      <c r="C2948" s="5" t="str">
        <f>IFERROR(__xludf.DUMMYFUNCTION("GOOGLETRANSLATE(D:D,""auto"",""en"")"),"Lin Ling escaped murderer case details")</f>
        <v>Lin Ling escaped murderer case details</v>
      </c>
      <c r="D2948" s="4" t="s">
        <v>4396</v>
      </c>
      <c r="E2948" s="4">
        <v>0.0</v>
      </c>
      <c r="F2948" s="4">
        <v>47.0</v>
      </c>
      <c r="G2948" s="4" t="s">
        <v>4397</v>
      </c>
    </row>
    <row r="2949">
      <c r="A2949" s="1">
        <v>2947.0</v>
      </c>
      <c r="B2949" s="4" t="s">
        <v>4323</v>
      </c>
      <c r="C2949" s="5" t="str">
        <f>IFERROR(__xludf.DUMMYFUNCTION("GOOGLETRANSLATE(D:D,""auto"",""en"")"),"Jingmen secretary of the mayor position")</f>
        <v>Jingmen secretary of the mayor position</v>
      </c>
      <c r="D2949" s="4" t="s">
        <v>4398</v>
      </c>
      <c r="E2949" s="4">
        <v>0.0</v>
      </c>
      <c r="F2949" s="4">
        <v>48.0</v>
      </c>
      <c r="G2949" s="4" t="s">
        <v>4399</v>
      </c>
    </row>
    <row r="2950">
      <c r="A2950" s="1">
        <v>2948.0</v>
      </c>
      <c r="B2950" s="4" t="s">
        <v>4323</v>
      </c>
      <c r="C2950" s="5" t="str">
        <f>IFERROR(__xludf.DUMMYFUNCTION("GOOGLETRANSLATE(D:D,""auto"",""en"")"),"12 Hubei new ground zero")</f>
        <v>12 Hubei new ground zero</v>
      </c>
      <c r="D2950" s="4" t="s">
        <v>4400</v>
      </c>
      <c r="E2950" s="4">
        <v>0.0</v>
      </c>
      <c r="F2950" s="4">
        <v>49.0</v>
      </c>
      <c r="G2950" s="4" t="s">
        <v>4401</v>
      </c>
    </row>
    <row r="2951">
      <c r="A2951" s="1">
        <v>2949.0</v>
      </c>
      <c r="B2951" s="4" t="s">
        <v>4323</v>
      </c>
      <c r="C2951" s="5" t="str">
        <f>IFERROR(__xludf.DUMMYFUNCTION("GOOGLETRANSLATE(D:D,""auto"",""en"")"),"Wang Fei lawyer released a statement")</f>
        <v>Wang Fei lawyer released a statement</v>
      </c>
      <c r="D2951" s="4" t="s">
        <v>4261</v>
      </c>
      <c r="E2951" s="4">
        <v>0.0</v>
      </c>
      <c r="F2951" s="4">
        <v>50.0</v>
      </c>
      <c r="G2951" s="4" t="s">
        <v>4262</v>
      </c>
    </row>
    <row r="2952">
      <c r="A2952" s="1">
        <v>2950.0</v>
      </c>
      <c r="B2952" s="4" t="s">
        <v>4402</v>
      </c>
      <c r="C2952" s="5" t="str">
        <f>IFERROR(__xludf.DUMMYFUNCTION("GOOGLETRANSLATE(D:D,""auto"",""en"")"),"Australia is now rare under downburst")</f>
        <v>Australia is now rare under downburst</v>
      </c>
      <c r="D2952" s="4" t="s">
        <v>4386</v>
      </c>
      <c r="E2952" s="4">
        <v>0.0</v>
      </c>
      <c r="F2952" s="4">
        <v>1.0</v>
      </c>
      <c r="G2952" s="4" t="s">
        <v>4387</v>
      </c>
    </row>
    <row r="2953">
      <c r="A2953" s="1">
        <v>2951.0</v>
      </c>
      <c r="B2953" s="4" t="s">
        <v>4402</v>
      </c>
      <c r="C2953" s="5" t="str">
        <f>IFERROR(__xludf.DUMMYFUNCTION("GOOGLETRANSLATE(D:D,""auto"",""en"")"),"US N95 masks price increases 5 times")</f>
        <v>US N95 masks price increases 5 times</v>
      </c>
      <c r="D2953" s="4" t="s">
        <v>4403</v>
      </c>
      <c r="E2953" s="4">
        <v>0.0</v>
      </c>
      <c r="F2953" s="4">
        <v>2.0</v>
      </c>
      <c r="G2953" s="4" t="s">
        <v>4404</v>
      </c>
    </row>
    <row r="2954">
      <c r="A2954" s="1">
        <v>2952.0</v>
      </c>
      <c r="B2954" s="4" t="s">
        <v>4402</v>
      </c>
      <c r="C2954" s="5" t="str">
        <f>IFERROR(__xludf.DUMMYFUNCTION("GOOGLETRANSLATE(D:D,""auto"",""en"")"),"California 33 people tested positive")</f>
        <v>California 33 people tested positive</v>
      </c>
      <c r="D2954" s="4" t="s">
        <v>4372</v>
      </c>
      <c r="E2954" s="4">
        <v>0.0</v>
      </c>
      <c r="F2954" s="4">
        <v>3.0</v>
      </c>
      <c r="G2954" s="4" t="s">
        <v>4373</v>
      </c>
    </row>
    <row r="2955">
      <c r="A2955" s="1">
        <v>2953.0</v>
      </c>
      <c r="B2955" s="4" t="s">
        <v>4402</v>
      </c>
      <c r="C2955" s="5" t="str">
        <f>IFERROR(__xludf.DUMMYFUNCTION("GOOGLETRANSLATE(D:D,""auto"",""en"")"),"China sent a group of experts to Iran")</f>
        <v>China sent a group of experts to Iran</v>
      </c>
      <c r="D2955" s="4" t="s">
        <v>4405</v>
      </c>
      <c r="E2955" s="4">
        <v>0.0</v>
      </c>
      <c r="F2955" s="4">
        <v>4.0</v>
      </c>
      <c r="G2955" s="4" t="s">
        <v>4406</v>
      </c>
    </row>
    <row r="2956">
      <c r="A2956" s="1">
        <v>2954.0</v>
      </c>
      <c r="B2956" s="4" t="s">
        <v>4402</v>
      </c>
      <c r="C2956" s="5" t="str">
        <f>IFERROR(__xludf.DUMMYFUNCTION("GOOGLETRANSLATE(D:D,""auto"",""en"")"),"Security warning LDC United States")</f>
        <v>Security warning LDC United States</v>
      </c>
      <c r="D2956" s="4" t="s">
        <v>4407</v>
      </c>
      <c r="E2956" s="4">
        <v>0.0</v>
      </c>
      <c r="F2956" s="4">
        <v>5.0</v>
      </c>
      <c r="G2956" s="4" t="s">
        <v>4408</v>
      </c>
    </row>
    <row r="2957">
      <c r="A2957" s="1">
        <v>2955.0</v>
      </c>
      <c r="B2957" s="4" t="s">
        <v>4402</v>
      </c>
      <c r="C2957" s="5" t="str">
        <f>IFERROR(__xludf.DUMMYFUNCTION("GOOGLETRANSLATE(D:D,""auto"",""en"")"),"Iran is approaching the peak of the epidemic")</f>
        <v>Iran is approaching the peak of the epidemic</v>
      </c>
      <c r="D2957" s="4" t="s">
        <v>4409</v>
      </c>
      <c r="E2957" s="4">
        <v>0.0</v>
      </c>
      <c r="F2957" s="4">
        <v>6.0</v>
      </c>
      <c r="G2957" s="4" t="s">
        <v>4410</v>
      </c>
    </row>
    <row r="2958">
      <c r="A2958" s="1">
        <v>2956.0</v>
      </c>
      <c r="B2958" s="4" t="s">
        <v>4402</v>
      </c>
      <c r="C2958" s="5" t="str">
        <f>IFERROR(__xludf.DUMMYFUNCTION("GOOGLETRANSLATE(D:D,""auto"",""en"")"),"National new cases of 427 cases")</f>
        <v>National new cases of 427 cases</v>
      </c>
      <c r="D2958" s="4" t="s">
        <v>4411</v>
      </c>
      <c r="E2958" s="4">
        <v>0.0</v>
      </c>
      <c r="F2958" s="4">
        <v>7.0</v>
      </c>
      <c r="G2958" s="4" t="s">
        <v>4412</v>
      </c>
    </row>
    <row r="2959">
      <c r="A2959" s="1">
        <v>2957.0</v>
      </c>
      <c r="B2959" s="4" t="s">
        <v>4402</v>
      </c>
      <c r="C2959" s="5" t="str">
        <f>IFERROR(__xludf.DUMMYFUNCTION("GOOGLETRANSLATE(D:D,""auto"",""en"")"),"The resumption of work-induced rebound dealt with severely")</f>
        <v>The resumption of work-induced rebound dealt with severely</v>
      </c>
      <c r="D2959" s="4" t="s">
        <v>4388</v>
      </c>
      <c r="E2959" s="4">
        <v>0.0</v>
      </c>
      <c r="F2959" s="4">
        <v>8.0</v>
      </c>
      <c r="G2959" s="4" t="s">
        <v>4389</v>
      </c>
    </row>
    <row r="2960">
      <c r="A2960" s="1">
        <v>2958.0</v>
      </c>
      <c r="B2960" s="4" t="s">
        <v>4402</v>
      </c>
      <c r="C2960" s="5" t="str">
        <f>IFERROR(__xludf.DUMMYFUNCTION("GOOGLETRANSLATE(D:D,""auto"",""en"")"),"Army to suspend some activities")</f>
        <v>Army to suspend some activities</v>
      </c>
      <c r="D2960" s="4" t="s">
        <v>4413</v>
      </c>
      <c r="E2960" s="4">
        <v>0.0</v>
      </c>
      <c r="F2960" s="4">
        <v>9.0</v>
      </c>
      <c r="G2960" s="4" t="s">
        <v>4414</v>
      </c>
    </row>
    <row r="2961">
      <c r="A2961" s="1">
        <v>2959.0</v>
      </c>
      <c r="B2961" s="4" t="s">
        <v>4402</v>
      </c>
      <c r="C2961" s="5" t="str">
        <f>IFERROR(__xludf.DUMMYFUNCTION("GOOGLETRANSLATE(D:D,""auto"",""en"")"),"South Korean artist traced isolation")</f>
        <v>South Korean artist traced isolation</v>
      </c>
      <c r="D2961" s="4" t="s">
        <v>4415</v>
      </c>
      <c r="E2961" s="4">
        <v>0.0</v>
      </c>
      <c r="F2961" s="4">
        <v>10.0</v>
      </c>
      <c r="G2961" s="4" t="s">
        <v>4416</v>
      </c>
    </row>
    <row r="2962">
      <c r="A2962" s="1">
        <v>2960.0</v>
      </c>
      <c r="B2962" s="4" t="s">
        <v>4402</v>
      </c>
      <c r="C2962" s="5" t="str">
        <f>IFERROR(__xludf.DUMMYFUNCTION("GOOGLETRANSLATE(D:D,""auto"",""en"")"),"Gates issued a document to talk about the new crown pneumonia")</f>
        <v>Gates issued a document to talk about the new crown pneumonia</v>
      </c>
      <c r="D2962" s="4" t="s">
        <v>4417</v>
      </c>
      <c r="E2962" s="4">
        <v>0.0</v>
      </c>
      <c r="F2962" s="4">
        <v>11.0</v>
      </c>
      <c r="G2962" s="4" t="s">
        <v>4418</v>
      </c>
    </row>
    <row r="2963">
      <c r="A2963" s="1">
        <v>2961.0</v>
      </c>
      <c r="B2963" s="4" t="s">
        <v>4402</v>
      </c>
      <c r="C2963" s="5" t="str">
        <f>IFERROR(__xludf.DUMMYFUNCTION("GOOGLETRANSLATE(D:D,""auto"",""en"")"),"Trump said the epidemic has been exaggerated")</f>
        <v>Trump said the epidemic has been exaggerated</v>
      </c>
      <c r="D2963" s="4" t="s">
        <v>4419</v>
      </c>
      <c r="E2963" s="4">
        <v>0.0</v>
      </c>
      <c r="F2963" s="4">
        <v>12.0</v>
      </c>
      <c r="G2963" s="4" t="s">
        <v>4420</v>
      </c>
    </row>
    <row r="2964">
      <c r="A2964" s="1">
        <v>2962.0</v>
      </c>
      <c r="B2964" s="4" t="s">
        <v>4402</v>
      </c>
      <c r="C2964" s="5" t="str">
        <f>IFERROR(__xludf.DUMMYFUNCTION("GOOGLETRANSLATE(D:D,""auto"",""en"")"),"FF grab more landing rights in China")</f>
        <v>FF grab more landing rights in China</v>
      </c>
      <c r="D2964" s="4" t="s">
        <v>4421</v>
      </c>
      <c r="E2964" s="4">
        <v>0.0</v>
      </c>
      <c r="F2964" s="4">
        <v>13.0</v>
      </c>
      <c r="G2964" s="4" t="s">
        <v>4422</v>
      </c>
    </row>
    <row r="2965">
      <c r="A2965" s="1">
        <v>2963.0</v>
      </c>
      <c r="B2965" s="4" t="s">
        <v>4402</v>
      </c>
      <c r="C2965" s="5" t="str">
        <f>IFERROR(__xludf.DUMMYFUNCTION("GOOGLETRANSLATE(D:D,""auto"",""en"")"),"South Korea is now secondary infections in patients")</f>
        <v>South Korea is now secondary infections in patients</v>
      </c>
      <c r="D2965" s="4" t="s">
        <v>4423</v>
      </c>
      <c r="E2965" s="4">
        <v>0.0</v>
      </c>
      <c r="F2965" s="4">
        <v>14.0</v>
      </c>
      <c r="G2965" s="4" t="s">
        <v>4424</v>
      </c>
    </row>
    <row r="2966">
      <c r="A2966" s="1">
        <v>2964.0</v>
      </c>
      <c r="B2966" s="4" t="s">
        <v>4402</v>
      </c>
      <c r="C2966" s="5" t="str">
        <f>IFERROR(__xludf.DUMMYFUNCTION("GOOGLETRANSLATE(D:D,""auto"",""en"")"),"Taiwan's new cases of five cases")</f>
        <v>Taiwan's new cases of five cases</v>
      </c>
      <c r="D2966" s="4" t="s">
        <v>4425</v>
      </c>
      <c r="E2966" s="4">
        <v>0.0</v>
      </c>
      <c r="F2966" s="4">
        <v>15.0</v>
      </c>
      <c r="G2966" s="4" t="s">
        <v>4426</v>
      </c>
    </row>
    <row r="2967">
      <c r="A2967" s="1">
        <v>2965.0</v>
      </c>
      <c r="B2967" s="4" t="s">
        <v>4402</v>
      </c>
      <c r="C2967" s="5" t="str">
        <f>IFERROR(__xludf.DUMMYFUNCTION("GOOGLETRANSLATE(D:D,""auto"",""en"")"),"The new crown global epidemic risk")</f>
        <v>The new crown global epidemic risk</v>
      </c>
      <c r="D2967" s="4" t="s">
        <v>4427</v>
      </c>
      <c r="E2967" s="4">
        <v>0.0</v>
      </c>
      <c r="F2967" s="4">
        <v>16.0</v>
      </c>
      <c r="G2967" s="4" t="s">
        <v>4428</v>
      </c>
    </row>
    <row r="2968">
      <c r="A2968" s="1">
        <v>2966.0</v>
      </c>
      <c r="B2968" s="4" t="s">
        <v>4402</v>
      </c>
      <c r="C2968" s="5" t="str">
        <f>IFERROR(__xludf.DUMMYFUNCTION("GOOGLETRANSLATE(D:D,""auto"",""en"")"),"South Korea one day add 813 cases")</f>
        <v>South Korea one day add 813 cases</v>
      </c>
      <c r="D2968" s="4" t="s">
        <v>4429</v>
      </c>
      <c r="E2968" s="4">
        <v>0.0</v>
      </c>
      <c r="F2968" s="4">
        <v>17.0</v>
      </c>
      <c r="G2968" s="4" t="s">
        <v>4430</v>
      </c>
    </row>
    <row r="2969">
      <c r="A2969" s="1">
        <v>2967.0</v>
      </c>
      <c r="B2969" s="4" t="s">
        <v>4402</v>
      </c>
      <c r="C2969" s="5" t="str">
        <f>IFERROR(__xludf.DUMMYFUNCTION("GOOGLETRANSLATE(D:D,""auto"",""en"")"),"Beijing will be allowed to propose three")</f>
        <v>Beijing will be allowed to propose three</v>
      </c>
      <c r="D2969" s="4" t="s">
        <v>4431</v>
      </c>
      <c r="E2969" s="4">
        <v>0.0</v>
      </c>
      <c r="F2969" s="4">
        <v>18.0</v>
      </c>
      <c r="G2969" s="4" t="s">
        <v>4432</v>
      </c>
    </row>
    <row r="2970">
      <c r="A2970" s="1">
        <v>2968.0</v>
      </c>
      <c r="B2970" s="4" t="s">
        <v>4402</v>
      </c>
      <c r="C2970" s="5" t="str">
        <f>IFERROR(__xludf.DUMMYFUNCTION("GOOGLETRANSLATE(D:D,""auto"",""en"")"),"Sichuan province's Middle School reopened synchronization")</f>
        <v>Sichuan province's Middle School reopened synchronization</v>
      </c>
      <c r="D2970" s="4" t="s">
        <v>4433</v>
      </c>
      <c r="E2970" s="4">
        <v>0.0</v>
      </c>
      <c r="F2970" s="4">
        <v>19.0</v>
      </c>
      <c r="G2970" s="4" t="s">
        <v>4434</v>
      </c>
    </row>
    <row r="2971">
      <c r="A2971" s="1">
        <v>2969.0</v>
      </c>
      <c r="B2971" s="4" t="s">
        <v>4402</v>
      </c>
      <c r="C2971" s="5" t="str">
        <f>IFERROR(__xludf.DUMMYFUNCTION("GOOGLETRANSLATE(D:D,""auto"",""en"")"),"Stock market one week evaporator 6 trillion")</f>
        <v>Stock market one week evaporator 6 trillion</v>
      </c>
      <c r="D2971" s="4" t="s">
        <v>4435</v>
      </c>
      <c r="E2971" s="4">
        <v>0.0</v>
      </c>
      <c r="F2971" s="4">
        <v>20.0</v>
      </c>
      <c r="G2971" s="4" t="s">
        <v>4436</v>
      </c>
    </row>
    <row r="2972">
      <c r="A2972" s="1">
        <v>2970.0</v>
      </c>
      <c r="B2972" s="4" t="s">
        <v>4402</v>
      </c>
      <c r="C2972" s="5" t="str">
        <f>IFERROR(__xludf.DUMMYFUNCTION("GOOGLETRANSLATE(D:D,""auto"",""en"")"),"Students' self-segregation 38 days")</f>
        <v>Students' self-segregation 38 days</v>
      </c>
      <c r="D2972" s="4" t="s">
        <v>4437</v>
      </c>
      <c r="E2972" s="4">
        <v>0.0</v>
      </c>
      <c r="F2972" s="4">
        <v>21.0</v>
      </c>
      <c r="G2972" s="4" t="s">
        <v>4438</v>
      </c>
    </row>
    <row r="2973">
      <c r="A2973" s="1">
        <v>2971.0</v>
      </c>
      <c r="B2973" s="4" t="s">
        <v>4402</v>
      </c>
      <c r="C2973" s="5" t="str">
        <f>IFERROR(__xludf.DUMMYFUNCTION("GOOGLETRANSLATE(D:D,""auto"",""en"")"),"Affect the life of the new regulations in March")</f>
        <v>Affect the life of the new regulations in March</v>
      </c>
      <c r="D2973" s="4" t="s">
        <v>4439</v>
      </c>
      <c r="E2973" s="4">
        <v>0.0</v>
      </c>
      <c r="F2973" s="4">
        <v>22.0</v>
      </c>
      <c r="G2973" s="4" t="s">
        <v>4440</v>
      </c>
    </row>
    <row r="2974">
      <c r="A2974" s="1">
        <v>2972.0</v>
      </c>
      <c r="B2974" s="4" t="s">
        <v>4402</v>
      </c>
      <c r="C2974" s="5" t="str">
        <f>IFERROR(__xludf.DUMMYFUNCTION("GOOGLETRANSLATE(D:D,""auto"",""en"")"),"Beijing Children's Hospital diagnosed one case")</f>
        <v>Beijing Children's Hospital diagnosed one case</v>
      </c>
      <c r="D2974" s="4" t="s">
        <v>4441</v>
      </c>
      <c r="E2974" s="4">
        <v>0.0</v>
      </c>
      <c r="F2974" s="4">
        <v>23.0</v>
      </c>
      <c r="G2974" s="4" t="s">
        <v>4442</v>
      </c>
    </row>
    <row r="2975">
      <c r="A2975" s="1">
        <v>2973.0</v>
      </c>
      <c r="B2975" s="4" t="s">
        <v>4402</v>
      </c>
      <c r="C2975" s="5" t="str">
        <f>IFERROR(__xludf.DUMMYFUNCTION("GOOGLETRANSLATE(D:D,""auto"",""en"")"),"Zhang Yixing donations Korea")</f>
        <v>Zhang Yixing donations Korea</v>
      </c>
      <c r="D2975" s="4" t="s">
        <v>4382</v>
      </c>
      <c r="E2975" s="4">
        <v>0.0</v>
      </c>
      <c r="F2975" s="4">
        <v>24.0</v>
      </c>
      <c r="G2975" s="4" t="s">
        <v>4383</v>
      </c>
    </row>
    <row r="2976">
      <c r="A2976" s="1">
        <v>2974.0</v>
      </c>
      <c r="B2976" s="4" t="s">
        <v>4402</v>
      </c>
      <c r="C2976" s="5" t="str">
        <f>IFERROR(__xludf.DUMMYFUNCTION("GOOGLETRANSLATE(D:D,""auto"",""en"")"),"Xuzhou patients discharged from hospital and diagnosed")</f>
        <v>Xuzhou patients discharged from hospital and diagnosed</v>
      </c>
      <c r="D2976" s="4" t="s">
        <v>4370</v>
      </c>
      <c r="E2976" s="4">
        <v>0.0</v>
      </c>
      <c r="F2976" s="4">
        <v>25.0</v>
      </c>
      <c r="G2976" s="4" t="s">
        <v>4371</v>
      </c>
    </row>
    <row r="2977">
      <c r="A2977" s="1">
        <v>2975.0</v>
      </c>
      <c r="B2977" s="4" t="s">
        <v>4402</v>
      </c>
      <c r="C2977" s="5" t="str">
        <f>IFERROR(__xludf.DUMMYFUNCTION("GOOGLETRANSLATE(D:D,""auto"",""en"")"),"Yunnan Provincial Department of Education notice")</f>
        <v>Yunnan Provincial Department of Education notice</v>
      </c>
      <c r="D2977" s="4" t="s">
        <v>4443</v>
      </c>
      <c r="E2977" s="4">
        <v>0.0</v>
      </c>
      <c r="F2977" s="4">
        <v>26.0</v>
      </c>
      <c r="G2977" s="4" t="s">
        <v>4444</v>
      </c>
    </row>
    <row r="2978">
      <c r="A2978" s="1">
        <v>2976.0</v>
      </c>
      <c r="B2978" s="4" t="s">
        <v>4402</v>
      </c>
      <c r="C2978" s="5" t="str">
        <f>IFERROR(__xludf.DUMMYFUNCTION("GOOGLETRANSLATE(D:D,""auto"",""en"")"),"Google employees diagnosed with a")</f>
        <v>Google employees diagnosed with a</v>
      </c>
      <c r="D2978" s="4" t="s">
        <v>4445</v>
      </c>
      <c r="E2978" s="4">
        <v>0.0</v>
      </c>
      <c r="F2978" s="4">
        <v>27.0</v>
      </c>
      <c r="G2978" s="4" t="s">
        <v>4446</v>
      </c>
    </row>
    <row r="2979">
      <c r="A2979" s="1">
        <v>2977.0</v>
      </c>
      <c r="B2979" s="4" t="s">
        <v>4402</v>
      </c>
      <c r="C2979" s="5" t="str">
        <f>IFERROR(__xludf.DUMMYFUNCTION("GOOGLETRANSLATE(D:D,""auto"",""en"")"),"The Ministry of Education to talk about the third year of school")</f>
        <v>The Ministry of Education to talk about the third year of school</v>
      </c>
      <c r="D2979" s="4" t="s">
        <v>4447</v>
      </c>
      <c r="E2979" s="4">
        <v>0.0</v>
      </c>
      <c r="F2979" s="4">
        <v>28.0</v>
      </c>
      <c r="G2979" s="4" t="s">
        <v>4448</v>
      </c>
    </row>
    <row r="2980">
      <c r="A2980" s="1">
        <v>2978.0</v>
      </c>
      <c r="B2980" s="4" t="s">
        <v>4402</v>
      </c>
      <c r="C2980" s="5" t="str">
        <f>IFERROR(__xludf.DUMMYFUNCTION("GOOGLETRANSLATE(D:D,""auto"",""en"")"),"4.6 earthquake in Xinjiang")</f>
        <v>4.6 earthquake in Xinjiang</v>
      </c>
      <c r="D2980" s="4" t="s">
        <v>4449</v>
      </c>
      <c r="E2980" s="4">
        <v>0.0</v>
      </c>
      <c r="F2980" s="4">
        <v>29.0</v>
      </c>
      <c r="G2980" s="4" t="s">
        <v>4450</v>
      </c>
    </row>
    <row r="2981">
      <c r="A2981" s="1">
        <v>2979.0</v>
      </c>
      <c r="B2981" s="4" t="s">
        <v>4402</v>
      </c>
      <c r="C2981" s="5" t="str">
        <f>IFERROR(__xludf.DUMMYFUNCTION("GOOGLETRANSLATE(D:D,""auto"",""en"")"),"Strawberry house wrap zoom trick")</f>
        <v>Strawberry house wrap zoom trick</v>
      </c>
      <c r="D2981" s="4" t="s">
        <v>4451</v>
      </c>
      <c r="E2981" s="4">
        <v>0.0</v>
      </c>
      <c r="F2981" s="4">
        <v>30.0</v>
      </c>
      <c r="G2981" s="4" t="s">
        <v>4452</v>
      </c>
    </row>
    <row r="2982">
      <c r="A2982" s="1">
        <v>2980.0</v>
      </c>
      <c r="B2982" s="4" t="s">
        <v>4402</v>
      </c>
      <c r="C2982" s="5" t="str">
        <f>IFERROR(__xludf.DUMMYFUNCTION("GOOGLETRANSLATE(D:D,""auto"",""en"")"),"Gold futures fell sharply")</f>
        <v>Gold futures fell sharply</v>
      </c>
      <c r="D2982" s="4" t="s">
        <v>4453</v>
      </c>
      <c r="E2982" s="4">
        <v>0.0</v>
      </c>
      <c r="F2982" s="4">
        <v>31.0</v>
      </c>
      <c r="G2982" s="4" t="s">
        <v>4454</v>
      </c>
    </row>
    <row r="2983">
      <c r="A2983" s="1">
        <v>2981.0</v>
      </c>
      <c r="B2983" s="4" t="s">
        <v>4402</v>
      </c>
      <c r="C2983" s="5" t="str">
        <f>IFERROR(__xludf.DUMMYFUNCTION("GOOGLETRANSLATE(D:D,""auto"",""en"")"),"Beijing 12 anti-epidemic Notices")</f>
        <v>Beijing 12 anti-epidemic Notices</v>
      </c>
      <c r="D2983" s="4" t="s">
        <v>4455</v>
      </c>
      <c r="E2983" s="4">
        <v>0.0</v>
      </c>
      <c r="F2983" s="4">
        <v>32.0</v>
      </c>
      <c r="G2983" s="4" t="s">
        <v>4456</v>
      </c>
    </row>
    <row r="2984">
      <c r="A2984" s="1">
        <v>2982.0</v>
      </c>
      <c r="B2984" s="4" t="s">
        <v>4402</v>
      </c>
      <c r="C2984" s="5" t="str">
        <f>IFERROR(__xludf.DUMMYFUNCTION("GOOGLETRANSLATE(D:D,""auto"",""en"")"),"New cases of 594 cases Korea")</f>
        <v>New cases of 594 cases Korea</v>
      </c>
      <c r="D2984" s="4" t="s">
        <v>4457</v>
      </c>
      <c r="E2984" s="4">
        <v>0.0</v>
      </c>
      <c r="F2984" s="4">
        <v>33.0</v>
      </c>
      <c r="G2984" s="4" t="s">
        <v>4458</v>
      </c>
    </row>
    <row r="2985">
      <c r="A2985" s="1">
        <v>2983.0</v>
      </c>
      <c r="B2985" s="4" t="s">
        <v>4402</v>
      </c>
      <c r="C2985" s="5" t="str">
        <f>IFERROR(__xludf.DUMMYFUNCTION("GOOGLETRANSLATE(D:D,""auto"",""en"")"),"11 cases of anatomical results will be released")</f>
        <v>11 cases of anatomical results will be released</v>
      </c>
      <c r="D2985" s="4" t="s">
        <v>4459</v>
      </c>
      <c r="E2985" s="4">
        <v>0.0</v>
      </c>
      <c r="F2985" s="4">
        <v>34.0</v>
      </c>
      <c r="G2985" s="4" t="s">
        <v>4460</v>
      </c>
    </row>
    <row r="2986">
      <c r="A2986" s="1">
        <v>2984.0</v>
      </c>
      <c r="B2986" s="4" t="s">
        <v>4402</v>
      </c>
      <c r="C2986" s="5" t="str">
        <f>IFERROR(__xludf.DUMMYFUNCTION("GOOGLETRANSLATE(D:D,""auto"",""en"")"),"Anhui province quit high risk")</f>
        <v>Anhui province quit high risk</v>
      </c>
      <c r="D2986" s="4" t="s">
        <v>4461</v>
      </c>
      <c r="E2986" s="4">
        <v>0.0</v>
      </c>
      <c r="F2986" s="4">
        <v>35.0</v>
      </c>
      <c r="G2986" s="4" t="s">
        <v>4462</v>
      </c>
    </row>
    <row r="2987">
      <c r="A2987" s="1">
        <v>2985.0</v>
      </c>
      <c r="B2987" s="4" t="s">
        <v>4402</v>
      </c>
      <c r="C2987" s="5" t="str">
        <f>IFERROR(__xludf.DUMMYFUNCTION("GOOGLETRANSLATE(D:D,""auto"",""en"")"),"Britain's first domestic infection")</f>
        <v>Britain's first domestic infection</v>
      </c>
      <c r="D2987" s="4" t="s">
        <v>4463</v>
      </c>
      <c r="E2987" s="4">
        <v>0.0</v>
      </c>
      <c r="F2987" s="4">
        <v>36.0</v>
      </c>
      <c r="G2987" s="4" t="s">
        <v>4464</v>
      </c>
    </row>
    <row r="2988">
      <c r="A2988" s="1">
        <v>2986.0</v>
      </c>
      <c r="B2988" s="4" t="s">
        <v>4402</v>
      </c>
      <c r="C2988" s="5" t="str">
        <f>IFERROR(__xludf.DUMMYFUNCTION("GOOGLETRANSLATE(D:D,""auto"",""en"")"),"Tsingtao Brewery president was removed from office")</f>
        <v>Tsingtao Brewery president was removed from office</v>
      </c>
      <c r="D2988" s="4" t="s">
        <v>4378</v>
      </c>
      <c r="E2988" s="4">
        <v>0.0</v>
      </c>
      <c r="F2988" s="4">
        <v>37.0</v>
      </c>
      <c r="G2988" s="4" t="s">
        <v>4379</v>
      </c>
    </row>
    <row r="2989">
      <c r="A2989" s="1">
        <v>2987.0</v>
      </c>
      <c r="B2989" s="4" t="s">
        <v>4402</v>
      </c>
      <c r="C2989" s="5" t="str">
        <f>IFERROR(__xludf.DUMMYFUNCTION("GOOGLETRANSLATE(D:D,""auto"",""en"")"),"Xi'an 338 people were accountable")</f>
        <v>Xi'an 338 people were accountable</v>
      </c>
      <c r="D2989" s="4" t="s">
        <v>4364</v>
      </c>
      <c r="E2989" s="4">
        <v>0.0</v>
      </c>
      <c r="F2989" s="4">
        <v>38.0</v>
      </c>
      <c r="G2989" s="4" t="s">
        <v>4365</v>
      </c>
    </row>
    <row r="2990">
      <c r="A2990" s="1">
        <v>2988.0</v>
      </c>
      <c r="B2990" s="4" t="s">
        <v>4402</v>
      </c>
      <c r="C2990" s="5" t="str">
        <f>IFERROR(__xludf.DUMMYFUNCTION("GOOGLETRANSLATE(D:D,""auto"",""en"")"),"Ms Wong neighbors talk")</f>
        <v>Ms Wong neighbors talk</v>
      </c>
      <c r="D2990" s="4" t="s">
        <v>4465</v>
      </c>
      <c r="E2990" s="4">
        <v>0.0</v>
      </c>
      <c r="F2990" s="4">
        <v>39.0</v>
      </c>
      <c r="G2990" s="4" t="s">
        <v>4466</v>
      </c>
    </row>
    <row r="2991">
      <c r="A2991" s="1">
        <v>2989.0</v>
      </c>
      <c r="B2991" s="4" t="s">
        <v>4402</v>
      </c>
      <c r="C2991" s="5" t="str">
        <f>IFERROR(__xludf.DUMMYFUNCTION("GOOGLETRANSLATE(D:D,""auto"",""en"")"),"In addition to the new three cases in Wuhan, Hubei")</f>
        <v>In addition to the new three cases in Wuhan, Hubei</v>
      </c>
      <c r="D2991" s="4" t="s">
        <v>4467</v>
      </c>
      <c r="E2991" s="4">
        <v>0.0</v>
      </c>
      <c r="F2991" s="4">
        <v>40.0</v>
      </c>
      <c r="G2991" s="4" t="s">
        <v>4468</v>
      </c>
    </row>
    <row r="2992">
      <c r="A2992" s="1">
        <v>2990.0</v>
      </c>
      <c r="B2992" s="4" t="s">
        <v>4402</v>
      </c>
      <c r="C2992" s="5" t="str">
        <f>IFERROR(__xludf.DUMMYFUNCTION("GOOGLETRANSLATE(D:D,""auto"",""en"")"),"Hong Kong Office warned US Congressman")</f>
        <v>Hong Kong Office warned US Congressman</v>
      </c>
      <c r="D2992" s="4" t="s">
        <v>4469</v>
      </c>
      <c r="E2992" s="4">
        <v>0.0</v>
      </c>
      <c r="F2992" s="4">
        <v>41.0</v>
      </c>
      <c r="G2992" s="4" t="s">
        <v>4470</v>
      </c>
    </row>
    <row r="2993">
      <c r="A2993" s="1">
        <v>2991.0</v>
      </c>
      <c r="B2993" s="4" t="s">
        <v>4402</v>
      </c>
      <c r="C2993" s="5" t="str">
        <f>IFERROR(__xludf.DUMMYFUNCTION("GOOGLETRANSLATE(D:D,""auto"",""en"")"),"United States rose 11 times the ordinary masks")</f>
        <v>United States rose 11 times the ordinary masks</v>
      </c>
      <c r="D2993" s="4" t="s">
        <v>4471</v>
      </c>
      <c r="E2993" s="4">
        <v>0.0</v>
      </c>
      <c r="F2993" s="4">
        <v>42.0</v>
      </c>
      <c r="G2993" s="4" t="s">
        <v>4472</v>
      </c>
    </row>
    <row r="2994">
      <c r="A2994" s="1">
        <v>2992.0</v>
      </c>
      <c r="B2994" s="4" t="s">
        <v>4402</v>
      </c>
      <c r="C2994" s="5" t="str">
        <f>IFERROR(__xludf.DUMMYFUNCTION("GOOGLETRANSLATE(D:D,""auto"",""en"")"),"Wei Jian who are deserters")</f>
        <v>Wei Jian who are deserters</v>
      </c>
      <c r="D2994" s="4" t="s">
        <v>4473</v>
      </c>
      <c r="E2994" s="4">
        <v>0.0</v>
      </c>
      <c r="F2994" s="4">
        <v>43.0</v>
      </c>
      <c r="G2994" s="4" t="s">
        <v>4474</v>
      </c>
    </row>
    <row r="2995">
      <c r="A2995" s="1">
        <v>2993.0</v>
      </c>
      <c r="B2995" s="4" t="s">
        <v>4402</v>
      </c>
      <c r="C2995" s="5" t="str">
        <f>IFERROR(__xludf.DUMMYFUNCTION("GOOGLETRANSLATE(D:D,""auto"",""en"")"),"Lin Yun Wang continent's sweet")</f>
        <v>Lin Yun Wang continent's sweet</v>
      </c>
      <c r="D2995" s="4" t="s">
        <v>4475</v>
      </c>
      <c r="E2995" s="4">
        <v>0.0</v>
      </c>
      <c r="F2995" s="4">
        <v>44.0</v>
      </c>
      <c r="G2995" s="4" t="s">
        <v>4476</v>
      </c>
    </row>
    <row r="2996">
      <c r="A2996" s="1">
        <v>2994.0</v>
      </c>
      <c r="B2996" s="4" t="s">
        <v>4402</v>
      </c>
      <c r="C2996" s="5" t="str">
        <f>IFERROR(__xludf.DUMMYFUNCTION("GOOGLETRANSLATE(D:D,""auto"",""en"")"),"Wei health committee to talk about the epidemic inflection point")</f>
        <v>Wei health committee to talk about the epidemic inflection point</v>
      </c>
      <c r="D2996" s="4" t="s">
        <v>4390</v>
      </c>
      <c r="E2996" s="4">
        <v>0.0</v>
      </c>
      <c r="F2996" s="4">
        <v>45.0</v>
      </c>
      <c r="G2996" s="4" t="s">
        <v>4391</v>
      </c>
    </row>
    <row r="2997">
      <c r="A2997" s="1">
        <v>2995.0</v>
      </c>
      <c r="B2997" s="4" t="s">
        <v>4402</v>
      </c>
      <c r="C2997" s="5" t="str">
        <f>IFERROR(__xludf.DUMMYFUNCTION("GOOGLETRANSLATE(D:D,""auto"",""en"")"),"Italy adjustments diagnostic criteria")</f>
        <v>Italy adjustments diagnostic criteria</v>
      </c>
      <c r="D2997" s="4" t="s">
        <v>4477</v>
      </c>
      <c r="E2997" s="4">
        <v>0.0</v>
      </c>
      <c r="F2997" s="4">
        <v>46.0</v>
      </c>
      <c r="G2997" s="4" t="s">
        <v>4478</v>
      </c>
    </row>
    <row r="2998">
      <c r="A2998" s="1">
        <v>2996.0</v>
      </c>
      <c r="B2998" s="4" t="s">
        <v>4402</v>
      </c>
      <c r="C2998" s="5" t="str">
        <f>IFERROR(__xludf.DUMMYFUNCTION("GOOGLETRANSLATE(D:D,""auto"",""en"")"),"Italian version of the Vulcan Hill Hospital")</f>
        <v>Italian version of the Vulcan Hill Hospital</v>
      </c>
      <c r="D2998" s="4" t="s">
        <v>4479</v>
      </c>
      <c r="E2998" s="4">
        <v>0.0</v>
      </c>
      <c r="F2998" s="4">
        <v>47.0</v>
      </c>
      <c r="G2998" s="4" t="s">
        <v>4480</v>
      </c>
    </row>
    <row r="2999">
      <c r="A2999" s="1">
        <v>2997.0</v>
      </c>
      <c r="B2999" s="4" t="s">
        <v>4402</v>
      </c>
      <c r="C2999" s="5" t="str">
        <f>IFERROR(__xludf.DUMMYFUNCTION("GOOGLETRANSLATE(D:D,""auto"",""en"")"),"China rare number of patients")</f>
        <v>China rare number of patients</v>
      </c>
      <c r="D2999" s="4" t="s">
        <v>4481</v>
      </c>
      <c r="E2999" s="4">
        <v>0.0</v>
      </c>
      <c r="F2999" s="4">
        <v>48.0</v>
      </c>
      <c r="G2999" s="4" t="s">
        <v>4482</v>
      </c>
    </row>
    <row r="3000">
      <c r="A3000" s="1">
        <v>2998.0</v>
      </c>
      <c r="B3000" s="4" t="s">
        <v>4402</v>
      </c>
      <c r="C3000" s="5" t="str">
        <f>IFERROR(__xludf.DUMMYFUNCTION("GOOGLETRANSLATE(D:D,""auto"",""en"")"),"Zheng Shuang Negotiator notice")</f>
        <v>Zheng Shuang Negotiator notice</v>
      </c>
      <c r="D3000" s="4" t="s">
        <v>4483</v>
      </c>
      <c r="E3000" s="4">
        <v>0.0</v>
      </c>
      <c r="F3000" s="4">
        <v>49.0</v>
      </c>
      <c r="G3000" s="4" t="s">
        <v>4484</v>
      </c>
    </row>
    <row r="3001">
      <c r="A3001" s="1">
        <v>2999.0</v>
      </c>
      <c r="B3001" s="4" t="s">
        <v>4402</v>
      </c>
      <c r="C3001" s="5" t="str">
        <f>IFERROR(__xludf.DUMMYFUNCTION("GOOGLETRANSLATE(D:D,""auto"",""en"")"),"Experts judged the source of the new crown")</f>
        <v>Experts judged the source of the new crown</v>
      </c>
      <c r="D3001" s="4" t="s">
        <v>4324</v>
      </c>
      <c r="E3001" s="4">
        <v>0.0</v>
      </c>
      <c r="F3001" s="4">
        <v>50.0</v>
      </c>
      <c r="G3001" s="4" t="s">
        <v>4325</v>
      </c>
    </row>
    <row r="3002">
      <c r="A3002" s="1">
        <v>3000.0</v>
      </c>
      <c r="B3002" s="4" t="s">
        <v>4485</v>
      </c>
      <c r="C3002" s="5" t="str">
        <f>IFERROR(__xludf.DUMMYFUNCTION("GOOGLETRANSLATE(D:D,""auto"",""en"")"),"Affect the life of the new regulations in March")</f>
        <v>Affect the life of the new regulations in March</v>
      </c>
      <c r="D3002" s="4" t="s">
        <v>4439</v>
      </c>
      <c r="E3002" s="4">
        <v>0.0</v>
      </c>
      <c r="F3002" s="4">
        <v>1.0</v>
      </c>
      <c r="G3002" s="4" t="s">
        <v>4440</v>
      </c>
    </row>
    <row r="3003">
      <c r="A3003" s="1">
        <v>3001.0</v>
      </c>
      <c r="B3003" s="4" t="s">
        <v>4485</v>
      </c>
      <c r="C3003" s="5" t="str">
        <f>IFERROR(__xludf.DUMMYFUNCTION("GOOGLETRANSLATE(D:D,""auto"",""en"")"),"Stock market one week evaporator 6 trillion")</f>
        <v>Stock market one week evaporator 6 trillion</v>
      </c>
      <c r="D3003" s="4" t="s">
        <v>4435</v>
      </c>
      <c r="E3003" s="4">
        <v>0.0</v>
      </c>
      <c r="F3003" s="4">
        <v>2.0</v>
      </c>
      <c r="G3003" s="4" t="s">
        <v>4436</v>
      </c>
    </row>
    <row r="3004">
      <c r="A3004" s="1">
        <v>3002.0</v>
      </c>
      <c r="B3004" s="4" t="s">
        <v>4485</v>
      </c>
      <c r="C3004" s="5" t="str">
        <f>IFERROR(__xludf.DUMMYFUNCTION("GOOGLETRANSLATE(D:D,""auto"",""en"")"),"30,000 sheep are false video")</f>
        <v>30,000 sheep are false video</v>
      </c>
      <c r="D3004" s="4" t="s">
        <v>4486</v>
      </c>
      <c r="E3004" s="4">
        <v>0.0</v>
      </c>
      <c r="F3004" s="4">
        <v>3.0</v>
      </c>
      <c r="G3004" s="4" t="s">
        <v>4487</v>
      </c>
    </row>
    <row r="3005">
      <c r="A3005" s="1">
        <v>3003.0</v>
      </c>
      <c r="B3005" s="4" t="s">
        <v>4485</v>
      </c>
      <c r="C3005" s="5" t="str">
        <f>IFERROR(__xludf.DUMMYFUNCTION("GOOGLETRANSLATE(D:D,""auto"",""en"")"),"Beijing Children's Hospital diagnosed one case")</f>
        <v>Beijing Children's Hospital diagnosed one case</v>
      </c>
      <c r="D3005" s="4" t="s">
        <v>4441</v>
      </c>
      <c r="E3005" s="4">
        <v>0.0</v>
      </c>
      <c r="F3005" s="4">
        <v>4.0</v>
      </c>
      <c r="G3005" s="4" t="s">
        <v>4442</v>
      </c>
    </row>
    <row r="3006">
      <c r="A3006" s="1">
        <v>3004.0</v>
      </c>
      <c r="B3006" s="4" t="s">
        <v>4485</v>
      </c>
      <c r="C3006" s="5" t="str">
        <f>IFERROR(__xludf.DUMMYFUNCTION("GOOGLETRANSLATE(D:D,""auto"",""en"")"),"Anhui province quit high risk")</f>
        <v>Anhui province quit high risk</v>
      </c>
      <c r="D3006" s="4" t="s">
        <v>4461</v>
      </c>
      <c r="E3006" s="4">
        <v>0.0</v>
      </c>
      <c r="F3006" s="4">
        <v>5.0</v>
      </c>
      <c r="G3006" s="4" t="s">
        <v>4462</v>
      </c>
    </row>
    <row r="3007">
      <c r="A3007" s="1">
        <v>3005.0</v>
      </c>
      <c r="B3007" s="4" t="s">
        <v>4485</v>
      </c>
      <c r="C3007" s="5" t="str">
        <f>IFERROR(__xludf.DUMMYFUNCTION("GOOGLETRANSLATE(D:D,""auto"",""en"")"),"Beijing now fake cell passes")</f>
        <v>Beijing now fake cell passes</v>
      </c>
      <c r="D3007" s="4" t="s">
        <v>4488</v>
      </c>
      <c r="E3007" s="4">
        <v>0.0</v>
      </c>
      <c r="F3007" s="4">
        <v>6.0</v>
      </c>
      <c r="G3007" s="4" t="s">
        <v>4489</v>
      </c>
    </row>
    <row r="3008">
      <c r="A3008" s="1">
        <v>3006.0</v>
      </c>
      <c r="B3008" s="4" t="s">
        <v>4485</v>
      </c>
      <c r="C3008" s="5" t="str">
        <f>IFERROR(__xludf.DUMMYFUNCTION("GOOGLETRANSLATE(D:D,""auto"",""en"")"),"New cases of 573 cases nationwide")</f>
        <v>New cases of 573 cases nationwide</v>
      </c>
      <c r="D3008" s="4" t="s">
        <v>4490</v>
      </c>
      <c r="E3008" s="4">
        <v>0.0</v>
      </c>
      <c r="F3008" s="4">
        <v>7.0</v>
      </c>
      <c r="G3008" s="4" t="s">
        <v>4491</v>
      </c>
    </row>
    <row r="3009">
      <c r="A3009" s="1">
        <v>3007.0</v>
      </c>
      <c r="B3009" s="4" t="s">
        <v>4485</v>
      </c>
      <c r="C3009" s="5" t="str">
        <f>IFERROR(__xludf.DUMMYFUNCTION("GOOGLETRANSLATE(D:D,""auto"",""en"")"),"New input two cases outside Beijing")</f>
        <v>New input two cases outside Beijing</v>
      </c>
      <c r="D3009" s="4" t="s">
        <v>4492</v>
      </c>
      <c r="E3009" s="4">
        <v>0.0</v>
      </c>
      <c r="F3009" s="4">
        <v>8.0</v>
      </c>
      <c r="G3009" s="4" t="s">
        <v>4493</v>
      </c>
    </row>
    <row r="3010">
      <c r="A3010" s="1">
        <v>3008.0</v>
      </c>
      <c r="B3010" s="4" t="s">
        <v>4485</v>
      </c>
      <c r="C3010" s="5" t="str">
        <f>IFERROR(__xludf.DUMMYFUNCTION("GOOGLETRANSLATE(D:D,""auto"",""en"")"),"Huayi Brothers loss of nearly 4 billion")</f>
        <v>Huayi Brothers loss of nearly 4 billion</v>
      </c>
      <c r="D3010" s="4" t="s">
        <v>4494</v>
      </c>
      <c r="E3010" s="4">
        <v>0.0</v>
      </c>
      <c r="F3010" s="4">
        <v>9.0</v>
      </c>
      <c r="G3010" s="4" t="s">
        <v>4495</v>
      </c>
    </row>
    <row r="3011">
      <c r="A3011" s="1">
        <v>3009.0</v>
      </c>
      <c r="B3011" s="4" t="s">
        <v>4485</v>
      </c>
      <c r="C3011" s="5" t="str">
        <f>IFERROR(__xludf.DUMMYFUNCTION("GOOGLETRANSLATE(D:D,""auto"",""en"")"),"British Prime Minister announced their engagement")</f>
        <v>British Prime Minister announced their engagement</v>
      </c>
      <c r="D3011" s="4" t="s">
        <v>4496</v>
      </c>
      <c r="E3011" s="4">
        <v>0.0</v>
      </c>
      <c r="F3011" s="4">
        <v>10.0</v>
      </c>
      <c r="G3011" s="4" t="s">
        <v>4497</v>
      </c>
    </row>
    <row r="3012">
      <c r="A3012" s="1">
        <v>3010.0</v>
      </c>
      <c r="B3012" s="4" t="s">
        <v>4485</v>
      </c>
      <c r="C3012" s="5" t="str">
        <f>IFERROR(__xludf.DUMMYFUNCTION("GOOGLETRANSLATE(D:D,""auto"",""en"")"),"Hubei cumulative cure over 30,000")</f>
        <v>Hubei cumulative cure over 30,000</v>
      </c>
      <c r="D3012" s="4" t="s">
        <v>4498</v>
      </c>
      <c r="E3012" s="4">
        <v>0.0</v>
      </c>
      <c r="F3012" s="4">
        <v>11.0</v>
      </c>
      <c r="G3012" s="4" t="s">
        <v>4499</v>
      </c>
    </row>
    <row r="3013">
      <c r="A3013" s="1">
        <v>3011.0</v>
      </c>
      <c r="B3013" s="4" t="s">
        <v>4485</v>
      </c>
      <c r="C3013" s="5" t="str">
        <f>IFERROR(__xludf.DUMMYFUNCTION("GOOGLETRANSLATE(D:D,""auto"",""en"")"),"Korean experts predict the worst case")</f>
        <v>Korean experts predict the worst case</v>
      </c>
      <c r="D3013" s="4" t="s">
        <v>4500</v>
      </c>
      <c r="E3013" s="4">
        <v>0.0</v>
      </c>
      <c r="F3013" s="4">
        <v>12.0</v>
      </c>
      <c r="G3013" s="4" t="s">
        <v>4501</v>
      </c>
    </row>
    <row r="3014">
      <c r="A3014" s="1">
        <v>3012.0</v>
      </c>
      <c r="B3014" s="4" t="s">
        <v>4485</v>
      </c>
      <c r="C3014" s="5" t="str">
        <f>IFERROR(__xludf.DUMMYFUNCTION("GOOGLETRANSLATE(D:D,""auto"",""en"")"),"South China market or secondary transmission")</f>
        <v>South China market or secondary transmission</v>
      </c>
      <c r="D3014" s="4" t="s">
        <v>4502</v>
      </c>
      <c r="E3014" s="4">
        <v>0.0</v>
      </c>
      <c r="F3014" s="4">
        <v>13.0</v>
      </c>
      <c r="G3014" s="4" t="s">
        <v>4503</v>
      </c>
    </row>
    <row r="3015">
      <c r="A3015" s="1">
        <v>3013.0</v>
      </c>
      <c r="B3015" s="4" t="s">
        <v>4485</v>
      </c>
      <c r="C3015" s="5" t="str">
        <f>IFERROR(__xludf.DUMMYFUNCTION("GOOGLETRANSLATE(D:D,""auto"",""en"")"),"Hubei, 22 people suspected mass poisoning")</f>
        <v>Hubei, 22 people suspected mass poisoning</v>
      </c>
      <c r="D3015" s="4" t="s">
        <v>4504</v>
      </c>
      <c r="E3015" s="4">
        <v>0.0</v>
      </c>
      <c r="F3015" s="4">
        <v>14.0</v>
      </c>
      <c r="G3015" s="4" t="s">
        <v>4505</v>
      </c>
    </row>
    <row r="3016">
      <c r="A3016" s="1">
        <v>3014.0</v>
      </c>
      <c r="B3016" s="4" t="s">
        <v>4485</v>
      </c>
      <c r="C3016" s="5" t="str">
        <f>IFERROR(__xludf.DUMMYFUNCTION("GOOGLETRANSLATE(D:D,""auto"",""en"")"),"Yunnan coal mine accident")</f>
        <v>Yunnan coal mine accident</v>
      </c>
      <c r="D3016" s="4" t="s">
        <v>4506</v>
      </c>
      <c r="E3016" s="4">
        <v>0.0</v>
      </c>
      <c r="F3016" s="4">
        <v>15.0</v>
      </c>
      <c r="G3016" s="4" t="s">
        <v>4507</v>
      </c>
    </row>
    <row r="3017">
      <c r="A3017" s="1">
        <v>3015.0</v>
      </c>
      <c r="B3017" s="4" t="s">
        <v>4485</v>
      </c>
      <c r="C3017" s="5" t="str">
        <f>IFERROR(__xludf.DUMMYFUNCTION("GOOGLETRANSLATE(D:D,""auto"",""en"")"),"Trump dead wrong sex")</f>
        <v>Trump dead wrong sex</v>
      </c>
      <c r="D3017" s="4" t="s">
        <v>4508</v>
      </c>
      <c r="E3017" s="4">
        <v>0.0</v>
      </c>
      <c r="F3017" s="4">
        <v>16.0</v>
      </c>
      <c r="G3017" s="4" t="s">
        <v>4509</v>
      </c>
    </row>
    <row r="3018">
      <c r="A3018" s="1">
        <v>3016.0</v>
      </c>
      <c r="B3018" s="4" t="s">
        <v>4485</v>
      </c>
      <c r="C3018" s="5" t="str">
        <f>IFERROR(__xludf.DUMMYFUNCTION("GOOGLETRANSLATE(D:D,""auto"",""en"")"),"After 90 evil gang destruction")</f>
        <v>After 90 evil gang destruction</v>
      </c>
      <c r="D3018" s="4" t="s">
        <v>4510</v>
      </c>
      <c r="E3018" s="4">
        <v>0.0</v>
      </c>
      <c r="F3018" s="4">
        <v>17.0</v>
      </c>
      <c r="G3018" s="4" t="s">
        <v>4511</v>
      </c>
    </row>
    <row r="3019">
      <c r="A3019" s="1">
        <v>3017.0</v>
      </c>
      <c r="B3019" s="4" t="s">
        <v>4485</v>
      </c>
      <c r="C3019" s="5" t="str">
        <f>IFERROR(__xludf.DUMMYFUNCTION("GOOGLETRANSLATE(D:D,""auto"",""en"")"),"Trump praised China's fight against SARS")</f>
        <v>Trump praised China's fight against SARS</v>
      </c>
      <c r="D3019" s="4" t="s">
        <v>4512</v>
      </c>
      <c r="E3019" s="4">
        <v>0.0</v>
      </c>
      <c r="F3019" s="4">
        <v>18.0</v>
      </c>
      <c r="G3019" s="4" t="s">
        <v>4513</v>
      </c>
    </row>
    <row r="3020">
      <c r="A3020" s="1">
        <v>3018.0</v>
      </c>
      <c r="B3020" s="4" t="s">
        <v>4485</v>
      </c>
      <c r="C3020" s="5" t="str">
        <f>IFERROR(__xludf.DUMMYFUNCTION("GOOGLETRANSLATE(D:D,""auto"",""en"")"),"Diagnosed patients discharged from hospital without permission")</f>
        <v>Diagnosed patients discharged from hospital without permission</v>
      </c>
      <c r="D3020" s="4" t="s">
        <v>4514</v>
      </c>
      <c r="E3020" s="4">
        <v>0.0</v>
      </c>
      <c r="F3020" s="4">
        <v>19.0</v>
      </c>
      <c r="G3020" s="4" t="s">
        <v>4515</v>
      </c>
    </row>
    <row r="3021">
      <c r="A3021" s="1">
        <v>3019.0</v>
      </c>
      <c r="B3021" s="4" t="s">
        <v>4485</v>
      </c>
      <c r="C3021" s="5" t="str">
        <f>IFERROR(__xludf.DUMMYFUNCTION("GOOGLETRANSLATE(D:D,""auto"",""en"")"),"More tickets to sell cabbage price")</f>
        <v>More tickets to sell cabbage price</v>
      </c>
      <c r="D3021" s="4" t="s">
        <v>4516</v>
      </c>
      <c r="E3021" s="4">
        <v>0.0</v>
      </c>
      <c r="F3021" s="4">
        <v>20.0</v>
      </c>
      <c r="G3021" s="4" t="s">
        <v>4517</v>
      </c>
    </row>
    <row r="3022">
      <c r="A3022" s="1">
        <v>3020.0</v>
      </c>
      <c r="B3022" s="4" t="s">
        <v>4485</v>
      </c>
      <c r="C3022" s="5" t="str">
        <f>IFERROR(__xludf.DUMMYFUNCTION("GOOGLETRANSLATE(D:D,""auto"",""en"")"),"Xiaozhan party issued a statement of apology")</f>
        <v>Xiaozhan party issued a statement of apology</v>
      </c>
      <c r="D3022" s="4" t="s">
        <v>4518</v>
      </c>
      <c r="E3022" s="4">
        <v>0.0</v>
      </c>
      <c r="F3022" s="4">
        <v>21.0</v>
      </c>
      <c r="G3022" s="4" t="s">
        <v>4519</v>
      </c>
    </row>
    <row r="3023">
      <c r="A3023" s="1">
        <v>3021.0</v>
      </c>
      <c r="B3023" s="4" t="s">
        <v>4485</v>
      </c>
      <c r="C3023" s="5" t="str">
        <f>IFERROR(__xludf.DUMMYFUNCTION("GOOGLETRANSLATE(D:D,""auto"",""en"")"),"FF grab more landing rights in China")</f>
        <v>FF grab more landing rights in China</v>
      </c>
      <c r="D3023" s="4" t="s">
        <v>4421</v>
      </c>
      <c r="E3023" s="4">
        <v>0.0</v>
      </c>
      <c r="F3023" s="4">
        <v>22.0</v>
      </c>
      <c r="G3023" s="4" t="s">
        <v>4422</v>
      </c>
    </row>
    <row r="3024">
      <c r="A3024" s="1">
        <v>3022.0</v>
      </c>
      <c r="B3024" s="4" t="s">
        <v>4485</v>
      </c>
      <c r="C3024" s="5" t="str">
        <f>IFERROR(__xludf.DUMMYFUNCTION("GOOGLETRANSLATE(D:D,""auto"",""en"")"),"Sichuan province's Middle School reopened synchronization")</f>
        <v>Sichuan province's Middle School reopened synchronization</v>
      </c>
      <c r="D3024" s="4" t="s">
        <v>4433</v>
      </c>
      <c r="E3024" s="4">
        <v>0.0</v>
      </c>
      <c r="F3024" s="4">
        <v>23.0</v>
      </c>
      <c r="G3024" s="4" t="s">
        <v>4434</v>
      </c>
    </row>
    <row r="3025">
      <c r="A3025" s="1">
        <v>3023.0</v>
      </c>
      <c r="B3025" s="4" t="s">
        <v>4485</v>
      </c>
      <c r="C3025" s="5" t="str">
        <f>IFERROR(__xludf.DUMMYFUNCTION("GOOGLETRANSLATE(D:D,""auto"",""en"")"),"China rare number of patients")</f>
        <v>China rare number of patients</v>
      </c>
      <c r="D3025" s="4" t="s">
        <v>4481</v>
      </c>
      <c r="E3025" s="4">
        <v>0.0</v>
      </c>
      <c r="F3025" s="4">
        <v>24.0</v>
      </c>
      <c r="G3025" s="4" t="s">
        <v>4482</v>
      </c>
    </row>
    <row r="3026">
      <c r="A3026" s="1">
        <v>3024.0</v>
      </c>
      <c r="B3026" s="4" t="s">
        <v>4485</v>
      </c>
      <c r="C3026" s="5" t="str">
        <f>IFERROR(__xludf.DUMMYFUNCTION("GOOGLETRANSLATE(D:D,""auto"",""en"")"),"South Korea one day add 813 cases")</f>
        <v>South Korea one day add 813 cases</v>
      </c>
      <c r="D3026" s="4" t="s">
        <v>4429</v>
      </c>
      <c r="E3026" s="4">
        <v>0.0</v>
      </c>
      <c r="F3026" s="4">
        <v>25.0</v>
      </c>
      <c r="G3026" s="4" t="s">
        <v>4430</v>
      </c>
    </row>
    <row r="3027">
      <c r="A3027" s="1">
        <v>3025.0</v>
      </c>
      <c r="B3027" s="4" t="s">
        <v>4485</v>
      </c>
      <c r="C3027" s="5" t="str">
        <f>IFERROR(__xludf.DUMMYFUNCTION("GOOGLETRANSLATE(D:D,""auto"",""en"")"),"Liaoning 1 new cases")</f>
        <v>Liaoning 1 new cases</v>
      </c>
      <c r="D3027" s="4" t="s">
        <v>4520</v>
      </c>
      <c r="E3027" s="4">
        <v>0.0</v>
      </c>
      <c r="F3027" s="4">
        <v>26.0</v>
      </c>
      <c r="G3027" s="4" t="s">
        <v>4521</v>
      </c>
    </row>
    <row r="3028">
      <c r="A3028" s="1">
        <v>3026.0</v>
      </c>
      <c r="B3028" s="4" t="s">
        <v>4485</v>
      </c>
      <c r="C3028" s="5" t="str">
        <f>IFERROR(__xludf.DUMMYFUNCTION("GOOGLETRANSLATE(D:D,""auto"",""en"")"),"ORTHOPEDICS suspect exposes 300 million mansion")</f>
        <v>ORTHOPEDICS suspect exposes 300 million mansion</v>
      </c>
      <c r="D3028" s="4" t="s">
        <v>4522</v>
      </c>
      <c r="E3028" s="4">
        <v>0.0</v>
      </c>
      <c r="F3028" s="4">
        <v>27.0</v>
      </c>
      <c r="G3028" s="4" t="s">
        <v>4523</v>
      </c>
    </row>
    <row r="3029">
      <c r="A3029" s="1">
        <v>3027.0</v>
      </c>
      <c r="B3029" s="4" t="s">
        <v>4485</v>
      </c>
      <c r="C3029" s="5" t="str">
        <f>IFERROR(__xludf.DUMMYFUNCTION("GOOGLETRANSLATE(D:D,""auto"",""en"")"),"Han admitted patients with container")</f>
        <v>Han admitted patients with container</v>
      </c>
      <c r="D3029" s="4" t="s">
        <v>4524</v>
      </c>
      <c r="E3029" s="4">
        <v>0.0</v>
      </c>
      <c r="F3029" s="4">
        <v>28.0</v>
      </c>
      <c r="G3029" s="4" t="s">
        <v>4525</v>
      </c>
    </row>
    <row r="3030">
      <c r="A3030" s="1">
        <v>3028.0</v>
      </c>
      <c r="B3030" s="4" t="s">
        <v>4485</v>
      </c>
      <c r="C3030" s="5" t="str">
        <f>IFERROR(__xludf.DUMMYFUNCTION("GOOGLETRANSLATE(D:D,""auto"",""en"")"),"Nicholas Tse Faye Wong resigned counterparts")</f>
        <v>Nicholas Tse Faye Wong resigned counterparts</v>
      </c>
      <c r="D3030" s="4" t="s">
        <v>4526</v>
      </c>
      <c r="E3030" s="4">
        <v>0.0</v>
      </c>
      <c r="F3030" s="4">
        <v>29.0</v>
      </c>
      <c r="G3030" s="4" t="s">
        <v>4527</v>
      </c>
    </row>
    <row r="3031">
      <c r="A3031" s="1">
        <v>3029.0</v>
      </c>
      <c r="B3031" s="4" t="s">
        <v>4485</v>
      </c>
      <c r="C3031" s="5" t="str">
        <f>IFERROR(__xludf.DUMMYFUNCTION("GOOGLETRANSLATE(D:D,""auto"",""en"")"),"South Korea confirmed a total of 3526 cases")</f>
        <v>South Korea confirmed a total of 3526 cases</v>
      </c>
      <c r="D3031" s="4" t="s">
        <v>4528</v>
      </c>
      <c r="E3031" s="4">
        <v>0.0</v>
      </c>
      <c r="F3031" s="4">
        <v>30.0</v>
      </c>
      <c r="G3031" s="4" t="s">
        <v>4529</v>
      </c>
    </row>
    <row r="3032">
      <c r="A3032" s="1">
        <v>3030.0</v>
      </c>
      <c r="B3032" s="4" t="s">
        <v>4485</v>
      </c>
      <c r="C3032" s="5" t="str">
        <f>IFERROR(__xludf.DUMMYFUNCTION("GOOGLETRANSLATE(D:D,""auto"",""en"")"),"60 people infected with the German carnival")</f>
        <v>60 people infected with the German carnival</v>
      </c>
      <c r="D3032" s="4" t="s">
        <v>4530</v>
      </c>
      <c r="E3032" s="4">
        <v>0.0</v>
      </c>
      <c r="F3032" s="4">
        <v>31.0</v>
      </c>
      <c r="G3032" s="4" t="s">
        <v>4531</v>
      </c>
    </row>
    <row r="3033">
      <c r="A3033" s="1">
        <v>3031.0</v>
      </c>
      <c r="B3033" s="4" t="s">
        <v>4485</v>
      </c>
      <c r="C3033" s="5" t="str">
        <f>IFERROR(__xludf.DUMMYFUNCTION("GOOGLETRANSLATE(D:D,""auto"",""en"")"),"Paris, half horse canceled due to the outbreak")</f>
        <v>Paris, half horse canceled due to the outbreak</v>
      </c>
      <c r="D3033" s="4" t="s">
        <v>4532</v>
      </c>
      <c r="E3033" s="4">
        <v>0.0</v>
      </c>
      <c r="F3033" s="4">
        <v>32.0</v>
      </c>
      <c r="G3033" s="4" t="s">
        <v>4533</v>
      </c>
    </row>
    <row r="3034">
      <c r="A3034" s="1">
        <v>3032.0</v>
      </c>
      <c r="B3034" s="4" t="s">
        <v>4485</v>
      </c>
      <c r="C3034" s="5" t="str">
        <f>IFERROR(__xludf.DUMMYFUNCTION("GOOGLETRANSLATE(D:D,""auto"",""en"")"),"Experts respond to virus source")</f>
        <v>Experts respond to virus source</v>
      </c>
      <c r="D3034" s="4" t="s">
        <v>4534</v>
      </c>
      <c r="E3034" s="4">
        <v>0.0</v>
      </c>
      <c r="F3034" s="4">
        <v>33.0</v>
      </c>
      <c r="G3034" s="4" t="s">
        <v>4535</v>
      </c>
    </row>
    <row r="3035">
      <c r="A3035" s="1">
        <v>3033.0</v>
      </c>
      <c r="B3035" s="4" t="s">
        <v>4485</v>
      </c>
      <c r="C3035" s="5" t="str">
        <f>IFERROR(__xludf.DUMMYFUNCTION("GOOGLETRANSLATE(D:D,""auto"",""en"")"),"American patients with unknown origin")</f>
        <v>American patients with unknown origin</v>
      </c>
      <c r="D3035" s="4" t="s">
        <v>4536</v>
      </c>
      <c r="E3035" s="4">
        <v>0.0</v>
      </c>
      <c r="F3035" s="4">
        <v>34.0</v>
      </c>
      <c r="G3035" s="4" t="s">
        <v>4537</v>
      </c>
    </row>
    <row r="3036">
      <c r="A3036" s="1">
        <v>3034.0</v>
      </c>
      <c r="B3036" s="4" t="s">
        <v>4485</v>
      </c>
      <c r="C3036" s="5" t="str">
        <f>IFERROR(__xludf.DUMMYFUNCTION("GOOGLETRANSLATE(D:D,""auto"",""en"")"),"In addition to the new three cases in Wuhan, Hubei")</f>
        <v>In addition to the new three cases in Wuhan, Hubei</v>
      </c>
      <c r="D3036" s="4" t="s">
        <v>4467</v>
      </c>
      <c r="E3036" s="4">
        <v>0.0</v>
      </c>
      <c r="F3036" s="4">
        <v>35.0</v>
      </c>
      <c r="G3036" s="4" t="s">
        <v>4468</v>
      </c>
    </row>
    <row r="3037">
      <c r="A3037" s="1">
        <v>3035.0</v>
      </c>
      <c r="B3037" s="4" t="s">
        <v>4485</v>
      </c>
      <c r="C3037" s="5" t="str">
        <f>IFERROR(__xludf.DUMMYFUNCTION("GOOGLETRANSLATE(D:D,""auto"",""en"")"),"National new cases of 427 cases")</f>
        <v>National new cases of 427 cases</v>
      </c>
      <c r="D3037" s="4" t="s">
        <v>4411</v>
      </c>
      <c r="E3037" s="4">
        <v>0.0</v>
      </c>
      <c r="F3037" s="4">
        <v>36.0</v>
      </c>
      <c r="G3037" s="4" t="s">
        <v>4412</v>
      </c>
    </row>
    <row r="3038">
      <c r="A3038" s="1">
        <v>3036.0</v>
      </c>
      <c r="B3038" s="4" t="s">
        <v>4485</v>
      </c>
      <c r="C3038" s="5" t="str">
        <f>IFERROR(__xludf.DUMMYFUNCTION("GOOGLETRANSLATE(D:D,""auto"",""en"")"),"Lang Ping donations to Wuhan")</f>
        <v>Lang Ping donations to Wuhan</v>
      </c>
      <c r="D3038" s="4" t="s">
        <v>4538</v>
      </c>
      <c r="E3038" s="4">
        <v>0.0</v>
      </c>
      <c r="F3038" s="4">
        <v>37.0</v>
      </c>
      <c r="G3038" s="4" t="s">
        <v>4539</v>
      </c>
    </row>
    <row r="3039">
      <c r="A3039" s="1">
        <v>3037.0</v>
      </c>
      <c r="B3039" s="4" t="s">
        <v>4485</v>
      </c>
      <c r="C3039" s="5" t="str">
        <f>IFERROR(__xludf.DUMMYFUNCTION("GOOGLETRANSLATE(D:D,""auto"",""en"")"),"Wuhan's first shelter cabin off")</f>
        <v>Wuhan's first shelter cabin off</v>
      </c>
      <c r="D3039" s="4" t="s">
        <v>4540</v>
      </c>
      <c r="E3039" s="4">
        <v>0.0</v>
      </c>
      <c r="F3039" s="4">
        <v>38.0</v>
      </c>
      <c r="G3039" s="4" t="s">
        <v>4541</v>
      </c>
    </row>
    <row r="3040">
      <c r="A3040" s="1">
        <v>3038.0</v>
      </c>
      <c r="B3040" s="4" t="s">
        <v>4485</v>
      </c>
      <c r="C3040" s="5" t="str">
        <f>IFERROR(__xludf.DUMMYFUNCTION("GOOGLETRANSLATE(D:D,""auto"",""en"")"),"Aciu issued Yin Zhengyi")</f>
        <v>Aciu issued Yin Zhengyi</v>
      </c>
      <c r="D3040" s="4" t="s">
        <v>4542</v>
      </c>
      <c r="E3040" s="4">
        <v>0.0</v>
      </c>
      <c r="F3040" s="4">
        <v>39.0</v>
      </c>
      <c r="G3040" s="4" t="s">
        <v>4543</v>
      </c>
    </row>
    <row r="3041">
      <c r="A3041" s="1">
        <v>3039.0</v>
      </c>
      <c r="B3041" s="4" t="s">
        <v>4485</v>
      </c>
      <c r="C3041" s="5" t="str">
        <f>IFERROR(__xludf.DUMMYFUNCTION("GOOGLETRANSLATE(D:D,""auto"",""en"")"),"Ko Wen-je suspected norovirus infection")</f>
        <v>Ko Wen-je suspected norovirus infection</v>
      </c>
      <c r="D3041" s="4" t="s">
        <v>4544</v>
      </c>
      <c r="E3041" s="4">
        <v>0.0</v>
      </c>
      <c r="F3041" s="4">
        <v>40.0</v>
      </c>
      <c r="G3041" s="4" t="s">
        <v>4545</v>
      </c>
    </row>
    <row r="3042">
      <c r="A3042" s="1">
        <v>3040.0</v>
      </c>
      <c r="B3042" s="4" t="s">
        <v>4485</v>
      </c>
      <c r="C3042" s="5" t="str">
        <f>IFERROR(__xludf.DUMMYFUNCTION("GOOGLETRANSLATE(D:D,""auto"",""en"")"),"Italian people refused to free masks")</f>
        <v>Italian people refused to free masks</v>
      </c>
      <c r="D3042" s="4" t="s">
        <v>4546</v>
      </c>
      <c r="E3042" s="4">
        <v>0.0</v>
      </c>
      <c r="F3042" s="4">
        <v>41.0</v>
      </c>
      <c r="G3042" s="4" t="s">
        <v>4547</v>
      </c>
    </row>
    <row r="3043">
      <c r="A3043" s="1">
        <v>3041.0</v>
      </c>
      <c r="B3043" s="4" t="s">
        <v>4485</v>
      </c>
      <c r="C3043" s="5" t="str">
        <f>IFERROR(__xludf.DUMMYFUNCTION("GOOGLETRANSLATE(D:D,""auto"",""en"")"),"Beijing, Tianjin and health codes interoperability")</f>
        <v>Beijing, Tianjin and health codes interoperability</v>
      </c>
      <c r="D3043" s="4" t="s">
        <v>4548</v>
      </c>
      <c r="E3043" s="4">
        <v>0.0</v>
      </c>
      <c r="F3043" s="4">
        <v>42.0</v>
      </c>
      <c r="G3043" s="4" t="s">
        <v>4549</v>
      </c>
    </row>
    <row r="3044">
      <c r="A3044" s="1">
        <v>3042.0</v>
      </c>
      <c r="B3044" s="4" t="s">
        <v>4485</v>
      </c>
      <c r="C3044" s="5" t="str">
        <f>IFERROR(__xludf.DUMMYFUNCTION("GOOGLETRANSLATE(D:D,""auto"",""en"")"),"4.6 earthquake in Xinjiang")</f>
        <v>4.6 earthquake in Xinjiang</v>
      </c>
      <c r="D3044" s="4" t="s">
        <v>4449</v>
      </c>
      <c r="E3044" s="4">
        <v>0.0</v>
      </c>
      <c r="F3044" s="4">
        <v>43.0</v>
      </c>
      <c r="G3044" s="4" t="s">
        <v>4450</v>
      </c>
    </row>
    <row r="3045">
      <c r="A3045" s="1">
        <v>3043.0</v>
      </c>
      <c r="B3045" s="4" t="s">
        <v>4485</v>
      </c>
      <c r="C3045" s="5" t="str">
        <f>IFERROR(__xludf.DUMMYFUNCTION("GOOGLETRANSLATE(D:D,""auto"",""en"")"),"UN Secretary-General issued a statement")</f>
        <v>UN Secretary-General issued a statement</v>
      </c>
      <c r="D3045" s="4" t="s">
        <v>4550</v>
      </c>
      <c r="E3045" s="4">
        <v>0.0</v>
      </c>
      <c r="F3045" s="4">
        <v>44.0</v>
      </c>
      <c r="G3045" s="4" t="s">
        <v>4551</v>
      </c>
    </row>
    <row r="3046">
      <c r="A3046" s="1">
        <v>3044.0</v>
      </c>
      <c r="B3046" s="4" t="s">
        <v>4485</v>
      </c>
      <c r="C3046" s="5" t="str">
        <f>IFERROR(__xludf.DUMMYFUNCTION("GOOGLETRANSLATE(D:D,""auto"",""en"")"),"Gates issued a document to talk about the new crown pneumonia")</f>
        <v>Gates issued a document to talk about the new crown pneumonia</v>
      </c>
      <c r="D3046" s="4" t="s">
        <v>4417</v>
      </c>
      <c r="E3046" s="4">
        <v>0.0</v>
      </c>
      <c r="F3046" s="4">
        <v>45.0</v>
      </c>
      <c r="G3046" s="4" t="s">
        <v>4418</v>
      </c>
    </row>
    <row r="3047">
      <c r="A3047" s="1">
        <v>3045.0</v>
      </c>
      <c r="B3047" s="4" t="s">
        <v>4485</v>
      </c>
      <c r="C3047" s="5" t="str">
        <f>IFERROR(__xludf.DUMMYFUNCTION("GOOGLETRANSLATE(D:D,""auto"",""en"")"),"Ban violent human flesh search network")</f>
        <v>Ban violent human flesh search network</v>
      </c>
      <c r="D3047" s="4" t="s">
        <v>4552</v>
      </c>
      <c r="E3047" s="4">
        <v>0.0</v>
      </c>
      <c r="F3047" s="4">
        <v>46.0</v>
      </c>
      <c r="G3047" s="4" t="s">
        <v>4553</v>
      </c>
    </row>
    <row r="3048">
      <c r="A3048" s="1">
        <v>3046.0</v>
      </c>
      <c r="B3048" s="4" t="s">
        <v>4485</v>
      </c>
      <c r="C3048" s="5" t="str">
        <f>IFERROR(__xludf.DUMMYFUNCTION("GOOGLETRANSLATE(D:D,""auto"",""en"")"),"Army to suspend some activities")</f>
        <v>Army to suspend some activities</v>
      </c>
      <c r="D3048" s="4" t="s">
        <v>4413</v>
      </c>
      <c r="E3048" s="4">
        <v>0.0</v>
      </c>
      <c r="F3048" s="4">
        <v>47.0</v>
      </c>
      <c r="G3048" s="4" t="s">
        <v>4414</v>
      </c>
    </row>
    <row r="3049">
      <c r="A3049" s="1">
        <v>3047.0</v>
      </c>
      <c r="B3049" s="4" t="s">
        <v>4485</v>
      </c>
      <c r="C3049" s="5" t="str">
        <f>IFERROR(__xludf.DUMMYFUNCTION("GOOGLETRANSLATE(D:D,""auto"",""en"")"),"Beijing will be allowed to propose three")</f>
        <v>Beijing will be allowed to propose three</v>
      </c>
      <c r="D3049" s="4" t="s">
        <v>4431</v>
      </c>
      <c r="E3049" s="4">
        <v>0.0</v>
      </c>
      <c r="F3049" s="4">
        <v>48.0</v>
      </c>
      <c r="G3049" s="4" t="s">
        <v>4432</v>
      </c>
    </row>
    <row r="3050">
      <c r="A3050" s="1">
        <v>3048.0</v>
      </c>
      <c r="B3050" s="4" t="s">
        <v>4485</v>
      </c>
      <c r="C3050" s="5" t="str">
        <f>IFERROR(__xludf.DUMMYFUNCTION("GOOGLETRANSLATE(D:D,""auto"",""en"")"),"Wuhan takeout courier to return to post")</f>
        <v>Wuhan takeout courier to return to post</v>
      </c>
      <c r="D3050" s="4" t="s">
        <v>4554</v>
      </c>
      <c r="E3050" s="4">
        <v>0.0</v>
      </c>
      <c r="F3050" s="4">
        <v>49.0</v>
      </c>
      <c r="G3050" s="4" t="s">
        <v>4555</v>
      </c>
    </row>
    <row r="3051">
      <c r="A3051" s="1">
        <v>3049.0</v>
      </c>
      <c r="B3051" s="4" t="s">
        <v>4485</v>
      </c>
      <c r="C3051" s="5" t="str">
        <f>IFERROR(__xludf.DUMMYFUNCTION("GOOGLETRANSLATE(D:D,""auto"",""en"")"),"Classical swine fever vaccine successfully created")</f>
        <v>Classical swine fever vaccine successfully created</v>
      </c>
      <c r="D3051" s="4" t="s">
        <v>4556</v>
      </c>
      <c r="E3051" s="4">
        <v>0.0</v>
      </c>
      <c r="F3051" s="4">
        <v>50.0</v>
      </c>
      <c r="G3051" s="4" t="s">
        <v>4557</v>
      </c>
    </row>
    <row r="3052">
      <c r="A3052" s="1">
        <v>3050.0</v>
      </c>
      <c r="B3052" s="4" t="s">
        <v>4558</v>
      </c>
      <c r="C3052" s="5" t="str">
        <f>IFERROR(__xludf.DUMMYFUNCTION("GOOGLETRANSLATE(D:D,""auto"",""en"")"),"Xiaozhan party issued a statement of apology")</f>
        <v>Xiaozhan party issued a statement of apology</v>
      </c>
      <c r="D3052" s="4" t="s">
        <v>4518</v>
      </c>
      <c r="E3052" s="4">
        <v>0.0</v>
      </c>
      <c r="F3052" s="4">
        <v>1.0</v>
      </c>
      <c r="G3052" s="4" t="s">
        <v>4519</v>
      </c>
    </row>
    <row r="3053">
      <c r="A3053" s="1">
        <v>3051.0</v>
      </c>
      <c r="B3053" s="4" t="s">
        <v>4558</v>
      </c>
      <c r="C3053" s="5" t="str">
        <f>IFERROR(__xludf.DUMMYFUNCTION("GOOGLETRANSLATE(D:D,""auto"",""en"")"),"The new treatment system adjusted Korean crown")</f>
        <v>The new treatment system adjusted Korean crown</v>
      </c>
      <c r="D3053" s="4" t="s">
        <v>4559</v>
      </c>
      <c r="E3053" s="4">
        <v>0.0</v>
      </c>
      <c r="F3053" s="4">
        <v>2.0</v>
      </c>
      <c r="G3053" s="4" t="s">
        <v>4560</v>
      </c>
    </row>
    <row r="3054">
      <c r="A3054" s="1">
        <v>3052.0</v>
      </c>
      <c r="B3054" s="4" t="s">
        <v>4558</v>
      </c>
      <c r="C3054" s="5" t="str">
        <f>IFERROR(__xludf.DUMMYFUNCTION("GOOGLETRANSLATE(D:D,""auto"",""en"")"),"Shenzhen new imported cases")</f>
        <v>Shenzhen new imported cases</v>
      </c>
      <c r="D3054" s="4" t="s">
        <v>4561</v>
      </c>
      <c r="E3054" s="4">
        <v>0.0</v>
      </c>
      <c r="F3054" s="4">
        <v>3.0</v>
      </c>
      <c r="G3054" s="4" t="s">
        <v>4562</v>
      </c>
    </row>
    <row r="3055">
      <c r="A3055" s="1">
        <v>3053.0</v>
      </c>
      <c r="B3055" s="4" t="s">
        <v>4558</v>
      </c>
      <c r="C3055" s="5" t="str">
        <f>IFERROR(__xludf.DUMMYFUNCTION("GOOGLETRANSLATE(D:D,""auto"",""en"")"),"Hundreds of new sources of Wuhan")</f>
        <v>Hundreds of new sources of Wuhan</v>
      </c>
      <c r="D3055" s="4" t="s">
        <v>4563</v>
      </c>
      <c r="E3055" s="4">
        <v>0.0</v>
      </c>
      <c r="F3055" s="4">
        <v>4.0</v>
      </c>
      <c r="G3055" s="4" t="s">
        <v>4564</v>
      </c>
    </row>
    <row r="3056">
      <c r="A3056" s="1">
        <v>3054.0</v>
      </c>
      <c r="B3056" s="4" t="s">
        <v>4558</v>
      </c>
      <c r="C3056" s="5" t="str">
        <f>IFERROR(__xludf.DUMMYFUNCTION("GOOGLETRANSLATE(D:D,""auto"",""en"")"),"Italy angry wrestling Members microphone")</f>
        <v>Italy angry wrestling Members microphone</v>
      </c>
      <c r="D3056" s="4" t="s">
        <v>4565</v>
      </c>
      <c r="E3056" s="4">
        <v>0.0</v>
      </c>
      <c r="F3056" s="4">
        <v>5.0</v>
      </c>
      <c r="G3056" s="4" t="s">
        <v>4566</v>
      </c>
    </row>
    <row r="3057">
      <c r="A3057" s="1">
        <v>3055.0</v>
      </c>
      <c r="B3057" s="4" t="s">
        <v>4558</v>
      </c>
      <c r="C3057" s="5" t="str">
        <f>IFERROR(__xludf.DUMMYFUNCTION("GOOGLETRANSLATE(D:D,""auto"",""en"")"),"Sicong shopping and do not wear masks")</f>
        <v>Sicong shopping and do not wear masks</v>
      </c>
      <c r="D3057" s="4" t="s">
        <v>4567</v>
      </c>
      <c r="E3057" s="4">
        <v>0.0</v>
      </c>
      <c r="F3057" s="4">
        <v>6.0</v>
      </c>
      <c r="G3057" s="4" t="s">
        <v>4568</v>
      </c>
    </row>
    <row r="3058">
      <c r="A3058" s="1">
        <v>3056.0</v>
      </c>
      <c r="B3058" s="4" t="s">
        <v>4558</v>
      </c>
      <c r="C3058" s="5" t="str">
        <f>IFERROR(__xludf.DUMMYFUNCTION("GOOGLETRANSLATE(D:D,""auto"",""en"")"),"3 pigs were stranded eaten")</f>
        <v>3 pigs were stranded eaten</v>
      </c>
      <c r="D3058" s="4" t="s">
        <v>4569</v>
      </c>
      <c r="E3058" s="4">
        <v>0.0</v>
      </c>
      <c r="F3058" s="4">
        <v>7.0</v>
      </c>
      <c r="G3058" s="4" t="s">
        <v>4570</v>
      </c>
    </row>
    <row r="3059">
      <c r="A3059" s="1">
        <v>3057.0</v>
      </c>
      <c r="B3059" s="4" t="s">
        <v>4558</v>
      </c>
      <c r="C3059" s="5" t="str">
        <f>IFERROR(__xludf.DUMMYFUNCTION("GOOGLETRANSLATE(D:D,""auto"",""en"")"),"Real Madrid beat Barcelona")</f>
        <v>Real Madrid beat Barcelona</v>
      </c>
      <c r="D3059" s="4" t="s">
        <v>4571</v>
      </c>
      <c r="E3059" s="4">
        <v>0.0</v>
      </c>
      <c r="F3059" s="4">
        <v>8.0</v>
      </c>
      <c r="G3059" s="4" t="s">
        <v>4572</v>
      </c>
    </row>
    <row r="3060">
      <c r="A3060" s="1">
        <v>3058.0</v>
      </c>
      <c r="B3060" s="4" t="s">
        <v>4558</v>
      </c>
      <c r="C3060" s="5" t="str">
        <f>IFERROR(__xludf.DUMMYFUNCTION("GOOGLETRANSLATE(D:D,""auto"",""en"")"),"Taiyuan pedestrian street full of tourists")</f>
        <v>Taiyuan pedestrian street full of tourists</v>
      </c>
      <c r="D3060" s="4" t="s">
        <v>4573</v>
      </c>
      <c r="E3060" s="4">
        <v>0.0</v>
      </c>
      <c r="F3060" s="4">
        <v>9.0</v>
      </c>
      <c r="G3060" s="4" t="s">
        <v>4574</v>
      </c>
    </row>
    <row r="3061">
      <c r="A3061" s="1">
        <v>3059.0</v>
      </c>
      <c r="B3061" s="4" t="s">
        <v>4558</v>
      </c>
      <c r="C3061" s="5" t="str">
        <f>IFERROR(__xludf.DUMMYFUNCTION("GOOGLETRANSLATE(D:D,""auto"",""en"")"),"Xintiandi president knees to apologize")</f>
        <v>Xintiandi president knees to apologize</v>
      </c>
      <c r="D3061" s="4" t="s">
        <v>4575</v>
      </c>
      <c r="E3061" s="4">
        <v>0.0</v>
      </c>
      <c r="F3061" s="4">
        <v>10.0</v>
      </c>
      <c r="G3061" s="4" t="s">
        <v>4576</v>
      </c>
    </row>
    <row r="3062">
      <c r="A3062" s="1">
        <v>3060.0</v>
      </c>
      <c r="B3062" s="4" t="s">
        <v>4558</v>
      </c>
      <c r="C3062" s="5" t="str">
        <f>IFERROR(__xludf.DUMMYFUNCTION("GOOGLETRANSLATE(D:D,""auto"",""en"")"),"Iran leader adviser's death")</f>
        <v>Iran leader adviser's death</v>
      </c>
      <c r="D3062" s="4" t="s">
        <v>4577</v>
      </c>
      <c r="E3062" s="4">
        <v>0.0</v>
      </c>
      <c r="F3062" s="4">
        <v>11.0</v>
      </c>
      <c r="G3062" s="4" t="s">
        <v>4578</v>
      </c>
    </row>
    <row r="3063">
      <c r="A3063" s="1">
        <v>3061.0</v>
      </c>
      <c r="B3063" s="4" t="s">
        <v>4558</v>
      </c>
      <c r="C3063" s="5" t="str">
        <f>IFERROR(__xludf.DUMMYFUNCTION("GOOGLETRANSLATE(D:D,""auto"",""en"")"),"South Korea 16 nurses collective resignation")</f>
        <v>South Korea 16 nurses collective resignation</v>
      </c>
      <c r="D3063" s="4" t="s">
        <v>4579</v>
      </c>
      <c r="E3063" s="4">
        <v>0.0</v>
      </c>
      <c r="F3063" s="4">
        <v>12.0</v>
      </c>
      <c r="G3063" s="4" t="s">
        <v>4580</v>
      </c>
    </row>
    <row r="3064">
      <c r="A3064" s="1">
        <v>3062.0</v>
      </c>
      <c r="B3064" s="4" t="s">
        <v>4558</v>
      </c>
      <c r="C3064" s="5" t="str">
        <f>IFERROR(__xludf.DUMMYFUNCTION("GOOGLETRANSLATE(D:D,""auto"",""en"")"),"Sun Yang announced the complete blood sample bottle")</f>
        <v>Sun Yang announced the complete blood sample bottle</v>
      </c>
      <c r="D3064" s="4" t="s">
        <v>4581</v>
      </c>
      <c r="E3064" s="4">
        <v>0.0</v>
      </c>
      <c r="F3064" s="4">
        <v>13.0</v>
      </c>
      <c r="G3064" s="4" t="s">
        <v>4582</v>
      </c>
    </row>
    <row r="3065">
      <c r="A3065" s="1">
        <v>3063.0</v>
      </c>
      <c r="B3065" s="4" t="s">
        <v>4558</v>
      </c>
      <c r="C3065" s="5" t="str">
        <f>IFERROR(__xludf.DUMMYFUNCTION("GOOGLETRANSLATE(D:D,""auto"",""en"")"),"Fuzhou bridge collapses")</f>
        <v>Fuzhou bridge collapses</v>
      </c>
      <c r="D3065" s="4" t="s">
        <v>4583</v>
      </c>
      <c r="E3065" s="4">
        <v>0.0</v>
      </c>
      <c r="F3065" s="4">
        <v>14.0</v>
      </c>
      <c r="G3065" s="4" t="s">
        <v>4584</v>
      </c>
    </row>
    <row r="3066">
      <c r="A3066" s="1">
        <v>3064.0</v>
      </c>
      <c r="B3066" s="4" t="s">
        <v>4558</v>
      </c>
      <c r="C3066" s="5" t="str">
        <f>IFERROR(__xludf.DUMMYFUNCTION("GOOGLETRANSLATE(D:D,""auto"",""en"")"),"Lang Ping donations to Wuhan")</f>
        <v>Lang Ping donations to Wuhan</v>
      </c>
      <c r="D3066" s="4" t="s">
        <v>4538</v>
      </c>
      <c r="E3066" s="4">
        <v>0.0</v>
      </c>
      <c r="F3066" s="4">
        <v>15.0</v>
      </c>
      <c r="G3066" s="4" t="s">
        <v>4539</v>
      </c>
    </row>
    <row r="3067">
      <c r="A3067" s="1">
        <v>3065.0</v>
      </c>
      <c r="B3067" s="4" t="s">
        <v>4558</v>
      </c>
      <c r="C3067" s="5" t="str">
        <f>IFERROR(__xludf.DUMMYFUNCTION("GOOGLETRANSLATE(D:D,""auto"",""en"")"),"Hubei, 22 people suspected mass poisoning")</f>
        <v>Hubei, 22 people suspected mass poisoning</v>
      </c>
      <c r="D3067" s="4" t="s">
        <v>4504</v>
      </c>
      <c r="E3067" s="4">
        <v>0.0</v>
      </c>
      <c r="F3067" s="4">
        <v>16.0</v>
      </c>
      <c r="G3067" s="4" t="s">
        <v>4505</v>
      </c>
    </row>
    <row r="3068">
      <c r="A3068" s="1">
        <v>3066.0</v>
      </c>
      <c r="B3068" s="4" t="s">
        <v>4558</v>
      </c>
      <c r="C3068" s="5" t="str">
        <f>IFERROR(__xludf.DUMMYFUNCTION("GOOGLETRANSLATE(D:D,""auto"",""en"")"),"Experts respond to virus source")</f>
        <v>Experts respond to virus source</v>
      </c>
      <c r="D3068" s="4" t="s">
        <v>4534</v>
      </c>
      <c r="E3068" s="4">
        <v>0.0</v>
      </c>
      <c r="F3068" s="4">
        <v>17.0</v>
      </c>
      <c r="G3068" s="4" t="s">
        <v>4535</v>
      </c>
    </row>
    <row r="3069">
      <c r="A3069" s="1">
        <v>3067.0</v>
      </c>
      <c r="B3069" s="4" t="s">
        <v>4558</v>
      </c>
      <c r="C3069" s="5" t="str">
        <f>IFERROR(__xludf.DUMMYFUNCTION("GOOGLETRANSLATE(D:D,""auto"",""en"")"),"After 90 evil gang destruction")</f>
        <v>After 90 evil gang destruction</v>
      </c>
      <c r="D3069" s="4" t="s">
        <v>4510</v>
      </c>
      <c r="E3069" s="4">
        <v>0.0</v>
      </c>
      <c r="F3069" s="4">
        <v>18.0</v>
      </c>
      <c r="G3069" s="4" t="s">
        <v>4511</v>
      </c>
    </row>
    <row r="3070">
      <c r="A3070" s="1">
        <v>3068.0</v>
      </c>
      <c r="B3070" s="4" t="s">
        <v>4558</v>
      </c>
      <c r="C3070" s="5" t="str">
        <f>IFERROR(__xludf.DUMMYFUNCTION("GOOGLETRANSLATE(D:D,""auto"",""en"")"),"More tickets to sell cabbage price")</f>
        <v>More tickets to sell cabbage price</v>
      </c>
      <c r="D3070" s="4" t="s">
        <v>4516</v>
      </c>
      <c r="E3070" s="4">
        <v>0.0</v>
      </c>
      <c r="F3070" s="4">
        <v>19.0</v>
      </c>
      <c r="G3070" s="4" t="s">
        <v>4517</v>
      </c>
    </row>
    <row r="3071">
      <c r="A3071" s="1">
        <v>3069.0</v>
      </c>
      <c r="B3071" s="4" t="s">
        <v>4558</v>
      </c>
      <c r="C3071" s="5" t="str">
        <f>IFERROR(__xludf.DUMMYFUNCTION("GOOGLETRANSLATE(D:D,""auto"",""en"")"),"Kobe Bryant of the victims was leaked site")</f>
        <v>Kobe Bryant of the victims was leaked site</v>
      </c>
      <c r="D3071" s="4" t="s">
        <v>4585</v>
      </c>
      <c r="E3071" s="4">
        <v>0.0</v>
      </c>
      <c r="F3071" s="4">
        <v>20.0</v>
      </c>
      <c r="G3071" s="4" t="s">
        <v>4586</v>
      </c>
    </row>
    <row r="3072">
      <c r="A3072" s="1">
        <v>3070.0</v>
      </c>
      <c r="B3072" s="4" t="s">
        <v>4558</v>
      </c>
      <c r="C3072" s="5" t="str">
        <f>IFERROR(__xludf.DUMMYFUNCTION("GOOGLETRANSLATE(D:D,""auto"",""en"")"),"Zhejiang adjustment Emergency Response")</f>
        <v>Zhejiang adjustment Emergency Response</v>
      </c>
      <c r="D3072" s="4" t="s">
        <v>4587</v>
      </c>
      <c r="E3072" s="4">
        <v>0.0</v>
      </c>
      <c r="F3072" s="4">
        <v>21.0</v>
      </c>
      <c r="G3072" s="4" t="s">
        <v>4588</v>
      </c>
    </row>
    <row r="3073">
      <c r="A3073" s="1">
        <v>3071.0</v>
      </c>
      <c r="B3073" s="4" t="s">
        <v>4558</v>
      </c>
      <c r="C3073" s="5" t="str">
        <f>IFERROR(__xludf.DUMMYFUNCTION("GOOGLETRANSLATE(D:D,""auto"",""en"")"),"Wu Lei made the opponent Oolong")</f>
        <v>Wu Lei made the opponent Oolong</v>
      </c>
      <c r="D3073" s="4" t="s">
        <v>4589</v>
      </c>
      <c r="E3073" s="4">
        <v>0.0</v>
      </c>
      <c r="F3073" s="4">
        <v>22.0</v>
      </c>
      <c r="G3073" s="4" t="s">
        <v>4590</v>
      </c>
    </row>
    <row r="3074">
      <c r="A3074" s="1">
        <v>3072.0</v>
      </c>
      <c r="B3074" s="4" t="s">
        <v>4558</v>
      </c>
      <c r="C3074" s="5" t="str">
        <f>IFERROR(__xludf.DUMMYFUNCTION("GOOGLETRANSLATE(D:D,""auto"",""en"")"),"Harvin comment Xiaozhan fan event")</f>
        <v>Harvin comment Xiaozhan fan event</v>
      </c>
      <c r="D3074" s="4" t="s">
        <v>4591</v>
      </c>
      <c r="E3074" s="4">
        <v>0.0</v>
      </c>
      <c r="F3074" s="4">
        <v>23.0</v>
      </c>
      <c r="G3074" s="4" t="s">
        <v>4592</v>
      </c>
    </row>
    <row r="3075">
      <c r="A3075" s="1">
        <v>3073.0</v>
      </c>
      <c r="B3075" s="4" t="s">
        <v>4558</v>
      </c>
      <c r="C3075" s="5" t="str">
        <f>IFERROR(__xludf.DUMMYFUNCTION("GOOGLETRANSLATE(D:D,""auto"",""en"")"),"Xue Jianing new romance suspected exposure")</f>
        <v>Xue Jianing new romance suspected exposure</v>
      </c>
      <c r="D3075" s="4" t="s">
        <v>4593</v>
      </c>
      <c r="E3075" s="4">
        <v>0.0</v>
      </c>
      <c r="F3075" s="4">
        <v>24.0</v>
      </c>
      <c r="G3075" s="4" t="s">
        <v>4594</v>
      </c>
    </row>
    <row r="3076">
      <c r="A3076" s="1">
        <v>3074.0</v>
      </c>
      <c r="B3076" s="4" t="s">
        <v>4558</v>
      </c>
      <c r="C3076" s="5" t="str">
        <f>IFERROR(__xludf.DUMMYFUNCTION("GOOGLETRANSLATE(D:D,""auto"",""en"")"),"Ma rebate Japan masks")</f>
        <v>Ma rebate Japan masks</v>
      </c>
      <c r="D3076" s="4" t="s">
        <v>4595</v>
      </c>
      <c r="E3076" s="4">
        <v>0.0</v>
      </c>
      <c r="F3076" s="4">
        <v>25.0</v>
      </c>
      <c r="G3076" s="4" t="s">
        <v>4596</v>
      </c>
    </row>
    <row r="3077">
      <c r="A3077" s="1">
        <v>3075.0</v>
      </c>
      <c r="B3077" s="4" t="s">
        <v>4558</v>
      </c>
      <c r="C3077" s="5" t="str">
        <f>IFERROR(__xludf.DUMMYFUNCTION("GOOGLETRANSLATE(D:D,""auto"",""en"")"),"Tang Wei daughter photograph was traced")</f>
        <v>Tang Wei daughter photograph was traced</v>
      </c>
      <c r="D3077" s="4" t="s">
        <v>4597</v>
      </c>
      <c r="E3077" s="4">
        <v>0.0</v>
      </c>
      <c r="F3077" s="4">
        <v>26.0</v>
      </c>
      <c r="G3077" s="4" t="s">
        <v>4598</v>
      </c>
    </row>
    <row r="3078">
      <c r="A3078" s="1">
        <v>3076.0</v>
      </c>
      <c r="B3078" s="4" t="s">
        <v>4558</v>
      </c>
      <c r="C3078" s="5" t="str">
        <f>IFERROR(__xludf.DUMMYFUNCTION("GOOGLETRANSLATE(D:D,""auto"",""en"")"),"Han home quarantine patients died")</f>
        <v>Han home quarantine patients died</v>
      </c>
      <c r="D3078" s="4" t="s">
        <v>4599</v>
      </c>
      <c r="E3078" s="4">
        <v>0.0</v>
      </c>
      <c r="F3078" s="4">
        <v>27.0</v>
      </c>
      <c r="G3078" s="4" t="s">
        <v>4600</v>
      </c>
    </row>
    <row r="3079">
      <c r="A3079" s="1">
        <v>3077.0</v>
      </c>
      <c r="B3079" s="4" t="s">
        <v>4558</v>
      </c>
      <c r="C3079" s="5" t="str">
        <f>IFERROR(__xludf.DUMMYFUNCTION("GOOGLETRANSLATE(D:D,""auto"",""en"")"),"Yunnan coal mine accident")</f>
        <v>Yunnan coal mine accident</v>
      </c>
      <c r="D3079" s="4" t="s">
        <v>4506</v>
      </c>
      <c r="E3079" s="4">
        <v>0.0</v>
      </c>
      <c r="F3079" s="4">
        <v>28.0</v>
      </c>
      <c r="G3079" s="4" t="s">
        <v>4507</v>
      </c>
    </row>
    <row r="3080">
      <c r="A3080" s="1">
        <v>3078.0</v>
      </c>
      <c r="B3080" s="4" t="s">
        <v>4558</v>
      </c>
      <c r="C3080" s="5" t="str">
        <f>IFERROR(__xludf.DUMMYFUNCTION("GOOGLETRANSLATE(D:D,""auto"",""en"")"),"Korean experts predict the worst case")</f>
        <v>Korean experts predict the worst case</v>
      </c>
      <c r="D3080" s="4" t="s">
        <v>4500</v>
      </c>
      <c r="E3080" s="4">
        <v>0.0</v>
      </c>
      <c r="F3080" s="4">
        <v>29.0</v>
      </c>
      <c r="G3080" s="4" t="s">
        <v>4501</v>
      </c>
    </row>
    <row r="3081">
      <c r="A3081" s="1">
        <v>3079.0</v>
      </c>
      <c r="B3081" s="4" t="s">
        <v>4558</v>
      </c>
      <c r="C3081" s="5" t="str">
        <f>IFERROR(__xludf.DUMMYFUNCTION("GOOGLETRANSLATE(D:D,""auto"",""en"")"),"Beijing, Tianjin and health codes interoperability")</f>
        <v>Beijing, Tianjin and health codes interoperability</v>
      </c>
      <c r="D3081" s="4" t="s">
        <v>4548</v>
      </c>
      <c r="E3081" s="4">
        <v>0.0</v>
      </c>
      <c r="F3081" s="4">
        <v>30.0</v>
      </c>
      <c r="G3081" s="4" t="s">
        <v>4549</v>
      </c>
    </row>
    <row r="3082">
      <c r="A3082" s="1">
        <v>3080.0</v>
      </c>
      <c r="B3082" s="4" t="s">
        <v>4558</v>
      </c>
      <c r="C3082" s="5" t="str">
        <f>IFERROR(__xludf.DUMMYFUNCTION("GOOGLETRANSLATE(D:D,""auto"",""en"")"),"Sicong night thumbs up")</f>
        <v>Sicong night thumbs up</v>
      </c>
      <c r="D3082" s="4" t="s">
        <v>4601</v>
      </c>
      <c r="E3082" s="4">
        <v>0.0</v>
      </c>
      <c r="F3082" s="4">
        <v>31.0</v>
      </c>
      <c r="G3082" s="4" t="s">
        <v>4602</v>
      </c>
    </row>
    <row r="3083">
      <c r="A3083" s="1">
        <v>3081.0</v>
      </c>
      <c r="B3083" s="4" t="s">
        <v>4558</v>
      </c>
      <c r="C3083" s="5" t="str">
        <f>IFERROR(__xludf.DUMMYFUNCTION("GOOGLETRANSLATE(D:D,""auto"",""en"")"),"Ko Wen-je suspected norovirus infection")</f>
        <v>Ko Wen-je suspected norovirus infection</v>
      </c>
      <c r="D3083" s="4" t="s">
        <v>4544</v>
      </c>
      <c r="E3083" s="4">
        <v>0.0</v>
      </c>
      <c r="F3083" s="4">
        <v>32.0</v>
      </c>
      <c r="G3083" s="4" t="s">
        <v>4545</v>
      </c>
    </row>
    <row r="3084">
      <c r="A3084" s="1">
        <v>3082.0</v>
      </c>
      <c r="B3084" s="4" t="s">
        <v>4558</v>
      </c>
      <c r="C3084" s="5" t="str">
        <f>IFERROR(__xludf.DUMMYFUNCTION("GOOGLETRANSLATE(D:D,""auto"",""en"")"),"The Lakers cut Daniels")</f>
        <v>The Lakers cut Daniels</v>
      </c>
      <c r="D3084" s="4" t="s">
        <v>4603</v>
      </c>
      <c r="E3084" s="4">
        <v>0.0</v>
      </c>
      <c r="F3084" s="4">
        <v>33.0</v>
      </c>
      <c r="G3084" s="4" t="s">
        <v>4604</v>
      </c>
    </row>
    <row r="3085">
      <c r="A3085" s="1">
        <v>3083.0</v>
      </c>
      <c r="B3085" s="4" t="s">
        <v>4558</v>
      </c>
      <c r="C3085" s="5" t="str">
        <f>IFERROR(__xludf.DUMMYFUNCTION("GOOGLETRANSLATE(D:D,""auto"",""en"")"),"X disease in Ethiopia")</f>
        <v>X disease in Ethiopia</v>
      </c>
      <c r="D3085" s="4" t="s">
        <v>4605</v>
      </c>
      <c r="E3085" s="4">
        <v>0.0</v>
      </c>
      <c r="F3085" s="4">
        <v>34.0</v>
      </c>
      <c r="G3085" s="4" t="s">
        <v>4606</v>
      </c>
    </row>
    <row r="3086">
      <c r="A3086" s="1">
        <v>3084.0</v>
      </c>
      <c r="B3086" s="4" t="s">
        <v>4558</v>
      </c>
      <c r="C3086" s="5" t="str">
        <f>IFERROR(__xludf.DUMMYFUNCTION("GOOGLETRANSLATE(D:D,""auto"",""en"")"),"Nancy food delivery when Yuesao")</f>
        <v>Nancy food delivery when Yuesao</v>
      </c>
      <c r="D3086" s="4" t="s">
        <v>4607</v>
      </c>
      <c r="E3086" s="4">
        <v>0.0</v>
      </c>
      <c r="F3086" s="4">
        <v>35.0</v>
      </c>
      <c r="G3086" s="4" t="s">
        <v>4608</v>
      </c>
    </row>
    <row r="3087">
      <c r="A3087" s="1">
        <v>3085.0</v>
      </c>
      <c r="B3087" s="4" t="s">
        <v>4558</v>
      </c>
      <c r="C3087" s="5" t="str">
        <f>IFERROR(__xludf.DUMMYFUNCTION("GOOGLETRANSLATE(D:D,""auto"",""en"")"),"Han arrived from survey results")</f>
        <v>Han arrived from survey results</v>
      </c>
      <c r="D3087" s="4" t="s">
        <v>4609</v>
      </c>
      <c r="E3087" s="4">
        <v>0.0</v>
      </c>
      <c r="F3087" s="4">
        <v>36.0</v>
      </c>
      <c r="G3087" s="4" t="s">
        <v>4610</v>
      </c>
    </row>
    <row r="3088">
      <c r="A3088" s="1">
        <v>3086.0</v>
      </c>
      <c r="B3088" s="4" t="s">
        <v>4558</v>
      </c>
      <c r="C3088" s="5" t="str">
        <f>IFERROR(__xludf.DUMMYFUNCTION("GOOGLETRANSLATE(D:D,""auto"",""en"")"),"Guan Xiaotong exposed to fever clinics")</f>
        <v>Guan Xiaotong exposed to fever clinics</v>
      </c>
      <c r="D3088" s="4" t="s">
        <v>4611</v>
      </c>
      <c r="E3088" s="4">
        <v>0.0</v>
      </c>
      <c r="F3088" s="4">
        <v>37.0</v>
      </c>
      <c r="G3088" s="4" t="s">
        <v>4612</v>
      </c>
    </row>
    <row r="3089">
      <c r="A3089" s="1">
        <v>3087.0</v>
      </c>
      <c r="B3089" s="4" t="s">
        <v>4558</v>
      </c>
      <c r="C3089" s="5" t="str">
        <f>IFERROR(__xludf.DUMMYFUNCTION("GOOGLETRANSLATE(D:D,""auto"",""en"")"),"Nicholas Tse Faye Wong resigned counterparts")</f>
        <v>Nicholas Tse Faye Wong resigned counterparts</v>
      </c>
      <c r="D3089" s="4" t="s">
        <v>4526</v>
      </c>
      <c r="E3089" s="4">
        <v>0.0</v>
      </c>
      <c r="F3089" s="4">
        <v>38.0</v>
      </c>
      <c r="G3089" s="4" t="s">
        <v>4527</v>
      </c>
    </row>
    <row r="3090">
      <c r="A3090" s="1">
        <v>3088.0</v>
      </c>
      <c r="B3090" s="4" t="s">
        <v>4558</v>
      </c>
      <c r="C3090" s="5" t="str">
        <f>IFERROR(__xludf.DUMMYFUNCTION("GOOGLETRANSLATE(D:D,""auto"",""en"")"),"South China market or secondary transmission")</f>
        <v>South China market or secondary transmission</v>
      </c>
      <c r="D3090" s="4" t="s">
        <v>4502</v>
      </c>
      <c r="E3090" s="4">
        <v>0.0</v>
      </c>
      <c r="F3090" s="4">
        <v>39.0</v>
      </c>
      <c r="G3090" s="4" t="s">
        <v>4503</v>
      </c>
    </row>
    <row r="3091">
      <c r="A3091" s="1">
        <v>3089.0</v>
      </c>
      <c r="B3091" s="4" t="s">
        <v>4558</v>
      </c>
      <c r="C3091" s="5" t="str">
        <f>IFERROR(__xludf.DUMMYFUNCTION("GOOGLETRANSLATE(D:D,""auto"",""en"")"),"Han Net Hubei off from the new regulations about cars")</f>
        <v>Han Net Hubei off from the new regulations about cars</v>
      </c>
      <c r="D3091" s="4" t="s">
        <v>4613</v>
      </c>
      <c r="E3091" s="4">
        <v>0.0</v>
      </c>
      <c r="F3091" s="4">
        <v>40.0</v>
      </c>
      <c r="G3091" s="4" t="s">
        <v>4614</v>
      </c>
    </row>
    <row r="3092">
      <c r="A3092" s="1">
        <v>3090.0</v>
      </c>
      <c r="B3092" s="4" t="s">
        <v>4558</v>
      </c>
      <c r="C3092" s="5" t="str">
        <f>IFERROR(__xludf.DUMMYFUNCTION("GOOGLETRANSLATE(D:D,""auto"",""en"")"),"Italian people refused to free masks")</f>
        <v>Italian people refused to free masks</v>
      </c>
      <c r="D3092" s="4" t="s">
        <v>4546</v>
      </c>
      <c r="E3092" s="4">
        <v>0.0</v>
      </c>
      <c r="F3092" s="4">
        <v>41.0</v>
      </c>
      <c r="G3092" s="4" t="s">
        <v>4547</v>
      </c>
    </row>
    <row r="3093">
      <c r="A3093" s="1">
        <v>3091.0</v>
      </c>
      <c r="B3093" s="4" t="s">
        <v>4558</v>
      </c>
      <c r="C3093" s="5" t="str">
        <f>IFERROR(__xludf.DUMMYFUNCTION("GOOGLETRANSLATE(D:D,""auto"",""en"")"),"Aciu issued Yin Zhengyi")</f>
        <v>Aciu issued Yin Zhengyi</v>
      </c>
      <c r="D3093" s="4" t="s">
        <v>4542</v>
      </c>
      <c r="E3093" s="4">
        <v>0.0</v>
      </c>
      <c r="F3093" s="4">
        <v>42.0</v>
      </c>
      <c r="G3093" s="4" t="s">
        <v>4543</v>
      </c>
    </row>
    <row r="3094">
      <c r="A3094" s="1">
        <v>3092.0</v>
      </c>
      <c r="B3094" s="4" t="s">
        <v>4558</v>
      </c>
      <c r="C3094" s="5" t="str">
        <f>IFERROR(__xludf.DUMMYFUNCTION("GOOGLETRANSLATE(D:D,""auto"",""en"")"),"Wuhan's first shelter cabin off")</f>
        <v>Wuhan's first shelter cabin off</v>
      </c>
      <c r="D3094" s="4" t="s">
        <v>4540</v>
      </c>
      <c r="E3094" s="4">
        <v>0.0</v>
      </c>
      <c r="F3094" s="4">
        <v>43.0</v>
      </c>
      <c r="G3094" s="4" t="s">
        <v>4541</v>
      </c>
    </row>
    <row r="3095">
      <c r="A3095" s="1">
        <v>3093.0</v>
      </c>
      <c r="B3095" s="4" t="s">
        <v>4558</v>
      </c>
      <c r="C3095" s="5" t="str">
        <f>IFERROR(__xludf.DUMMYFUNCTION("GOOGLETRANSLATE(D:D,""auto"",""en"")"),"Liaoning 1 new cases")</f>
        <v>Liaoning 1 new cases</v>
      </c>
      <c r="D3095" s="4" t="s">
        <v>4520</v>
      </c>
      <c r="E3095" s="4">
        <v>0.0</v>
      </c>
      <c r="F3095" s="4">
        <v>44.0</v>
      </c>
      <c r="G3095" s="4" t="s">
        <v>4521</v>
      </c>
    </row>
    <row r="3096">
      <c r="A3096" s="1">
        <v>3094.0</v>
      </c>
      <c r="B3096" s="4" t="s">
        <v>4558</v>
      </c>
      <c r="C3096" s="5" t="str">
        <f>IFERROR(__xludf.DUMMYFUNCTION("GOOGLETRANSLATE(D:D,""auto"",""en"")"),"Potala Palace is open Live")</f>
        <v>Potala Palace is open Live</v>
      </c>
      <c r="D3096" s="4" t="s">
        <v>4615</v>
      </c>
      <c r="E3096" s="4">
        <v>0.0</v>
      </c>
      <c r="F3096" s="4">
        <v>45.0</v>
      </c>
      <c r="G3096" s="4" t="s">
        <v>4616</v>
      </c>
    </row>
    <row r="3097">
      <c r="A3097" s="1">
        <v>3095.0</v>
      </c>
      <c r="B3097" s="4" t="s">
        <v>4558</v>
      </c>
      <c r="C3097" s="5" t="str">
        <f>IFERROR(__xludf.DUMMYFUNCTION("GOOGLETRANSLATE(D:D,""auto"",""en"")"),"Syrian soil-air exchange of fire")</f>
        <v>Syrian soil-air exchange of fire</v>
      </c>
      <c r="D3097" s="4" t="s">
        <v>4617</v>
      </c>
      <c r="E3097" s="4">
        <v>0.0</v>
      </c>
      <c r="F3097" s="4">
        <v>46.0</v>
      </c>
      <c r="G3097" s="4" t="s">
        <v>4618</v>
      </c>
    </row>
    <row r="3098">
      <c r="A3098" s="1">
        <v>3096.0</v>
      </c>
      <c r="B3098" s="4" t="s">
        <v>4558</v>
      </c>
      <c r="C3098" s="5" t="str">
        <f>IFERROR(__xludf.DUMMYFUNCTION("GOOGLETRANSLATE(D:D,""auto"",""en"")"),"Huayi Brothers loss of nearly 4 billion")</f>
        <v>Huayi Brothers loss of nearly 4 billion</v>
      </c>
      <c r="D3098" s="4" t="s">
        <v>4494</v>
      </c>
      <c r="E3098" s="4">
        <v>0.0</v>
      </c>
      <c r="F3098" s="4">
        <v>47.0</v>
      </c>
      <c r="G3098" s="4" t="s">
        <v>4495</v>
      </c>
    </row>
    <row r="3099">
      <c r="A3099" s="1">
        <v>3097.0</v>
      </c>
      <c r="B3099" s="4" t="s">
        <v>4558</v>
      </c>
      <c r="C3099" s="5" t="str">
        <f>IFERROR(__xludf.DUMMYFUNCTION("GOOGLETRANSLATE(D:D,""auto"",""en"")"),"Trump praised China's fight against SARS")</f>
        <v>Trump praised China's fight against SARS</v>
      </c>
      <c r="D3099" s="4" t="s">
        <v>4512</v>
      </c>
      <c r="E3099" s="4">
        <v>0.0</v>
      </c>
      <c r="F3099" s="4">
        <v>48.0</v>
      </c>
      <c r="G3099" s="4" t="s">
        <v>4513</v>
      </c>
    </row>
    <row r="3100">
      <c r="A3100" s="1">
        <v>3098.0</v>
      </c>
      <c r="B3100" s="4" t="s">
        <v>4558</v>
      </c>
      <c r="C3100" s="5" t="str">
        <f>IFERROR(__xludf.DUMMYFUNCTION("GOOGLETRANSLATE(D:D,""auto"",""en"")"),"New input two cases outside Beijing")</f>
        <v>New input two cases outside Beijing</v>
      </c>
      <c r="D3100" s="4" t="s">
        <v>4492</v>
      </c>
      <c r="E3100" s="4">
        <v>0.0</v>
      </c>
      <c r="F3100" s="4">
        <v>49.0</v>
      </c>
      <c r="G3100" s="4" t="s">
        <v>4493</v>
      </c>
    </row>
    <row r="3101">
      <c r="A3101" s="1">
        <v>3099.0</v>
      </c>
      <c r="B3101" s="4" t="s">
        <v>4558</v>
      </c>
      <c r="C3101" s="5" t="str">
        <f>IFERROR(__xludf.DUMMYFUNCTION("GOOGLETRANSLATE(D:D,""auto"",""en"")"),"Xiaozhan fan club re-issued")</f>
        <v>Xiaozhan fan club re-issued</v>
      </c>
      <c r="D3101" s="4" t="s">
        <v>4619</v>
      </c>
      <c r="E3101" s="4">
        <v>0.0</v>
      </c>
      <c r="F3101" s="4">
        <v>50.0</v>
      </c>
      <c r="G3101" s="4" t="s">
        <v>4620</v>
      </c>
    </row>
    <row r="3102">
      <c r="A3102" s="1">
        <v>3100.0</v>
      </c>
      <c r="B3102" s="4" t="s">
        <v>4621</v>
      </c>
      <c r="C3102" s="5" t="str">
        <f>IFERROR(__xludf.DUMMYFUNCTION("GOOGLETRANSLATE(D:D,""auto"",""en"")"),"Fuzhou bridge collapses")</f>
        <v>Fuzhou bridge collapses</v>
      </c>
      <c r="D3102" s="4" t="s">
        <v>4583</v>
      </c>
      <c r="E3102" s="4">
        <v>0.0</v>
      </c>
      <c r="F3102" s="4">
        <v>1.0</v>
      </c>
      <c r="G3102" s="4" t="s">
        <v>4584</v>
      </c>
    </row>
    <row r="3103">
      <c r="A3103" s="1">
        <v>3101.0</v>
      </c>
      <c r="B3103" s="4" t="s">
        <v>4621</v>
      </c>
      <c r="C3103" s="5" t="str">
        <f>IFERROR(__xludf.DUMMYFUNCTION("GOOGLETRANSLATE(D:D,""auto"",""en"")"),"28 provinces to restore passenger")</f>
        <v>28 provinces to restore passenger</v>
      </c>
      <c r="D3103" s="4" t="s">
        <v>4622</v>
      </c>
      <c r="E3103" s="4">
        <v>0.0</v>
      </c>
      <c r="F3103" s="4">
        <v>2.0</v>
      </c>
      <c r="G3103" s="4" t="s">
        <v>4623</v>
      </c>
    </row>
    <row r="3104">
      <c r="A3104" s="1">
        <v>3102.0</v>
      </c>
      <c r="B3104" s="4" t="s">
        <v>4621</v>
      </c>
      <c r="C3104" s="5" t="str">
        <f>IFERROR(__xludf.DUMMYFUNCTION("GOOGLETRANSLATE(D:D,""auto"",""en"")"),"Han home quarantine patients died")</f>
        <v>Han home quarantine patients died</v>
      </c>
      <c r="D3104" s="4" t="s">
        <v>4599</v>
      </c>
      <c r="E3104" s="4">
        <v>0.0</v>
      </c>
      <c r="F3104" s="4">
        <v>3.0</v>
      </c>
      <c r="G3104" s="4" t="s">
        <v>4600</v>
      </c>
    </row>
    <row r="3105">
      <c r="A3105" s="1">
        <v>3103.0</v>
      </c>
      <c r="B3105" s="4" t="s">
        <v>4621</v>
      </c>
      <c r="C3105" s="5" t="str">
        <f>IFERROR(__xludf.DUMMYFUNCTION("GOOGLETRANSLATE(D:D,""auto"",""en"")"),"Wuhan situation now 5 major changes")</f>
        <v>Wuhan situation now 5 major changes</v>
      </c>
      <c r="D3105" s="4" t="s">
        <v>4624</v>
      </c>
      <c r="E3105" s="4">
        <v>0.0</v>
      </c>
      <c r="F3105" s="4">
        <v>4.0</v>
      </c>
      <c r="G3105" s="4" t="s">
        <v>4625</v>
      </c>
    </row>
    <row r="3106">
      <c r="A3106" s="1">
        <v>3104.0</v>
      </c>
      <c r="B3106" s="4" t="s">
        <v>4621</v>
      </c>
      <c r="C3106" s="5" t="str">
        <f>IFERROR(__xludf.DUMMYFUNCTION("GOOGLETRANSLATE(D:D,""auto"",""en"")"),"Beijing CDC people were accountable")</f>
        <v>Beijing CDC people were accountable</v>
      </c>
      <c r="D3106" s="4" t="s">
        <v>4626</v>
      </c>
      <c r="E3106" s="4">
        <v>0.0</v>
      </c>
      <c r="F3106" s="4">
        <v>5.0</v>
      </c>
      <c r="G3106" s="4" t="s">
        <v>4627</v>
      </c>
    </row>
    <row r="3107">
      <c r="A3107" s="1">
        <v>3105.0</v>
      </c>
      <c r="B3107" s="4" t="s">
        <v>4621</v>
      </c>
      <c r="C3107" s="5" t="str">
        <f>IFERROR(__xludf.DUMMYFUNCTION("GOOGLETRANSLATE(D:D,""auto"",""en"")"),"Sun Yang announced the complete blood sample bottle")</f>
        <v>Sun Yang announced the complete blood sample bottle</v>
      </c>
      <c r="D3107" s="4" t="s">
        <v>4581</v>
      </c>
      <c r="E3107" s="4">
        <v>0.0</v>
      </c>
      <c r="F3107" s="4">
        <v>6.0</v>
      </c>
      <c r="G3107" s="4" t="s">
        <v>4582</v>
      </c>
    </row>
    <row r="3108">
      <c r="A3108" s="1">
        <v>3106.0</v>
      </c>
      <c r="B3108" s="4" t="s">
        <v>4621</v>
      </c>
      <c r="C3108" s="5" t="str">
        <f>IFERROR(__xludf.DUMMYFUNCTION("GOOGLETRANSLATE(D:D,""auto"",""en"")"),"16 new jobs release")</f>
        <v>16 new jobs release</v>
      </c>
      <c r="D3108" s="4" t="s">
        <v>4628</v>
      </c>
      <c r="E3108" s="4">
        <v>0.0</v>
      </c>
      <c r="F3108" s="4">
        <v>7.0</v>
      </c>
      <c r="G3108" s="4" t="s">
        <v>4629</v>
      </c>
    </row>
    <row r="3109">
      <c r="A3109" s="1">
        <v>3107.0</v>
      </c>
      <c r="B3109" s="4" t="s">
        <v>4621</v>
      </c>
      <c r="C3109" s="5" t="str">
        <f>IFERROR(__xludf.DUMMYFUNCTION("GOOGLETRANSLATE(D:D,""auto"",""en"")"),"Liaoning police Mengxian Long sacrifice")</f>
        <v>Liaoning police Mengxian Long sacrifice</v>
      </c>
      <c r="D3109" s="4" t="s">
        <v>4630</v>
      </c>
      <c r="E3109" s="4">
        <v>0.0</v>
      </c>
      <c r="F3109" s="4">
        <v>8.0</v>
      </c>
      <c r="G3109" s="4" t="s">
        <v>4631</v>
      </c>
    </row>
    <row r="3110">
      <c r="A3110" s="1">
        <v>3108.0</v>
      </c>
      <c r="B3110" s="4" t="s">
        <v>4621</v>
      </c>
      <c r="C3110" s="5" t="str">
        <f>IFERROR(__xludf.DUMMYFUNCTION("GOOGLETRANSLATE(D:D,""auto"",""en"")"),"Xiaozhan endorsement by boycott")</f>
        <v>Xiaozhan endorsement by boycott</v>
      </c>
      <c r="D3110" s="4" t="s">
        <v>4632</v>
      </c>
      <c r="E3110" s="4">
        <v>0.0</v>
      </c>
      <c r="F3110" s="4">
        <v>9.0</v>
      </c>
      <c r="G3110" s="4" t="s">
        <v>4633</v>
      </c>
    </row>
    <row r="3111">
      <c r="A3111" s="1">
        <v>3109.0</v>
      </c>
      <c r="B3111" s="4" t="s">
        <v>4621</v>
      </c>
      <c r="C3111" s="5" t="str">
        <f>IFERROR(__xludf.DUMMYFUNCTION("GOOGLETRANSLATE(D:D,""auto"",""en"")"),"Li Yuehua respond to the survey")</f>
        <v>Li Yuehua respond to the survey</v>
      </c>
      <c r="D3111" s="4" t="s">
        <v>4634</v>
      </c>
      <c r="E3111" s="4">
        <v>0.0</v>
      </c>
      <c r="F3111" s="4">
        <v>10.0</v>
      </c>
      <c r="G3111" s="4" t="s">
        <v>4635</v>
      </c>
    </row>
    <row r="3112">
      <c r="A3112" s="1">
        <v>3110.0</v>
      </c>
      <c r="B3112" s="4" t="s">
        <v>4621</v>
      </c>
      <c r="C3112" s="5" t="str">
        <f>IFERROR(__xludf.DUMMYFUNCTION("GOOGLETRANSLATE(D:D,""auto"",""en"")"),"According to the findings of Kobe killed")</f>
        <v>According to the findings of Kobe killed</v>
      </c>
      <c r="D3112" s="4" t="s">
        <v>4636</v>
      </c>
      <c r="E3112" s="4">
        <v>0.0</v>
      </c>
      <c r="F3112" s="4">
        <v>11.0</v>
      </c>
      <c r="G3112" s="4" t="s">
        <v>4637</v>
      </c>
    </row>
    <row r="3113">
      <c r="A3113" s="1">
        <v>3111.0</v>
      </c>
      <c r="B3113" s="4" t="s">
        <v>4621</v>
      </c>
      <c r="C3113" s="5" t="str">
        <f>IFERROR(__xludf.DUMMYFUNCTION("GOOGLETRANSLATE(D:D,""auto"",""en"")"),"Nanjing Gulou District earthquake")</f>
        <v>Nanjing Gulou District earthquake</v>
      </c>
      <c r="D3113" s="4" t="s">
        <v>4638</v>
      </c>
      <c r="E3113" s="4">
        <v>0.0</v>
      </c>
      <c r="F3113" s="4">
        <v>12.0</v>
      </c>
      <c r="G3113" s="4" t="s">
        <v>4639</v>
      </c>
    </row>
    <row r="3114">
      <c r="A3114" s="1">
        <v>3112.0</v>
      </c>
      <c r="B3114" s="4" t="s">
        <v>4621</v>
      </c>
      <c r="C3114" s="5" t="str">
        <f>IFERROR(__xludf.DUMMYFUNCTION("GOOGLETRANSLATE(D:D,""auto"",""en"")"),"Zhejiang is now Italy imported cases")</f>
        <v>Zhejiang is now Italy imported cases</v>
      </c>
      <c r="D3114" s="4" t="s">
        <v>4640</v>
      </c>
      <c r="E3114" s="4">
        <v>0.0</v>
      </c>
      <c r="F3114" s="4">
        <v>13.0</v>
      </c>
      <c r="G3114" s="4" t="s">
        <v>4641</v>
      </c>
    </row>
    <row r="3115">
      <c r="A3115" s="1">
        <v>3113.0</v>
      </c>
      <c r="B3115" s="4" t="s">
        <v>4621</v>
      </c>
      <c r="C3115" s="5" t="str">
        <f>IFERROR(__xludf.DUMMYFUNCTION("GOOGLETRANSLATE(D:D,""auto"",""en"")"),"Fly X36 krypton book online summit")</f>
        <v>Fly X36 krypton book online summit</v>
      </c>
      <c r="D3115" s="4" t="s">
        <v>4642</v>
      </c>
      <c r="E3115" s="4">
        <v>0.0</v>
      </c>
      <c r="F3115" s="4">
        <v>14.0</v>
      </c>
      <c r="G3115" s="4" t="s">
        <v>4643</v>
      </c>
    </row>
    <row r="3116">
      <c r="A3116" s="1">
        <v>3114.0</v>
      </c>
      <c r="B3116" s="4" t="s">
        <v>4621</v>
      </c>
      <c r="C3116" s="5" t="str">
        <f>IFERROR(__xludf.DUMMYFUNCTION("GOOGLETRANSLATE(D:D,""auto"",""en"")"),"Doctors Meizhong Ming's death")</f>
        <v>Doctors Meizhong Ming's death</v>
      </c>
      <c r="D3116" s="4" t="s">
        <v>4644</v>
      </c>
      <c r="E3116" s="4">
        <v>0.0</v>
      </c>
      <c r="F3116" s="4">
        <v>15.0</v>
      </c>
      <c r="G3116" s="4" t="s">
        <v>4645</v>
      </c>
    </row>
    <row r="3117">
      <c r="A3117" s="1">
        <v>3115.0</v>
      </c>
      <c r="B3117" s="4" t="s">
        <v>4621</v>
      </c>
      <c r="C3117" s="5" t="str">
        <f>IFERROR(__xludf.DUMMYFUNCTION("GOOGLETRANSLATE(D:D,""auto"",""en"")"),"Dandong new zero-terminated 23 days")</f>
        <v>Dandong new zero-terminated 23 days</v>
      </c>
      <c r="D3117" s="4" t="s">
        <v>4646</v>
      </c>
      <c r="E3117" s="4">
        <v>0.0</v>
      </c>
      <c r="F3117" s="4">
        <v>16.0</v>
      </c>
      <c r="G3117" s="4" t="s">
        <v>4647</v>
      </c>
    </row>
    <row r="3118">
      <c r="A3118" s="1">
        <v>3116.0</v>
      </c>
      <c r="B3118" s="4" t="s">
        <v>4621</v>
      </c>
      <c r="C3118" s="5" t="str">
        <f>IFERROR(__xludf.DUMMYFUNCTION("GOOGLETRANSLATE(D:D,""auto"",""en"")"),"Wuhan stayers may receive grants")</f>
        <v>Wuhan stayers may receive grants</v>
      </c>
      <c r="D3118" s="4" t="s">
        <v>4648</v>
      </c>
      <c r="E3118" s="4">
        <v>0.0</v>
      </c>
      <c r="F3118" s="4">
        <v>17.0</v>
      </c>
      <c r="G3118" s="4" t="s">
        <v>4649</v>
      </c>
    </row>
    <row r="3119">
      <c r="A3119" s="1">
        <v>3117.0</v>
      </c>
      <c r="B3119" s="4" t="s">
        <v>4621</v>
      </c>
      <c r="C3119" s="5" t="str">
        <f>IFERROR(__xludf.DUMMYFUNCTION("GOOGLETRANSLATE(D:D,""auto"",""en"")"),"Iran Chinese charter flights to return home")</f>
        <v>Iran Chinese charter flights to return home</v>
      </c>
      <c r="D3119" s="4" t="s">
        <v>4650</v>
      </c>
      <c r="E3119" s="4">
        <v>0.0</v>
      </c>
      <c r="F3119" s="4">
        <v>18.0</v>
      </c>
      <c r="G3119" s="4" t="s">
        <v>4651</v>
      </c>
    </row>
    <row r="3120">
      <c r="A3120" s="1">
        <v>3118.0</v>
      </c>
      <c r="B3120" s="4" t="s">
        <v>4621</v>
      </c>
      <c r="C3120" s="5" t="str">
        <f>IFERROR(__xludf.DUMMYFUNCTION("GOOGLETRANSLATE(D:D,""auto"",""en"")"),"The whole nation behind Japan's aid to China")</f>
        <v>The whole nation behind Japan's aid to China</v>
      </c>
      <c r="D3120" s="4" t="s">
        <v>4652</v>
      </c>
      <c r="E3120" s="4">
        <v>0.0</v>
      </c>
      <c r="F3120" s="4">
        <v>19.0</v>
      </c>
      <c r="G3120" s="4" t="s">
        <v>4653</v>
      </c>
    </row>
    <row r="3121">
      <c r="A3121" s="1">
        <v>3119.0</v>
      </c>
      <c r="B3121" s="4" t="s">
        <v>4621</v>
      </c>
      <c r="C3121" s="5" t="str">
        <f>IFERROR(__xludf.DUMMYFUNCTION("GOOGLETRANSLATE(D:D,""auto"",""en"")"),"Hubei orderly shut down the shelter")</f>
        <v>Hubei orderly shut down the shelter</v>
      </c>
      <c r="D3121" s="4" t="s">
        <v>4654</v>
      </c>
      <c r="E3121" s="4">
        <v>0.0</v>
      </c>
      <c r="F3121" s="4">
        <v>20.0</v>
      </c>
      <c r="G3121" s="4" t="s">
        <v>4655</v>
      </c>
    </row>
    <row r="3122">
      <c r="A3122" s="1">
        <v>3120.0</v>
      </c>
      <c r="B3122" s="4" t="s">
        <v>4621</v>
      </c>
      <c r="C3122" s="5" t="str">
        <f>IFERROR(__xludf.DUMMYFUNCTION("GOOGLETRANSLATE(D:D,""auto"",""en"")"),"South Korea 16 nurses collective resignation")</f>
        <v>South Korea 16 nurses collective resignation</v>
      </c>
      <c r="D3122" s="4" t="s">
        <v>4579</v>
      </c>
      <c r="E3122" s="4">
        <v>0.0</v>
      </c>
      <c r="F3122" s="4">
        <v>21.0</v>
      </c>
      <c r="G3122" s="4" t="s">
        <v>4580</v>
      </c>
    </row>
    <row r="3123">
      <c r="A3123" s="1">
        <v>3121.0</v>
      </c>
      <c r="B3123" s="4" t="s">
        <v>4621</v>
      </c>
      <c r="C3123" s="5" t="str">
        <f>IFERROR(__xludf.DUMMYFUNCTION("GOOGLETRANSLATE(D:D,""auto"",""en"")"),"Iran leader adviser's death")</f>
        <v>Iran leader adviser's death</v>
      </c>
      <c r="D3123" s="4" t="s">
        <v>4577</v>
      </c>
      <c r="E3123" s="4">
        <v>0.0</v>
      </c>
      <c r="F3123" s="4">
        <v>22.0</v>
      </c>
      <c r="G3123" s="4" t="s">
        <v>4578</v>
      </c>
    </row>
    <row r="3124">
      <c r="A3124" s="1">
        <v>3122.0</v>
      </c>
      <c r="B3124" s="4" t="s">
        <v>4621</v>
      </c>
      <c r="C3124" s="5" t="str">
        <f>IFERROR(__xludf.DUMMYFUNCTION("GOOGLETRANSLATE(D:D,""auto"",""en"")"),"China holds the rotating presidency")</f>
        <v>China holds the rotating presidency</v>
      </c>
      <c r="D3124" s="4" t="s">
        <v>4656</v>
      </c>
      <c r="E3124" s="4">
        <v>0.0</v>
      </c>
      <c r="F3124" s="4">
        <v>23.0</v>
      </c>
      <c r="G3124" s="4" t="s">
        <v>4657</v>
      </c>
    </row>
    <row r="3125">
      <c r="A3125" s="1">
        <v>3123.0</v>
      </c>
      <c r="B3125" s="4" t="s">
        <v>4621</v>
      </c>
      <c r="C3125" s="5" t="str">
        <f>IFERROR(__xludf.DUMMYFUNCTION("GOOGLETRANSLATE(D:D,""auto"",""en"")"),"Hubei is now outside New bounce")</f>
        <v>Hubei is now outside New bounce</v>
      </c>
      <c r="D3125" s="4" t="s">
        <v>4658</v>
      </c>
      <c r="E3125" s="4">
        <v>0.0</v>
      </c>
      <c r="F3125" s="4">
        <v>24.0</v>
      </c>
      <c r="G3125" s="4" t="s">
        <v>4659</v>
      </c>
    </row>
    <row r="3126">
      <c r="A3126" s="1">
        <v>3124.0</v>
      </c>
      <c r="B3126" s="4" t="s">
        <v>4621</v>
      </c>
      <c r="C3126" s="5" t="str">
        <f>IFERROR(__xludf.DUMMYFUNCTION("GOOGLETRANSLATE(D:D,""auto"",""en"")"),"Merkel refused to shake hands")</f>
        <v>Merkel refused to shake hands</v>
      </c>
      <c r="D3126" s="4" t="s">
        <v>4660</v>
      </c>
      <c r="E3126" s="4">
        <v>0.0</v>
      </c>
      <c r="F3126" s="4">
        <v>25.0</v>
      </c>
      <c r="G3126" s="4" t="s">
        <v>4661</v>
      </c>
    </row>
    <row r="3127">
      <c r="A3127" s="1">
        <v>3125.0</v>
      </c>
      <c r="B3127" s="4" t="s">
        <v>4621</v>
      </c>
      <c r="C3127" s="5" t="str">
        <f>IFERROR(__xludf.DUMMYFUNCTION("GOOGLETRANSLATE(D:D,""auto"",""en"")"),"Hubei TV now oolong")</f>
        <v>Hubei TV now oolong</v>
      </c>
      <c r="D3127" s="4" t="s">
        <v>4662</v>
      </c>
      <c r="E3127" s="4">
        <v>0.0</v>
      </c>
      <c r="F3127" s="4">
        <v>26.0</v>
      </c>
      <c r="G3127" s="4" t="s">
        <v>4663</v>
      </c>
    </row>
    <row r="3128">
      <c r="A3128" s="1">
        <v>3126.0</v>
      </c>
      <c r="B3128" s="4" t="s">
        <v>4621</v>
      </c>
      <c r="C3128" s="5" t="str">
        <f>IFERROR(__xludf.DUMMYFUNCTION("GOOGLETRANSLATE(D:D,""auto"",""en"")"),"Ma rebate Japan masks")</f>
        <v>Ma rebate Japan masks</v>
      </c>
      <c r="D3128" s="4" t="s">
        <v>4595</v>
      </c>
      <c r="E3128" s="4">
        <v>0.0</v>
      </c>
      <c r="F3128" s="4">
        <v>27.0</v>
      </c>
      <c r="G3128" s="4" t="s">
        <v>4596</v>
      </c>
    </row>
    <row r="3129">
      <c r="A3129" s="1">
        <v>3127.0</v>
      </c>
      <c r="B3129" s="4" t="s">
        <v>4621</v>
      </c>
      <c r="C3129" s="5" t="str">
        <f>IFERROR(__xludf.DUMMYFUNCTION("GOOGLETRANSLATE(D:D,""auto"",""en"")"),"Day medium referred Niikappu pluripotent own more and more")</f>
        <v>Day medium referred Niikappu pluripotent own more and more</v>
      </c>
      <c r="D3129" s="4" t="s">
        <v>4664</v>
      </c>
      <c r="E3129" s="4">
        <v>0.0</v>
      </c>
      <c r="F3129" s="4">
        <v>28.0</v>
      </c>
      <c r="G3129" s="4" t="s">
        <v>4665</v>
      </c>
    </row>
    <row r="3130">
      <c r="A3130" s="1">
        <v>3128.0</v>
      </c>
      <c r="B3130" s="4" t="s">
        <v>4621</v>
      </c>
      <c r="C3130" s="5" t="str">
        <f>IFERROR(__xludf.DUMMYFUNCTION("GOOGLETRANSLATE(D:D,""auto"",""en"")"),"Japan masks a 300 yuan")</f>
        <v>Japan masks a 300 yuan</v>
      </c>
      <c r="D3130" s="4" t="s">
        <v>4666</v>
      </c>
      <c r="E3130" s="4">
        <v>0.0</v>
      </c>
      <c r="F3130" s="4">
        <v>29.0</v>
      </c>
      <c r="G3130" s="4" t="s">
        <v>4667</v>
      </c>
    </row>
    <row r="3131">
      <c r="A3131" s="1">
        <v>3129.0</v>
      </c>
      <c r="B3131" s="4" t="s">
        <v>4621</v>
      </c>
      <c r="C3131" s="5" t="str">
        <f>IFERROR(__xludf.DUMMYFUNCTION("GOOGLETRANSLATE(D:D,""auto"",""en"")"),"Curry was delegated three hours")</f>
        <v>Curry was delegated three hours</v>
      </c>
      <c r="D3131" s="4" t="s">
        <v>4668</v>
      </c>
      <c r="E3131" s="4">
        <v>0.0</v>
      </c>
      <c r="F3131" s="4">
        <v>30.0</v>
      </c>
      <c r="G3131" s="4" t="s">
        <v>4669</v>
      </c>
    </row>
    <row r="3132">
      <c r="A3132" s="1">
        <v>3130.0</v>
      </c>
      <c r="B3132" s="4" t="s">
        <v>4621</v>
      </c>
      <c r="C3132" s="5" t="str">
        <f>IFERROR(__xludf.DUMMYFUNCTION("GOOGLETRANSLATE(D:D,""auto"",""en"")"),"Pupils wrong high school chemistry")</f>
        <v>Pupils wrong high school chemistry</v>
      </c>
      <c r="D3132" s="4" t="s">
        <v>4670</v>
      </c>
      <c r="E3132" s="4">
        <v>0.0</v>
      </c>
      <c r="F3132" s="4">
        <v>31.0</v>
      </c>
      <c r="G3132" s="4" t="s">
        <v>4671</v>
      </c>
    </row>
    <row r="3133">
      <c r="A3133" s="1">
        <v>3131.0</v>
      </c>
      <c r="B3133" s="4" t="s">
        <v>4621</v>
      </c>
      <c r="C3133" s="5" t="str">
        <f>IFERROR(__xludf.DUMMYFUNCTION("GOOGLETRANSLATE(D:D,""auto"",""en"")"),"LCK announced an indefinite suspension")</f>
        <v>LCK announced an indefinite suspension</v>
      </c>
      <c r="D3133" s="4" t="s">
        <v>4672</v>
      </c>
      <c r="E3133" s="4">
        <v>0.0</v>
      </c>
      <c r="F3133" s="4">
        <v>32.0</v>
      </c>
      <c r="G3133" s="4" t="s">
        <v>4673</v>
      </c>
    </row>
    <row r="3134">
      <c r="A3134" s="1">
        <v>3132.0</v>
      </c>
      <c r="B3134" s="4" t="s">
        <v>4621</v>
      </c>
      <c r="C3134" s="5" t="str">
        <f>IFERROR(__xludf.DUMMYFUNCTION("GOOGLETRANSLATE(D:D,""auto"",""en"")"),"ZHANG Wen-hong talk about the resumption of work")</f>
        <v>ZHANG Wen-hong talk about the resumption of work</v>
      </c>
      <c r="D3134" s="4" t="s">
        <v>4674</v>
      </c>
      <c r="E3134" s="4">
        <v>0.0</v>
      </c>
      <c r="F3134" s="4">
        <v>33.0</v>
      </c>
      <c r="G3134" s="4" t="s">
        <v>4675</v>
      </c>
    </row>
    <row r="3135">
      <c r="A3135" s="1">
        <v>3133.0</v>
      </c>
      <c r="B3135" s="4" t="s">
        <v>4621</v>
      </c>
      <c r="C3135" s="5" t="str">
        <f>IFERROR(__xludf.DUMMYFUNCTION("GOOGLETRANSLATE(D:D,""auto"",""en"")"),"Huanggang thanks to donations Zheng Shuang")</f>
        <v>Huanggang thanks to donations Zheng Shuang</v>
      </c>
      <c r="D3135" s="4" t="s">
        <v>4676</v>
      </c>
      <c r="E3135" s="4">
        <v>0.0</v>
      </c>
      <c r="F3135" s="4">
        <v>34.0</v>
      </c>
      <c r="G3135" s="4" t="s">
        <v>4677</v>
      </c>
    </row>
    <row r="3136">
      <c r="A3136" s="1">
        <v>3134.0</v>
      </c>
      <c r="B3136" s="4" t="s">
        <v>4621</v>
      </c>
      <c r="C3136" s="5" t="str">
        <f>IFERROR(__xludf.DUMMYFUNCTION("GOOGLETRANSLATE(D:D,""auto"",""en"")"),"Fever hospital six days parents do not")</f>
        <v>Fever hospital six days parents do not</v>
      </c>
      <c r="D3136" s="4" t="s">
        <v>4678</v>
      </c>
      <c r="E3136" s="4">
        <v>0.0</v>
      </c>
      <c r="F3136" s="4">
        <v>35.0</v>
      </c>
      <c r="G3136" s="4" t="s">
        <v>4679</v>
      </c>
    </row>
    <row r="3137">
      <c r="A3137" s="1">
        <v>3135.0</v>
      </c>
      <c r="B3137" s="4" t="s">
        <v>4621</v>
      </c>
      <c r="C3137" s="5" t="str">
        <f>IFERROR(__xludf.DUMMYFUNCTION("GOOGLETRANSLATE(D:D,""auto"",""en"")"),"Iran 23 members confirmed")</f>
        <v>Iran 23 members confirmed</v>
      </c>
      <c r="D3137" s="4" t="s">
        <v>4680</v>
      </c>
      <c r="E3137" s="4">
        <v>0.0</v>
      </c>
      <c r="F3137" s="4">
        <v>36.0</v>
      </c>
      <c r="G3137" s="4" t="s">
        <v>4681</v>
      </c>
    </row>
    <row r="3138">
      <c r="A3138" s="1">
        <v>3136.0</v>
      </c>
      <c r="B3138" s="4" t="s">
        <v>4621</v>
      </c>
      <c r="C3138" s="5" t="str">
        <f>IFERROR(__xludf.DUMMYFUNCTION("GOOGLETRANSLATE(D:D,""auto"",""en"")"),"Wang Feng eldest daughter dispatch")</f>
        <v>Wang Feng eldest daughter dispatch</v>
      </c>
      <c r="D3138" s="4" t="s">
        <v>4682</v>
      </c>
      <c r="E3138" s="4">
        <v>0.0</v>
      </c>
      <c r="F3138" s="4">
        <v>37.0</v>
      </c>
      <c r="G3138" s="4" t="s">
        <v>4683</v>
      </c>
    </row>
    <row r="3139">
      <c r="A3139" s="1">
        <v>3137.0</v>
      </c>
      <c r="B3139" s="4" t="s">
        <v>4621</v>
      </c>
      <c r="C3139" s="5" t="str">
        <f>IFERROR(__xludf.DUMMYFUNCTION("GOOGLETRANSLATE(D:D,""auto"",""en"")"),"Tang Wei daughter photograph was traced")</f>
        <v>Tang Wei daughter photograph was traced</v>
      </c>
      <c r="D3139" s="4" t="s">
        <v>4597</v>
      </c>
      <c r="E3139" s="4">
        <v>0.0</v>
      </c>
      <c r="F3139" s="4">
        <v>38.0</v>
      </c>
      <c r="G3139" s="4" t="s">
        <v>4598</v>
      </c>
    </row>
    <row r="3140">
      <c r="A3140" s="1">
        <v>3138.0</v>
      </c>
      <c r="B3140" s="4" t="s">
        <v>4621</v>
      </c>
      <c r="C3140" s="5" t="str">
        <f>IFERROR(__xludf.DUMMYFUNCTION("GOOGLETRANSLATE(D:D,""auto"",""en"")"),"Gao Xin volunteer to plant masks")</f>
        <v>Gao Xin volunteer to plant masks</v>
      </c>
      <c r="D3140" s="4" t="s">
        <v>4684</v>
      </c>
      <c r="E3140" s="4">
        <v>0.0</v>
      </c>
      <c r="F3140" s="4">
        <v>39.0</v>
      </c>
      <c r="G3140" s="4" t="s">
        <v>4685</v>
      </c>
    </row>
    <row r="3141">
      <c r="A3141" s="1">
        <v>3139.0</v>
      </c>
      <c r="B3141" s="4" t="s">
        <v>4621</v>
      </c>
      <c r="C3141" s="5" t="str">
        <f>IFERROR(__xludf.DUMMYFUNCTION("GOOGLETRANSLATE(D:D,""auto"",""en"")"),"17-year-old ad exposure Zhang Ziyi photo")</f>
        <v>17-year-old ad exposure Zhang Ziyi photo</v>
      </c>
      <c r="D3141" s="4" t="s">
        <v>4686</v>
      </c>
      <c r="E3141" s="4">
        <v>0.0</v>
      </c>
      <c r="F3141" s="4">
        <v>40.0</v>
      </c>
      <c r="G3141" s="4" t="s">
        <v>4687</v>
      </c>
    </row>
    <row r="3142">
      <c r="A3142" s="1">
        <v>3140.0</v>
      </c>
      <c r="B3142" s="4" t="s">
        <v>4621</v>
      </c>
      <c r="C3142" s="5" t="str">
        <f>IFERROR(__xludf.DUMMYFUNCTION("GOOGLETRANSLATE(D:D,""auto"",""en"")"),"Treatment program translated into Persian")</f>
        <v>Treatment program translated into Persian</v>
      </c>
      <c r="D3142" s="4" t="s">
        <v>4688</v>
      </c>
      <c r="E3142" s="4">
        <v>0.0</v>
      </c>
      <c r="F3142" s="4">
        <v>41.0</v>
      </c>
      <c r="G3142" s="4" t="s">
        <v>4689</v>
      </c>
    </row>
    <row r="3143">
      <c r="A3143" s="1">
        <v>3141.0</v>
      </c>
      <c r="B3143" s="4" t="s">
        <v>4621</v>
      </c>
      <c r="C3143" s="5" t="str">
        <f>IFERROR(__xludf.DUMMYFUNCTION("GOOGLETRANSLATE(D:D,""auto"",""en"")"),"Hubei wild boar hog cholera epidemic now")</f>
        <v>Hubei wild boar hog cholera epidemic now</v>
      </c>
      <c r="D3143" s="4" t="s">
        <v>4690</v>
      </c>
      <c r="E3143" s="4">
        <v>0.0</v>
      </c>
      <c r="F3143" s="4">
        <v>42.0</v>
      </c>
      <c r="G3143" s="4" t="s">
        <v>4691</v>
      </c>
    </row>
    <row r="3144">
      <c r="A3144" s="1">
        <v>3142.0</v>
      </c>
      <c r="B3144" s="4" t="s">
        <v>4621</v>
      </c>
      <c r="C3144" s="5" t="str">
        <f>IFERROR(__xludf.DUMMYFUNCTION("GOOGLETRANSLATE(D:D,""auto"",""en"")"),"Lu Lu jumping hip-hop dance")</f>
        <v>Lu Lu jumping hip-hop dance</v>
      </c>
      <c r="D3144" s="4" t="s">
        <v>4692</v>
      </c>
      <c r="E3144" s="4">
        <v>0.0</v>
      </c>
      <c r="F3144" s="4">
        <v>43.0</v>
      </c>
      <c r="G3144" s="4" t="s">
        <v>4693</v>
      </c>
    </row>
    <row r="3145">
      <c r="A3145" s="1">
        <v>3143.0</v>
      </c>
      <c r="B3145" s="4" t="s">
        <v>4621</v>
      </c>
      <c r="C3145" s="5" t="str">
        <f>IFERROR(__xludf.DUMMYFUNCTION("GOOGLETRANSLATE(D:D,""auto"",""en"")"),"Xue Jianing new romance suspected exposure")</f>
        <v>Xue Jianing new romance suspected exposure</v>
      </c>
      <c r="D3145" s="4" t="s">
        <v>4593</v>
      </c>
      <c r="E3145" s="4">
        <v>0.0</v>
      </c>
      <c r="F3145" s="4">
        <v>44.0</v>
      </c>
      <c r="G3145" s="4" t="s">
        <v>4594</v>
      </c>
    </row>
    <row r="3146">
      <c r="A3146" s="1">
        <v>3144.0</v>
      </c>
      <c r="B3146" s="4" t="s">
        <v>4621</v>
      </c>
      <c r="C3146" s="5" t="str">
        <f>IFERROR(__xludf.DUMMYFUNCTION("GOOGLETRANSLATE(D:D,""auto"",""en"")"),"Yang Yi Ting appeared pregnant belly")</f>
        <v>Yang Yi Ting appeared pregnant belly</v>
      </c>
      <c r="D3146" s="4" t="s">
        <v>4694</v>
      </c>
      <c r="E3146" s="4">
        <v>0.0</v>
      </c>
      <c r="F3146" s="4">
        <v>45.0</v>
      </c>
      <c r="G3146" s="4" t="s">
        <v>4695</v>
      </c>
    </row>
    <row r="3147">
      <c r="A3147" s="1">
        <v>3145.0</v>
      </c>
      <c r="B3147" s="4" t="s">
        <v>4621</v>
      </c>
      <c r="C3147" s="5" t="str">
        <f>IFERROR(__xludf.DUMMYFUNCTION("GOOGLETRANSLATE(D:D,""auto"",""en"")"),"Lu Lu response network Red Wind")</f>
        <v>Lu Lu response network Red Wind</v>
      </c>
      <c r="D3147" s="4" t="s">
        <v>4696</v>
      </c>
      <c r="E3147" s="4">
        <v>0.0</v>
      </c>
      <c r="F3147" s="4">
        <v>46.0</v>
      </c>
      <c r="G3147" s="4" t="s">
        <v>4697</v>
      </c>
    </row>
    <row r="3148">
      <c r="A3148" s="1">
        <v>3146.0</v>
      </c>
      <c r="B3148" s="4" t="s">
        <v>4621</v>
      </c>
      <c r="C3148" s="5" t="str">
        <f>IFERROR(__xludf.DUMMYFUNCTION("GOOGLETRANSLATE(D:D,""auto"",""en"")"),"Fan Bingbing magazine cover overseas")</f>
        <v>Fan Bingbing magazine cover overseas</v>
      </c>
      <c r="D3148" s="4" t="s">
        <v>4698</v>
      </c>
      <c r="E3148" s="4">
        <v>0.0</v>
      </c>
      <c r="F3148" s="4">
        <v>47.0</v>
      </c>
      <c r="G3148" s="4" t="s">
        <v>4699</v>
      </c>
    </row>
    <row r="3149">
      <c r="A3149" s="1">
        <v>3147.0</v>
      </c>
      <c r="B3149" s="4" t="s">
        <v>4621</v>
      </c>
      <c r="C3149" s="5" t="str">
        <f>IFERROR(__xludf.DUMMYFUNCTION("GOOGLETRANSLATE(D:D,""auto"",""en"")"),"Xiaozhan storm full review")</f>
        <v>Xiaozhan storm full review</v>
      </c>
      <c r="D3149" s="4" t="s">
        <v>4700</v>
      </c>
      <c r="E3149" s="4">
        <v>0.0</v>
      </c>
      <c r="F3149" s="4">
        <v>48.0</v>
      </c>
      <c r="G3149" s="4" t="s">
        <v>4701</v>
      </c>
    </row>
    <row r="3150">
      <c r="A3150" s="1">
        <v>3148.0</v>
      </c>
      <c r="B3150" s="4" t="s">
        <v>4621</v>
      </c>
      <c r="C3150" s="5" t="str">
        <f>IFERROR(__xludf.DUMMYFUNCTION("GOOGLETRANSLATE(D:D,""auto"",""en"")"),"26 were recovered complex positive")</f>
        <v>26 were recovered complex positive</v>
      </c>
      <c r="D3150" s="4" t="s">
        <v>4702</v>
      </c>
      <c r="E3150" s="4">
        <v>0.0</v>
      </c>
      <c r="F3150" s="4">
        <v>49.0</v>
      </c>
      <c r="G3150" s="4" t="s">
        <v>4703</v>
      </c>
    </row>
    <row r="3151">
      <c r="A3151" s="1">
        <v>3149.0</v>
      </c>
      <c r="B3151" s="4" t="s">
        <v>4621</v>
      </c>
      <c r="C3151" s="5" t="str">
        <f>IFERROR(__xludf.DUMMYFUNCTION("GOOGLETRANSLATE(D:D,""auto"",""en"")"),"Jay moved to Australia will be exposed")</f>
        <v>Jay moved to Australia will be exposed</v>
      </c>
      <c r="D3151" s="4" t="s">
        <v>4704</v>
      </c>
      <c r="E3151" s="4">
        <v>0.0</v>
      </c>
      <c r="F3151" s="4">
        <v>50.0</v>
      </c>
      <c r="G3151" s="4" t="s">
        <v>4705</v>
      </c>
    </row>
    <row r="3152">
      <c r="A3152" s="1">
        <v>3150.0</v>
      </c>
      <c r="B3152" s="4" t="s">
        <v>4706</v>
      </c>
      <c r="C3152" s="5" t="str">
        <f>IFERROR(__xludf.DUMMYFUNCTION("GOOGLETRANSLATE(D:D,""auto"",""en"")"),"The whole nation behind Japan's aid to China")</f>
        <v>The whole nation behind Japan's aid to China</v>
      </c>
      <c r="D3152" s="4" t="s">
        <v>4652</v>
      </c>
      <c r="E3152" s="4">
        <v>0.0</v>
      </c>
      <c r="F3152" s="4">
        <v>1.0</v>
      </c>
      <c r="G3152" s="4" t="s">
        <v>4653</v>
      </c>
    </row>
    <row r="3153">
      <c r="A3153" s="1">
        <v>3151.0</v>
      </c>
      <c r="B3153" s="4" t="s">
        <v>4706</v>
      </c>
      <c r="C3153" s="5" t="str">
        <f>IFERROR(__xludf.DUMMYFUNCTION("GOOGLETRANSLATE(D:D,""auto"",""en"")"),"Phoenix Ten Questions Xiaozhan")</f>
        <v>Phoenix Ten Questions Xiaozhan</v>
      </c>
      <c r="D3153" s="4" t="s">
        <v>4707</v>
      </c>
      <c r="E3153" s="4">
        <v>0.0</v>
      </c>
      <c r="F3153" s="4">
        <v>2.0</v>
      </c>
      <c r="G3153" s="4" t="s">
        <v>4708</v>
      </c>
    </row>
    <row r="3154">
      <c r="A3154" s="1">
        <v>3152.0</v>
      </c>
      <c r="B3154" s="4" t="s">
        <v>4706</v>
      </c>
      <c r="C3154" s="5" t="str">
        <f>IFERROR(__xludf.DUMMYFUNCTION("GOOGLETRANSLATE(D:D,""auto"",""en"")"),"The emergence of new epidemic situation changes")</f>
        <v>The emergence of new epidemic situation changes</v>
      </c>
      <c r="D3154" s="4" t="s">
        <v>4709</v>
      </c>
      <c r="E3154" s="4">
        <v>0.0</v>
      </c>
      <c r="F3154" s="4">
        <v>3.0</v>
      </c>
      <c r="G3154" s="4" t="s">
        <v>4710</v>
      </c>
    </row>
    <row r="3155">
      <c r="A3155" s="1">
        <v>3153.0</v>
      </c>
      <c r="B3155" s="4" t="s">
        <v>4706</v>
      </c>
      <c r="C3155" s="5" t="str">
        <f>IFERROR(__xludf.DUMMYFUNCTION("GOOGLETRANSLATE(D:D,""auto"",""en"")"),"Lotte Chemical plant explosion")</f>
        <v>Lotte Chemical plant explosion</v>
      </c>
      <c r="D3155" s="4" t="s">
        <v>4711</v>
      </c>
      <c r="E3155" s="4">
        <v>0.0</v>
      </c>
      <c r="F3155" s="4">
        <v>4.0</v>
      </c>
      <c r="G3155" s="4" t="s">
        <v>4712</v>
      </c>
    </row>
    <row r="3156">
      <c r="A3156" s="1">
        <v>3154.0</v>
      </c>
      <c r="B3156" s="4" t="s">
        <v>4706</v>
      </c>
      <c r="C3156" s="5" t="str">
        <f>IFERROR(__xludf.DUMMYFUNCTION("GOOGLETRANSLATE(D:D,""auto"",""en"")"),"There are unique characteristics of the new crown")</f>
        <v>There are unique characteristics of the new crown</v>
      </c>
      <c r="D3156" s="4" t="s">
        <v>4713</v>
      </c>
      <c r="E3156" s="4">
        <v>0.0</v>
      </c>
      <c r="F3156" s="4">
        <v>5.0</v>
      </c>
      <c r="G3156" s="4" t="s">
        <v>4714</v>
      </c>
    </row>
    <row r="3157">
      <c r="A3157" s="1">
        <v>3155.0</v>
      </c>
      <c r="B3157" s="4" t="s">
        <v>4706</v>
      </c>
      <c r="C3157" s="5" t="str">
        <f>IFERROR(__xludf.DUMMYFUNCTION("GOOGLETRANSLATE(D:D,""auto"",""en"")"),"The Fed announced the rate cut")</f>
        <v>The Fed announced the rate cut</v>
      </c>
      <c r="D3157" s="4" t="s">
        <v>4715</v>
      </c>
      <c r="E3157" s="4">
        <v>0.0</v>
      </c>
      <c r="F3157" s="4">
        <v>6.0</v>
      </c>
      <c r="G3157" s="4" t="s">
        <v>4716</v>
      </c>
    </row>
    <row r="3158">
      <c r="A3158" s="1">
        <v>3156.0</v>
      </c>
      <c r="B3158" s="4" t="s">
        <v>4706</v>
      </c>
      <c r="C3158" s="5" t="str">
        <f>IFERROR(__xludf.DUMMYFUNCTION("GOOGLETRANSLATE(D:D,""auto"",""en"")"),"Xiaogan concealed epidemic response")</f>
        <v>Xiaogan concealed epidemic response</v>
      </c>
      <c r="D3158" s="4" t="s">
        <v>4717</v>
      </c>
      <c r="E3158" s="4">
        <v>0.0</v>
      </c>
      <c r="F3158" s="4">
        <v>7.0</v>
      </c>
      <c r="G3158" s="4" t="s">
        <v>4718</v>
      </c>
    </row>
    <row r="3159">
      <c r="A3159" s="1">
        <v>3157.0</v>
      </c>
      <c r="B3159" s="4" t="s">
        <v>4706</v>
      </c>
      <c r="C3159" s="5" t="str">
        <f>IFERROR(__xludf.DUMMYFUNCTION("GOOGLETRANSLATE(D:D,""auto"",""en"")"),"Russia twenty thousand people to eat wild leek")</f>
        <v>Russia twenty thousand people to eat wild leek</v>
      </c>
      <c r="D3159" s="4" t="s">
        <v>4719</v>
      </c>
      <c r="E3159" s="4">
        <v>0.0</v>
      </c>
      <c r="F3159" s="4">
        <v>8.0</v>
      </c>
      <c r="G3159" s="4" t="s">
        <v>4720</v>
      </c>
    </row>
    <row r="3160">
      <c r="A3160" s="1">
        <v>3158.0</v>
      </c>
      <c r="B3160" s="4" t="s">
        <v>4706</v>
      </c>
      <c r="C3160" s="5" t="str">
        <f>IFERROR(__xludf.DUMMYFUNCTION("GOOGLETRANSLATE(D:D,""auto"",""en"")"),"Games will be held as scheduled or")</f>
        <v>Games will be held as scheduled or</v>
      </c>
      <c r="D3160" s="4" t="s">
        <v>4721</v>
      </c>
      <c r="E3160" s="4">
        <v>0.0</v>
      </c>
      <c r="F3160" s="4">
        <v>9.0</v>
      </c>
      <c r="G3160" s="4" t="s">
        <v>4722</v>
      </c>
    </row>
    <row r="3161">
      <c r="A3161" s="1">
        <v>3159.0</v>
      </c>
      <c r="B3161" s="4" t="s">
        <v>4706</v>
      </c>
      <c r="C3161" s="5" t="str">
        <f>IFERROR(__xludf.DUMMYFUNCTION("GOOGLETRANSLATE(D:D,""auto"",""en"")"),"German cruise ship detection results")</f>
        <v>German cruise ship detection results</v>
      </c>
      <c r="D3161" s="4" t="s">
        <v>4723</v>
      </c>
      <c r="E3161" s="4">
        <v>0.0</v>
      </c>
      <c r="F3161" s="4">
        <v>10.0</v>
      </c>
      <c r="G3161" s="4" t="s">
        <v>4724</v>
      </c>
    </row>
    <row r="3162">
      <c r="A3162" s="1">
        <v>3160.0</v>
      </c>
      <c r="B3162" s="4" t="s">
        <v>4706</v>
      </c>
      <c r="C3162" s="5" t="str">
        <f>IFERROR(__xludf.DUMMYFUNCTION("GOOGLETRANSLATE(D:D,""auto"",""en"")"),"The new virus has mutated crown")</f>
        <v>The new virus has mutated crown</v>
      </c>
      <c r="D3162" s="4" t="s">
        <v>4725</v>
      </c>
      <c r="E3162" s="4">
        <v>0.0</v>
      </c>
      <c r="F3162" s="4">
        <v>11.0</v>
      </c>
      <c r="G3162" s="4" t="s">
        <v>4726</v>
      </c>
    </row>
    <row r="3163">
      <c r="A3163" s="1">
        <v>3161.0</v>
      </c>
      <c r="B3163" s="4" t="s">
        <v>4706</v>
      </c>
      <c r="C3163" s="5" t="str">
        <f>IFERROR(__xludf.DUMMYFUNCTION("GOOGLETRANSLATE(D:D,""auto"",""en"")"),"Fly X36 krypton book online summit")</f>
        <v>Fly X36 krypton book online summit</v>
      </c>
      <c r="D3163" s="4" t="s">
        <v>4642</v>
      </c>
      <c r="E3163" s="4">
        <v>0.0</v>
      </c>
      <c r="F3163" s="4">
        <v>12.0</v>
      </c>
      <c r="G3163" s="4" t="s">
        <v>4643</v>
      </c>
    </row>
    <row r="3164">
      <c r="A3164" s="1">
        <v>3162.0</v>
      </c>
      <c r="B3164" s="4" t="s">
        <v>4706</v>
      </c>
      <c r="C3164" s="5" t="str">
        <f>IFERROR(__xludf.DUMMYFUNCTION("GOOGLETRANSLATE(D:D,""auto"",""en"")"),"City events have to identify any prison")</f>
        <v>City events have to identify any prison</v>
      </c>
      <c r="D3164" s="4" t="s">
        <v>4727</v>
      </c>
      <c r="E3164" s="4">
        <v>0.0</v>
      </c>
      <c r="F3164" s="4">
        <v>13.0</v>
      </c>
      <c r="G3164" s="4" t="s">
        <v>4728</v>
      </c>
    </row>
    <row r="3165">
      <c r="A3165" s="1">
        <v>3163.0</v>
      </c>
      <c r="B3165" s="4" t="s">
        <v>4706</v>
      </c>
      <c r="C3165" s="5" t="str">
        <f>IFERROR(__xludf.DUMMYFUNCTION("GOOGLETRANSLATE(D:D,""auto"",""en"")"),"Zheng Shuang sister-in-law in the fight against SARS frontline")</f>
        <v>Zheng Shuang sister-in-law in the fight against SARS frontline</v>
      </c>
      <c r="D3165" s="4" t="s">
        <v>4729</v>
      </c>
      <c r="E3165" s="4">
        <v>0.0</v>
      </c>
      <c r="F3165" s="4">
        <v>14.0</v>
      </c>
      <c r="G3165" s="4" t="s">
        <v>4730</v>
      </c>
    </row>
    <row r="3166">
      <c r="A3166" s="1">
        <v>3164.0</v>
      </c>
      <c r="B3166" s="4" t="s">
        <v>4706</v>
      </c>
      <c r="C3166" s="5" t="str">
        <f>IFERROR(__xludf.DUMMYFUNCTION("GOOGLETRANSLATE(D:D,""auto"",""en"")"),"The seventh edition treatment program announced")</f>
        <v>The seventh edition treatment program announced</v>
      </c>
      <c r="D3166" s="4" t="s">
        <v>4731</v>
      </c>
      <c r="E3166" s="4">
        <v>0.0</v>
      </c>
      <c r="F3166" s="4">
        <v>15.0</v>
      </c>
      <c r="G3166" s="4" t="s">
        <v>4732</v>
      </c>
    </row>
    <row r="3167">
      <c r="A3167" s="1">
        <v>3165.0</v>
      </c>
      <c r="B3167" s="4" t="s">
        <v>4706</v>
      </c>
      <c r="C3167" s="5" t="str">
        <f>IFERROR(__xludf.DUMMYFUNCTION("GOOGLETRANSLATE(D:D,""auto"",""en"")"),"The Ministry of Education undergraduate adjustment")</f>
        <v>The Ministry of Education undergraduate adjustment</v>
      </c>
      <c r="D3167" s="4" t="s">
        <v>4733</v>
      </c>
      <c r="E3167" s="4">
        <v>0.0</v>
      </c>
      <c r="F3167" s="4">
        <v>16.0</v>
      </c>
      <c r="G3167" s="4" t="s">
        <v>4734</v>
      </c>
    </row>
    <row r="3168">
      <c r="A3168" s="1">
        <v>3166.0</v>
      </c>
      <c r="B3168" s="4" t="s">
        <v>4706</v>
      </c>
      <c r="C3168" s="5" t="str">
        <f>IFERROR(__xludf.DUMMYFUNCTION("GOOGLETRANSLATE(D:D,""auto"",""en"")"),"Gan Wei to give up the right to priority allocation")</f>
        <v>Gan Wei to give up the right to priority allocation</v>
      </c>
      <c r="D3168" s="4" t="s">
        <v>4735</v>
      </c>
      <c r="E3168" s="4">
        <v>0.0</v>
      </c>
      <c r="F3168" s="4">
        <v>17.0</v>
      </c>
      <c r="G3168" s="4" t="s">
        <v>4736</v>
      </c>
    </row>
    <row r="3169">
      <c r="A3169" s="1">
        <v>3167.0</v>
      </c>
      <c r="B3169" s="4" t="s">
        <v>4706</v>
      </c>
      <c r="C3169" s="5" t="str">
        <f>IFERROR(__xludf.DUMMYFUNCTION("GOOGLETRANSLATE(D:D,""auto"",""en"")"),"Japanese Internet users berserk granite")</f>
        <v>Japanese Internet users berserk granite</v>
      </c>
      <c r="D3169" s="4" t="s">
        <v>4737</v>
      </c>
      <c r="E3169" s="4">
        <v>0.0</v>
      </c>
      <c r="F3169" s="4">
        <v>18.0</v>
      </c>
      <c r="G3169" s="4" t="s">
        <v>4738</v>
      </c>
    </row>
    <row r="3170">
      <c r="A3170" s="1">
        <v>3168.0</v>
      </c>
      <c r="B3170" s="4" t="s">
        <v>4706</v>
      </c>
      <c r="C3170" s="5" t="str">
        <f>IFERROR(__xludf.DUMMYFUNCTION("GOOGLETRANSLATE(D:D,""auto"",""en"")"),"Swiss members wearing masks expulsion")</f>
        <v>Swiss members wearing masks expulsion</v>
      </c>
      <c r="D3170" s="4" t="s">
        <v>4739</v>
      </c>
      <c r="E3170" s="4">
        <v>0.0</v>
      </c>
      <c r="F3170" s="4">
        <v>19.0</v>
      </c>
      <c r="G3170" s="4" t="s">
        <v>4740</v>
      </c>
    </row>
    <row r="3171">
      <c r="A3171" s="1">
        <v>3169.0</v>
      </c>
      <c r="B3171" s="4" t="s">
        <v>4706</v>
      </c>
      <c r="C3171" s="5" t="str">
        <f>IFERROR(__xludf.DUMMYFUNCTION("GOOGLETRANSLATE(D:D,""auto"",""en"")"),"Sun Yang sponsor collective watching")</f>
        <v>Sun Yang sponsor collective watching</v>
      </c>
      <c r="D3171" s="4" t="s">
        <v>4741</v>
      </c>
      <c r="E3171" s="4">
        <v>0.0</v>
      </c>
      <c r="F3171" s="4">
        <v>20.0</v>
      </c>
      <c r="G3171" s="4" t="s">
        <v>4742</v>
      </c>
    </row>
    <row r="3172">
      <c r="A3172" s="1">
        <v>3170.0</v>
      </c>
      <c r="B3172" s="4" t="s">
        <v>4706</v>
      </c>
      <c r="C3172" s="5" t="str">
        <f>IFERROR(__xludf.DUMMYFUNCTION("GOOGLETRANSLATE(D:D,""auto"",""en"")"),"Wang Feng eldest daughter dispatch")</f>
        <v>Wang Feng eldest daughter dispatch</v>
      </c>
      <c r="D3172" s="4" t="s">
        <v>4682</v>
      </c>
      <c r="E3172" s="4">
        <v>0.0</v>
      </c>
      <c r="F3172" s="4">
        <v>21.0</v>
      </c>
      <c r="G3172" s="4" t="s">
        <v>4683</v>
      </c>
    </row>
    <row r="3173">
      <c r="A3173" s="1">
        <v>3171.0</v>
      </c>
      <c r="B3173" s="4" t="s">
        <v>4706</v>
      </c>
      <c r="C3173" s="5" t="str">
        <f>IFERROR(__xludf.DUMMYFUNCTION("GOOGLETRANSLATE(D:D,""auto"",""en"")"),"Hubei wild boar hog cholera epidemic now")</f>
        <v>Hubei wild boar hog cholera epidemic now</v>
      </c>
      <c r="D3173" s="4" t="s">
        <v>4690</v>
      </c>
      <c r="E3173" s="4">
        <v>0.0</v>
      </c>
      <c r="F3173" s="4">
        <v>22.0</v>
      </c>
      <c r="G3173" s="4" t="s">
        <v>4691</v>
      </c>
    </row>
    <row r="3174">
      <c r="A3174" s="1">
        <v>3172.0</v>
      </c>
      <c r="B3174" s="4" t="s">
        <v>4706</v>
      </c>
      <c r="C3174" s="5" t="str">
        <f>IFERROR(__xludf.DUMMYFUNCTION("GOOGLETRANSLATE(D:D,""auto"",""en"")"),"Trump donated $ 100,000")</f>
        <v>Trump donated $ 100,000</v>
      </c>
      <c r="D3174" s="4" t="s">
        <v>4743</v>
      </c>
      <c r="E3174" s="4">
        <v>0.0</v>
      </c>
      <c r="F3174" s="4">
        <v>23.0</v>
      </c>
      <c r="G3174" s="4" t="s">
        <v>4744</v>
      </c>
    </row>
    <row r="3175">
      <c r="A3175" s="1">
        <v>3173.0</v>
      </c>
      <c r="B3175" s="4" t="s">
        <v>4706</v>
      </c>
      <c r="C3175" s="5" t="str">
        <f>IFERROR(__xludf.DUMMYFUNCTION("GOOGLETRANSLATE(D:D,""auto"",""en"")"),"Employees punch card mob violence")</f>
        <v>Employees punch card mob violence</v>
      </c>
      <c r="D3175" s="4" t="s">
        <v>4745</v>
      </c>
      <c r="E3175" s="4">
        <v>0.0</v>
      </c>
      <c r="F3175" s="4">
        <v>24.0</v>
      </c>
      <c r="G3175" s="4" t="s">
        <v>4746</v>
      </c>
    </row>
    <row r="3176">
      <c r="A3176" s="1">
        <v>3174.0</v>
      </c>
      <c r="B3176" s="4" t="s">
        <v>4706</v>
      </c>
      <c r="C3176" s="5" t="str">
        <f>IFERROR(__xludf.DUMMYFUNCTION("GOOGLETRANSLATE(D:D,""auto"",""en"")"),"Hubei orderly shut down the shelter")</f>
        <v>Hubei orderly shut down the shelter</v>
      </c>
      <c r="D3176" s="4" t="s">
        <v>4654</v>
      </c>
      <c r="E3176" s="4">
        <v>0.0</v>
      </c>
      <c r="F3176" s="4">
        <v>25.0</v>
      </c>
      <c r="G3176" s="4" t="s">
        <v>4655</v>
      </c>
    </row>
    <row r="3177">
      <c r="A3177" s="1">
        <v>3175.0</v>
      </c>
      <c r="B3177" s="4" t="s">
        <v>4706</v>
      </c>
      <c r="C3177" s="5" t="str">
        <f>IFERROR(__xludf.DUMMYFUNCTION("GOOGLETRANSLATE(D:D,""auto"",""en"")"),"Korea found antibodies to the virus")</f>
        <v>Korea found antibodies to the virus</v>
      </c>
      <c r="D3177" s="4" t="s">
        <v>4747</v>
      </c>
      <c r="E3177" s="4">
        <v>0.0</v>
      </c>
      <c r="F3177" s="4">
        <v>26.0</v>
      </c>
      <c r="G3177" s="4" t="s">
        <v>4748</v>
      </c>
    </row>
    <row r="3178">
      <c r="A3178" s="1">
        <v>3176.0</v>
      </c>
      <c r="B3178" s="4" t="s">
        <v>4706</v>
      </c>
      <c r="C3178" s="5" t="str">
        <f>IFERROR(__xludf.DUMMYFUNCTION("GOOGLETRANSLATE(D:D,""auto"",""en"")"),"The new global crown diagnosed break 90000")</f>
        <v>The new global crown diagnosed break 90000</v>
      </c>
      <c r="D3178" s="4" t="s">
        <v>4749</v>
      </c>
      <c r="E3178" s="4">
        <v>0.0</v>
      </c>
      <c r="F3178" s="4">
        <v>27.0</v>
      </c>
      <c r="G3178" s="4" t="s">
        <v>4750</v>
      </c>
    </row>
    <row r="3179">
      <c r="A3179" s="1">
        <v>3177.0</v>
      </c>
      <c r="B3179" s="4" t="s">
        <v>4706</v>
      </c>
      <c r="C3179" s="5" t="str">
        <f>IFERROR(__xludf.DUMMYFUNCTION("GOOGLETRANSLATE(D:D,""auto"",""en"")"),"Italy more than health care infections")</f>
        <v>Italy more than health care infections</v>
      </c>
      <c r="D3179" s="4" t="s">
        <v>4751</v>
      </c>
      <c r="E3179" s="4">
        <v>0.0</v>
      </c>
      <c r="F3179" s="4">
        <v>28.0</v>
      </c>
      <c r="G3179" s="4" t="s">
        <v>4752</v>
      </c>
    </row>
    <row r="3180">
      <c r="A3180" s="1">
        <v>3178.0</v>
      </c>
      <c r="B3180" s="4" t="s">
        <v>4706</v>
      </c>
      <c r="C3180" s="5" t="str">
        <f>IFERROR(__xludf.DUMMYFUNCTION("GOOGLETRANSLATE(D:D,""auto"",""en"")"),"Heilongjiang emergency response adjustment")</f>
        <v>Heilongjiang emergency response adjustment</v>
      </c>
      <c r="D3180" s="4" t="s">
        <v>4753</v>
      </c>
      <c r="E3180" s="4">
        <v>0.0</v>
      </c>
      <c r="F3180" s="4">
        <v>29.0</v>
      </c>
      <c r="G3180" s="4" t="s">
        <v>4754</v>
      </c>
    </row>
    <row r="3181">
      <c r="A3181" s="1">
        <v>3179.0</v>
      </c>
      <c r="B3181" s="4" t="s">
        <v>4706</v>
      </c>
      <c r="C3181" s="5" t="str">
        <f>IFERROR(__xludf.DUMMYFUNCTION("GOOGLETRANSLATE(D:D,""auto"",""en"")"),"papi sauce announced twins")</f>
        <v>papi sauce announced twins</v>
      </c>
      <c r="D3181" s="4" t="s">
        <v>4755</v>
      </c>
      <c r="E3181" s="4">
        <v>0.0</v>
      </c>
      <c r="F3181" s="4">
        <v>30.0</v>
      </c>
      <c r="G3181" s="4" t="s">
        <v>4756</v>
      </c>
    </row>
    <row r="3182">
      <c r="A3182" s="1">
        <v>3180.0</v>
      </c>
      <c r="B3182" s="4" t="s">
        <v>4706</v>
      </c>
      <c r="C3182" s="5" t="str">
        <f>IFERROR(__xludf.DUMMYFUNCTION("GOOGLETRANSLATE(D:D,""auto"",""en"")"),"Secondary school students cheat 3.4 billion yuan")</f>
        <v>Secondary school students cheat 3.4 billion yuan</v>
      </c>
      <c r="D3182" s="4" t="s">
        <v>4757</v>
      </c>
      <c r="E3182" s="4">
        <v>0.0</v>
      </c>
      <c r="F3182" s="4">
        <v>31.0</v>
      </c>
      <c r="G3182" s="4" t="s">
        <v>4758</v>
      </c>
    </row>
    <row r="3183">
      <c r="A3183" s="1">
        <v>3181.0</v>
      </c>
      <c r="B3183" s="4" t="s">
        <v>4706</v>
      </c>
      <c r="C3183" s="5" t="str">
        <f>IFERROR(__xludf.DUMMYFUNCTION("GOOGLETRANSLATE(D:D,""auto"",""en"")"),"Beijing subway stop reservation")</f>
        <v>Beijing subway stop reservation</v>
      </c>
      <c r="D3183" s="4" t="s">
        <v>4759</v>
      </c>
      <c r="E3183" s="4">
        <v>0.0</v>
      </c>
      <c r="F3183" s="4">
        <v>32.0</v>
      </c>
      <c r="G3183" s="4" t="s">
        <v>4760</v>
      </c>
    </row>
    <row r="3184">
      <c r="A3184" s="1">
        <v>3182.0</v>
      </c>
      <c r="B3184" s="4" t="s">
        <v>4706</v>
      </c>
      <c r="C3184" s="5" t="str">
        <f>IFERROR(__xludf.DUMMYFUNCTION("GOOGLETRANSLATE(D:D,""auto"",""en"")"),"Liu Yan sun shine fitness")</f>
        <v>Liu Yan sun shine fitness</v>
      </c>
      <c r="D3184" s="4" t="s">
        <v>4761</v>
      </c>
      <c r="E3184" s="4">
        <v>0.0</v>
      </c>
      <c r="F3184" s="4">
        <v>33.0</v>
      </c>
      <c r="G3184" s="4" t="s">
        <v>4762</v>
      </c>
    </row>
    <row r="3185">
      <c r="A3185" s="1">
        <v>3183.0</v>
      </c>
      <c r="B3185" s="4" t="s">
        <v>4706</v>
      </c>
      <c r="C3185" s="5" t="str">
        <f>IFERROR(__xludf.DUMMYFUNCTION("GOOGLETRANSLATE(D:D,""auto"",""en"")"),"Brazil is now different gene sequencing")</f>
        <v>Brazil is now different gene sequencing</v>
      </c>
      <c r="D3185" s="4" t="s">
        <v>4763</v>
      </c>
      <c r="E3185" s="4">
        <v>0.0</v>
      </c>
      <c r="F3185" s="4">
        <v>34.0</v>
      </c>
      <c r="G3185" s="4" t="s">
        <v>4764</v>
      </c>
    </row>
    <row r="3186">
      <c r="A3186" s="1">
        <v>3184.0</v>
      </c>
      <c r="B3186" s="4" t="s">
        <v>4706</v>
      </c>
      <c r="C3186" s="5" t="str">
        <f>IFERROR(__xludf.DUMMYFUNCTION("GOOGLETRANSLATE(D:D,""auto"",""en"")"),"Xingxiao Yao issued deny derailment")</f>
        <v>Xingxiao Yao issued deny derailment</v>
      </c>
      <c r="D3186" s="4" t="s">
        <v>4765</v>
      </c>
      <c r="E3186" s="4">
        <v>0.0</v>
      </c>
      <c r="F3186" s="4">
        <v>35.0</v>
      </c>
      <c r="G3186" s="4" t="s">
        <v>4766</v>
      </c>
    </row>
    <row r="3187">
      <c r="A3187" s="1">
        <v>3185.0</v>
      </c>
      <c r="B3187" s="4" t="s">
        <v>4706</v>
      </c>
      <c r="C3187" s="5" t="str">
        <f>IFERROR(__xludf.DUMMYFUNCTION("GOOGLETRANSLATE(D:D,""auto"",""en"")"),"Duncan coach first win")</f>
        <v>Duncan coach first win</v>
      </c>
      <c r="D3187" s="4" t="s">
        <v>4767</v>
      </c>
      <c r="E3187" s="4">
        <v>0.0</v>
      </c>
      <c r="F3187" s="4">
        <v>36.0</v>
      </c>
      <c r="G3187" s="4" t="s">
        <v>4768</v>
      </c>
    </row>
    <row r="3188">
      <c r="A3188" s="1">
        <v>3186.0</v>
      </c>
      <c r="B3188" s="4" t="s">
        <v>4706</v>
      </c>
      <c r="C3188" s="5" t="str">
        <f>IFERROR(__xludf.DUMMYFUNCTION("GOOGLETRANSLATE(D:D,""auto"",""en"")"),"Yogurt in Japan as a panacea")</f>
        <v>Yogurt in Japan as a panacea</v>
      </c>
      <c r="D3188" s="4" t="s">
        <v>4769</v>
      </c>
      <c r="E3188" s="4">
        <v>0.0</v>
      </c>
      <c r="F3188" s="4">
        <v>37.0</v>
      </c>
      <c r="G3188" s="4" t="s">
        <v>4770</v>
      </c>
    </row>
    <row r="3189">
      <c r="A3189" s="1">
        <v>3187.0</v>
      </c>
      <c r="B3189" s="4" t="s">
        <v>4706</v>
      </c>
      <c r="C3189" s="5" t="str">
        <f>IFERROR(__xludf.DUMMYFUNCTION("GOOGLETRANSLATE(D:D,""auto"",""en"")"),"Fever hospital six days parents do not")</f>
        <v>Fever hospital six days parents do not</v>
      </c>
      <c r="D3189" s="4" t="s">
        <v>4678</v>
      </c>
      <c r="E3189" s="4">
        <v>0.0</v>
      </c>
      <c r="F3189" s="4">
        <v>38.0</v>
      </c>
      <c r="G3189" s="4" t="s">
        <v>4679</v>
      </c>
    </row>
    <row r="3190">
      <c r="A3190" s="1">
        <v>3188.0</v>
      </c>
      <c r="B3190" s="4" t="s">
        <v>4706</v>
      </c>
      <c r="C3190" s="5" t="str">
        <f>IFERROR(__xludf.DUMMYFUNCTION("GOOGLETRANSLATE(D:D,""auto"",""en"")"),"ZHANG Wen-hong talk about the resumption of work")</f>
        <v>ZHANG Wen-hong talk about the resumption of work</v>
      </c>
      <c r="D3190" s="4" t="s">
        <v>4674</v>
      </c>
      <c r="E3190" s="4">
        <v>0.0</v>
      </c>
      <c r="F3190" s="4">
        <v>39.0</v>
      </c>
      <c r="G3190" s="4" t="s">
        <v>4675</v>
      </c>
    </row>
    <row r="3191">
      <c r="A3191" s="1">
        <v>3189.0</v>
      </c>
      <c r="B3191" s="4" t="s">
        <v>4706</v>
      </c>
      <c r="C3191" s="5" t="str">
        <f>IFERROR(__xludf.DUMMYFUNCTION("GOOGLETRANSLATE(D:D,""auto"",""en"")"),"British government made the worst")</f>
        <v>British government made the worst</v>
      </c>
      <c r="D3191" s="4" t="s">
        <v>4771</v>
      </c>
      <c r="E3191" s="4">
        <v>0.0</v>
      </c>
      <c r="F3191" s="4">
        <v>40.0</v>
      </c>
      <c r="G3191" s="4" t="s">
        <v>4772</v>
      </c>
    </row>
    <row r="3192">
      <c r="A3192" s="1">
        <v>3190.0</v>
      </c>
      <c r="B3192" s="4" t="s">
        <v>4706</v>
      </c>
      <c r="C3192" s="5" t="str">
        <f>IFERROR(__xludf.DUMMYFUNCTION("GOOGLETRANSLATE(D:D,""auto"",""en"")"),"Hospital leadership grants over line")</f>
        <v>Hospital leadership grants over line</v>
      </c>
      <c r="D3192" s="4" t="s">
        <v>4773</v>
      </c>
      <c r="E3192" s="4">
        <v>0.0</v>
      </c>
      <c r="F3192" s="4">
        <v>41.0</v>
      </c>
      <c r="G3192" s="4" t="s">
        <v>4774</v>
      </c>
    </row>
    <row r="3193">
      <c r="A3193" s="1">
        <v>3191.0</v>
      </c>
      <c r="B3193" s="4" t="s">
        <v>4706</v>
      </c>
      <c r="C3193" s="5" t="str">
        <f>IFERROR(__xludf.DUMMYFUNCTION("GOOGLETRANSLATE(D:D,""auto"",""en"")"),"Sun Yang the gold medal or award Houghton")</f>
        <v>Sun Yang the gold medal or award Houghton</v>
      </c>
      <c r="D3193" s="4" t="s">
        <v>4775</v>
      </c>
      <c r="E3193" s="4">
        <v>0.0</v>
      </c>
      <c r="F3193" s="4">
        <v>42.0</v>
      </c>
      <c r="G3193" s="4" t="s">
        <v>4776</v>
      </c>
    </row>
    <row r="3194">
      <c r="A3194" s="1">
        <v>3192.0</v>
      </c>
      <c r="B3194" s="4" t="s">
        <v>4706</v>
      </c>
      <c r="C3194" s="5" t="str">
        <f>IFERROR(__xludf.DUMMYFUNCTION("GOOGLETRANSLATE(D:D,""auto"",""en"")"),"Aciu was blocked CCTV")</f>
        <v>Aciu was blocked CCTV</v>
      </c>
      <c r="D3194" s="4" t="s">
        <v>4777</v>
      </c>
      <c r="E3194" s="4">
        <v>0.0</v>
      </c>
      <c r="F3194" s="4">
        <v>43.0</v>
      </c>
      <c r="G3194" s="4" t="s">
        <v>4778</v>
      </c>
    </row>
    <row r="3195">
      <c r="A3195" s="1">
        <v>3193.0</v>
      </c>
      <c r="B3195" s="4" t="s">
        <v>4706</v>
      </c>
      <c r="C3195" s="5" t="str">
        <f>IFERROR(__xludf.DUMMYFUNCTION("GOOGLETRANSLATE(D:D,""auto"",""en"")"),"Fiona apology Jiang Yan")</f>
        <v>Fiona apology Jiang Yan</v>
      </c>
      <c r="D3195" s="4" t="s">
        <v>4779</v>
      </c>
      <c r="E3195" s="4">
        <v>0.0</v>
      </c>
      <c r="F3195" s="4">
        <v>44.0</v>
      </c>
      <c r="G3195" s="4" t="s">
        <v>4780</v>
      </c>
    </row>
    <row r="3196">
      <c r="A3196" s="1">
        <v>3194.0</v>
      </c>
      <c r="B3196" s="4" t="s">
        <v>4706</v>
      </c>
      <c r="C3196" s="5" t="str">
        <f>IFERROR(__xludf.DUMMYFUNCTION("GOOGLETRANSLATE(D:D,""auto"",""en"")"),"Iran 23 members confirmed")</f>
        <v>Iran 23 members confirmed</v>
      </c>
      <c r="D3196" s="4" t="s">
        <v>4680</v>
      </c>
      <c r="E3196" s="4">
        <v>0.0</v>
      </c>
      <c r="F3196" s="4">
        <v>45.0</v>
      </c>
      <c r="G3196" s="4" t="s">
        <v>4681</v>
      </c>
    </row>
    <row r="3197">
      <c r="A3197" s="1">
        <v>3195.0</v>
      </c>
      <c r="B3197" s="4" t="s">
        <v>4706</v>
      </c>
      <c r="C3197" s="5" t="str">
        <f>IFERROR(__xludf.DUMMYFUNCTION("GOOGLETRANSLATE(D:D,""auto"",""en"")"),"Property market turnover down eighty percent")</f>
        <v>Property market turnover down eighty percent</v>
      </c>
      <c r="D3197" s="4" t="s">
        <v>4781</v>
      </c>
      <c r="E3197" s="4">
        <v>0.0</v>
      </c>
      <c r="F3197" s="4">
        <v>46.0</v>
      </c>
      <c r="G3197" s="4" t="s">
        <v>4782</v>
      </c>
    </row>
    <row r="3198">
      <c r="A3198" s="1">
        <v>3196.0</v>
      </c>
      <c r="B3198" s="4" t="s">
        <v>4706</v>
      </c>
      <c r="C3198" s="5" t="str">
        <f>IFERROR(__xludf.DUMMYFUNCTION("GOOGLETRANSLATE(D:D,""auto"",""en"")"),"46-year-old Huang Yuhuai Auxiliary sacrifice")</f>
        <v>46-year-old Huang Yuhuai Auxiliary sacrifice</v>
      </c>
      <c r="D3198" s="4" t="s">
        <v>4783</v>
      </c>
      <c r="E3198" s="4">
        <v>0.0</v>
      </c>
      <c r="F3198" s="4">
        <v>47.0</v>
      </c>
      <c r="G3198" s="4" t="s">
        <v>4784</v>
      </c>
    </row>
    <row r="3199">
      <c r="A3199" s="1">
        <v>3197.0</v>
      </c>
      <c r="B3199" s="4" t="s">
        <v>4706</v>
      </c>
      <c r="C3199" s="5" t="str">
        <f>IFERROR(__xludf.DUMMYFUNCTION("GOOGLETRANSLATE(D:D,""auto"",""en"")"),"Huangshan discovery of new species")</f>
        <v>Huangshan discovery of new species</v>
      </c>
      <c r="D3199" s="4" t="s">
        <v>4785</v>
      </c>
      <c r="E3199" s="4">
        <v>0.0</v>
      </c>
      <c r="F3199" s="4">
        <v>48.0</v>
      </c>
      <c r="G3199" s="4" t="s">
        <v>4786</v>
      </c>
    </row>
    <row r="3200">
      <c r="A3200" s="1">
        <v>3198.0</v>
      </c>
      <c r="B3200" s="4" t="s">
        <v>4706</v>
      </c>
      <c r="C3200" s="5" t="str">
        <f>IFERROR(__xludf.DUMMYFUNCTION("GOOGLETRANSLATE(D:D,""auto"",""en"")"),"Huanggang thanks to donations Zheng Shuang")</f>
        <v>Huanggang thanks to donations Zheng Shuang</v>
      </c>
      <c r="D3200" s="4" t="s">
        <v>4676</v>
      </c>
      <c r="E3200" s="4">
        <v>0.0</v>
      </c>
      <c r="F3200" s="4">
        <v>49.0</v>
      </c>
      <c r="G3200" s="4" t="s">
        <v>4677</v>
      </c>
    </row>
    <row r="3201">
      <c r="A3201" s="1">
        <v>3199.0</v>
      </c>
      <c r="B3201" s="4" t="s">
        <v>4706</v>
      </c>
      <c r="C3201" s="5" t="str">
        <f>IFERROR(__xludf.DUMMYFUNCTION("GOOGLETRANSLATE(D:D,""auto"",""en"")"),"E March increase in extreme weather")</f>
        <v>E March increase in extreme weather</v>
      </c>
      <c r="D3201" s="4" t="s">
        <v>4787</v>
      </c>
      <c r="E3201" s="4">
        <v>0.0</v>
      </c>
      <c r="F3201" s="4">
        <v>50.0</v>
      </c>
      <c r="G3201" s="4" t="s">
        <v>4788</v>
      </c>
    </row>
    <row r="3202">
      <c r="A3202" s="1">
        <v>3200.0</v>
      </c>
      <c r="B3202" s="4" t="s">
        <v>4789</v>
      </c>
      <c r="C3202" s="5" t="str">
        <f>IFERROR(__xludf.DUMMYFUNCTION("GOOGLETRANSLATE(D:D,""auto"",""en"")"),"41.28 million Party members contribute 4.7 billion")</f>
        <v>41.28 million Party members contribute 4.7 billion</v>
      </c>
      <c r="D3202" s="4" t="s">
        <v>4790</v>
      </c>
      <c r="E3202" s="4">
        <v>0.0</v>
      </c>
      <c r="F3202" s="4">
        <v>1.0</v>
      </c>
      <c r="G3202" s="4" t="s">
        <v>4791</v>
      </c>
    </row>
    <row r="3203">
      <c r="A3203" s="1">
        <v>3201.0</v>
      </c>
      <c r="B3203" s="4" t="s">
        <v>4789</v>
      </c>
      <c r="C3203" s="5" t="str">
        <f>IFERROR(__xludf.DUMMYFUNCTION("GOOGLETRANSLATE(D:D,""auto"",""en"")"),"The Ministry of Education undergraduate adjustment")</f>
        <v>The Ministry of Education undergraduate adjustment</v>
      </c>
      <c r="D3203" s="4" t="s">
        <v>4733</v>
      </c>
      <c r="E3203" s="4">
        <v>0.0</v>
      </c>
      <c r="F3203" s="4">
        <v>2.0</v>
      </c>
      <c r="G3203" s="4" t="s">
        <v>4734</v>
      </c>
    </row>
    <row r="3204">
      <c r="A3204" s="1">
        <v>3202.0</v>
      </c>
      <c r="B3204" s="4" t="s">
        <v>4789</v>
      </c>
      <c r="C3204" s="5" t="str">
        <f>IFERROR(__xludf.DUMMYFUNCTION("GOOGLETRANSLATE(D:D,""auto"",""en"")"),"papi sauce announced twins")</f>
        <v>papi sauce announced twins</v>
      </c>
      <c r="D3204" s="4" t="s">
        <v>4755</v>
      </c>
      <c r="E3204" s="4">
        <v>0.0</v>
      </c>
      <c r="F3204" s="4">
        <v>3.0</v>
      </c>
      <c r="G3204" s="4" t="s">
        <v>4756</v>
      </c>
    </row>
    <row r="3205">
      <c r="A3205" s="1">
        <v>3203.0</v>
      </c>
      <c r="B3205" s="4" t="s">
        <v>4789</v>
      </c>
      <c r="C3205" s="5" t="str">
        <f>IFERROR(__xludf.DUMMYFUNCTION("GOOGLETRANSLATE(D:D,""auto"",""en"")"),"United States to stop publishing the number of confirmed")</f>
        <v>United States to stop publishing the number of confirmed</v>
      </c>
      <c r="D3205" s="4" t="s">
        <v>4792</v>
      </c>
      <c r="E3205" s="4">
        <v>0.0</v>
      </c>
      <c r="F3205" s="4">
        <v>4.0</v>
      </c>
      <c r="G3205" s="4" t="s">
        <v>4793</v>
      </c>
    </row>
    <row r="3206">
      <c r="A3206" s="1">
        <v>3204.0</v>
      </c>
      <c r="B3206" s="4" t="s">
        <v>4789</v>
      </c>
      <c r="C3206" s="5" t="str">
        <f>IFERROR(__xludf.DUMMYFUNCTION("GOOGLETRANSLATE(D:D,""auto"",""en"")"),"Hong Kong confirmed infected dogs")</f>
        <v>Hong Kong confirmed infected dogs</v>
      </c>
      <c r="D3206" s="4" t="s">
        <v>4794</v>
      </c>
      <c r="E3206" s="4">
        <v>0.0</v>
      </c>
      <c r="F3206" s="4">
        <v>5.0</v>
      </c>
      <c r="G3206" s="4" t="s">
        <v>4795</v>
      </c>
    </row>
    <row r="3207">
      <c r="A3207" s="1">
        <v>3205.0</v>
      </c>
      <c r="B3207" s="4" t="s">
        <v>4789</v>
      </c>
      <c r="C3207" s="5" t="str">
        <f>IFERROR(__xludf.DUMMYFUNCTION("GOOGLETRANSLATE(D:D,""auto"",""en"")"),"US Women's epidemic distress posts")</f>
        <v>US Women's epidemic distress posts</v>
      </c>
      <c r="D3207" s="4" t="s">
        <v>4796</v>
      </c>
      <c r="E3207" s="4">
        <v>0.0</v>
      </c>
      <c r="F3207" s="4">
        <v>6.0</v>
      </c>
      <c r="G3207" s="4" t="s">
        <v>4797</v>
      </c>
    </row>
    <row r="3208">
      <c r="A3208" s="1">
        <v>3206.0</v>
      </c>
      <c r="B3208" s="4" t="s">
        <v>4789</v>
      </c>
      <c r="C3208" s="5" t="str">
        <f>IFERROR(__xludf.DUMMYFUNCTION("GOOGLETRANSLATE(D:D,""auto"",""en"")"),"Italy confirmed Super 30")</f>
        <v>Italy confirmed Super 30</v>
      </c>
      <c r="D3208" s="4" t="s">
        <v>4798</v>
      </c>
      <c r="E3208" s="4">
        <v>0.0</v>
      </c>
      <c r="F3208" s="4">
        <v>7.0</v>
      </c>
      <c r="G3208" s="4" t="s">
        <v>4799</v>
      </c>
    </row>
    <row r="3209">
      <c r="A3209" s="1">
        <v>3207.0</v>
      </c>
      <c r="B3209" s="4" t="s">
        <v>4789</v>
      </c>
      <c r="C3209" s="5" t="str">
        <f>IFERROR(__xludf.DUMMYFUNCTION("GOOGLETRANSLATE(D:D,""auto"",""en"")"),"Exposure teacher asked the students very Xiaozhan")</f>
        <v>Exposure teacher asked the students very Xiaozhan</v>
      </c>
      <c r="D3209" s="4" t="s">
        <v>4800</v>
      </c>
      <c r="E3209" s="4">
        <v>0.0</v>
      </c>
      <c r="F3209" s="4">
        <v>8.0</v>
      </c>
      <c r="G3209" s="4" t="s">
        <v>4801</v>
      </c>
    </row>
    <row r="3210">
      <c r="A3210" s="1">
        <v>3208.0</v>
      </c>
      <c r="B3210" s="4" t="s">
        <v>4789</v>
      </c>
      <c r="C3210" s="5" t="str">
        <f>IFERROR(__xludf.DUMMYFUNCTION("GOOGLETRANSLATE(D:D,""auto"",""en"")"),"Aciu was blocked CCTV")</f>
        <v>Aciu was blocked CCTV</v>
      </c>
      <c r="D3210" s="4" t="s">
        <v>4777</v>
      </c>
      <c r="E3210" s="4">
        <v>0.0</v>
      </c>
      <c r="F3210" s="4">
        <v>9.0</v>
      </c>
      <c r="G3210" s="4" t="s">
        <v>4778</v>
      </c>
    </row>
    <row r="3211">
      <c r="A3211" s="1">
        <v>3209.0</v>
      </c>
      <c r="B3211" s="4" t="s">
        <v>4789</v>
      </c>
      <c r="C3211" s="5" t="str">
        <f>IFERROR(__xludf.DUMMYFUNCTION("GOOGLETRANSLATE(D:D,""auto"",""en"")"),"Beijing gas stations started selling masks")</f>
        <v>Beijing gas stations started selling masks</v>
      </c>
      <c r="D3211" s="4" t="s">
        <v>4802</v>
      </c>
      <c r="E3211" s="4">
        <v>0.0</v>
      </c>
      <c r="F3211" s="4">
        <v>10.0</v>
      </c>
      <c r="G3211" s="4" t="s">
        <v>4803</v>
      </c>
    </row>
    <row r="3212">
      <c r="A3212" s="1">
        <v>3210.0</v>
      </c>
      <c r="B3212" s="4" t="s">
        <v>4789</v>
      </c>
      <c r="C3212" s="5" t="str">
        <f>IFERROR(__xludf.DUMMYFUNCTION("GOOGLETRANSLATE(D:D,""auto"",""en"")"),"More than 30 cases of murder fugitive arrested")</f>
        <v>More than 30 cases of murder fugitive arrested</v>
      </c>
      <c r="D3212" s="4" t="s">
        <v>4804</v>
      </c>
      <c r="E3212" s="4">
        <v>0.0</v>
      </c>
      <c r="F3212" s="4">
        <v>11.0</v>
      </c>
      <c r="G3212" s="4" t="s">
        <v>4805</v>
      </c>
    </row>
    <row r="3213">
      <c r="A3213" s="1">
        <v>3211.0</v>
      </c>
      <c r="B3213" s="4" t="s">
        <v>4789</v>
      </c>
      <c r="C3213" s="5" t="str">
        <f>IFERROR(__xludf.DUMMYFUNCTION("GOOGLETRANSLATE(D:D,""auto"",""en"")"),"Another overseas Chinese carrier flights arrived in Hangzhou")</f>
        <v>Another overseas Chinese carrier flights arrived in Hangzhou</v>
      </c>
      <c r="D3213" s="4" t="s">
        <v>4806</v>
      </c>
      <c r="E3213" s="4">
        <v>0.0</v>
      </c>
      <c r="F3213" s="4">
        <v>12.0</v>
      </c>
      <c r="G3213" s="4" t="s">
        <v>4807</v>
      </c>
    </row>
    <row r="3214">
      <c r="A3214" s="1">
        <v>3212.0</v>
      </c>
      <c r="B3214" s="4" t="s">
        <v>4789</v>
      </c>
      <c r="C3214" s="5" t="str">
        <f>IFERROR(__xludf.DUMMYFUNCTION("GOOGLETRANSLATE(D:D,""auto"",""en"")"),"Obama to talk about the new crown prevention")</f>
        <v>Obama to talk about the new crown prevention</v>
      </c>
      <c r="D3214" s="4" t="s">
        <v>4808</v>
      </c>
      <c r="E3214" s="4">
        <v>0.0</v>
      </c>
      <c r="F3214" s="4">
        <v>13.0</v>
      </c>
      <c r="G3214" s="4" t="s">
        <v>4809</v>
      </c>
    </row>
    <row r="3215">
      <c r="A3215" s="1">
        <v>3213.0</v>
      </c>
      <c r="B3215" s="4" t="s">
        <v>4789</v>
      </c>
      <c r="C3215" s="5" t="str">
        <f>IFERROR(__xludf.DUMMYFUNCTION("GOOGLETRANSLATE(D:D,""auto"",""en"")"),"Li Wenliang advanced individual posthumously")</f>
        <v>Li Wenliang advanced individual posthumously</v>
      </c>
      <c r="D3215" s="4" t="s">
        <v>4810</v>
      </c>
      <c r="E3215" s="4">
        <v>0.0</v>
      </c>
      <c r="F3215" s="4">
        <v>14.0</v>
      </c>
      <c r="G3215" s="4" t="s">
        <v>4811</v>
      </c>
    </row>
    <row r="3216">
      <c r="A3216" s="1">
        <v>3214.0</v>
      </c>
      <c r="B3216" s="4" t="s">
        <v>4789</v>
      </c>
      <c r="C3216" s="5" t="str">
        <f>IFERROR(__xludf.DUMMYFUNCTION("GOOGLETRANSLATE(D:D,""auto"",""en"")"),"Huang Zi Jiao Summer Meng licensing")</f>
        <v>Huang Zi Jiao Summer Meng licensing</v>
      </c>
      <c r="D3216" s="4" t="s">
        <v>4812</v>
      </c>
      <c r="E3216" s="4">
        <v>0.0</v>
      </c>
      <c r="F3216" s="4">
        <v>15.0</v>
      </c>
      <c r="G3216" s="4" t="s">
        <v>4813</v>
      </c>
    </row>
    <row r="3217">
      <c r="A3217" s="1">
        <v>3215.0</v>
      </c>
      <c r="B3217" s="4" t="s">
        <v>4789</v>
      </c>
      <c r="C3217" s="5" t="str">
        <f>IFERROR(__xludf.DUMMYFUNCTION("GOOGLETRANSLATE(D:D,""auto"",""en"")"),"Many provinces and cities issued notice school")</f>
        <v>Many provinces and cities issued notice school</v>
      </c>
      <c r="D3217" s="4" t="s">
        <v>4814</v>
      </c>
      <c r="E3217" s="4">
        <v>0.0</v>
      </c>
      <c r="F3217" s="4">
        <v>16.0</v>
      </c>
      <c r="G3217" s="4" t="s">
        <v>4815</v>
      </c>
    </row>
    <row r="3218">
      <c r="A3218" s="1">
        <v>3216.0</v>
      </c>
      <c r="B3218" s="4" t="s">
        <v>4789</v>
      </c>
      <c r="C3218" s="5" t="str">
        <f>IFERROR(__xludf.DUMMYFUNCTION("GOOGLETRANSLATE(D:D,""auto"",""en"")"),"Sun Yang delete evidence of drying out")</f>
        <v>Sun Yang delete evidence of drying out</v>
      </c>
      <c r="D3218" s="4" t="s">
        <v>4816</v>
      </c>
      <c r="E3218" s="4">
        <v>0.0</v>
      </c>
      <c r="F3218" s="4">
        <v>17.0</v>
      </c>
      <c r="G3218" s="4" t="s">
        <v>4817</v>
      </c>
    </row>
    <row r="3219">
      <c r="A3219" s="1">
        <v>3217.0</v>
      </c>
      <c r="B3219" s="4" t="s">
        <v>4789</v>
      </c>
      <c r="C3219" s="5" t="str">
        <f>IFERROR(__xludf.DUMMYFUNCTION("GOOGLETRANSLATE(D:D,""auto"",""en"")"),"Korea reproduce super-spreaders")</f>
        <v>Korea reproduce super-spreaders</v>
      </c>
      <c r="D3219" s="4" t="s">
        <v>4818</v>
      </c>
      <c r="E3219" s="4">
        <v>0.0</v>
      </c>
      <c r="F3219" s="4">
        <v>18.0</v>
      </c>
      <c r="G3219" s="4" t="s">
        <v>4819</v>
      </c>
    </row>
    <row r="3220">
      <c r="A3220" s="1">
        <v>3218.0</v>
      </c>
      <c r="B3220" s="4" t="s">
        <v>4789</v>
      </c>
      <c r="C3220" s="5" t="str">
        <f>IFERROR(__xludf.DUMMYFUNCTION("GOOGLETRANSLATE(D:D,""auto"",""en"")"),"NASA announced the Mars HD Photo")</f>
        <v>NASA announced the Mars HD Photo</v>
      </c>
      <c r="D3220" s="4" t="s">
        <v>4820</v>
      </c>
      <c r="E3220" s="4">
        <v>0.0</v>
      </c>
      <c r="F3220" s="4">
        <v>19.0</v>
      </c>
      <c r="G3220" s="4" t="s">
        <v>4821</v>
      </c>
    </row>
    <row r="3221">
      <c r="A3221" s="1">
        <v>3219.0</v>
      </c>
      <c r="B3221" s="4" t="s">
        <v>4789</v>
      </c>
      <c r="C3221" s="5" t="str">
        <f>IFERROR(__xludf.DUMMYFUNCTION("GOOGLETRANSLATE(D:D,""auto"",""en"")"),"Shelter suspended for discharge")</f>
        <v>Shelter suspended for discharge</v>
      </c>
      <c r="D3221" s="4" t="s">
        <v>4822</v>
      </c>
      <c r="E3221" s="4">
        <v>0.0</v>
      </c>
      <c r="F3221" s="4">
        <v>20.0</v>
      </c>
      <c r="G3221" s="4" t="s">
        <v>4823</v>
      </c>
    </row>
    <row r="3222">
      <c r="A3222" s="1">
        <v>3220.0</v>
      </c>
      <c r="B3222" s="4" t="s">
        <v>4789</v>
      </c>
      <c r="C3222" s="5" t="str">
        <f>IFERROR(__xludf.DUMMYFUNCTION("GOOGLETRANSLATE(D:D,""auto"",""en"")"),"Joe Chen Alan holiday abroad")</f>
        <v>Joe Chen Alan holiday abroad</v>
      </c>
      <c r="D3222" s="4" t="s">
        <v>4824</v>
      </c>
      <c r="E3222" s="4">
        <v>0.0</v>
      </c>
      <c r="F3222" s="4">
        <v>21.0</v>
      </c>
      <c r="G3222" s="4" t="s">
        <v>4825</v>
      </c>
    </row>
    <row r="3223">
      <c r="A3223" s="1">
        <v>3221.0</v>
      </c>
      <c r="B3223" s="4" t="s">
        <v>4789</v>
      </c>
      <c r="C3223" s="5" t="str">
        <f>IFERROR(__xludf.DUMMYFUNCTION("GOOGLETRANSLATE(D:D,""auto"",""en"")"),"Wuhan is expected to add cleared")</f>
        <v>Wuhan is expected to add cleared</v>
      </c>
      <c r="D3223" s="4" t="s">
        <v>4826</v>
      </c>
      <c r="E3223" s="4">
        <v>0.0</v>
      </c>
      <c r="F3223" s="4">
        <v>22.0</v>
      </c>
      <c r="G3223" s="4" t="s">
        <v>4827</v>
      </c>
    </row>
    <row r="3224">
      <c r="A3224" s="1">
        <v>3222.0</v>
      </c>
      <c r="B3224" s="4" t="s">
        <v>4789</v>
      </c>
      <c r="C3224" s="5" t="str">
        <f>IFERROR(__xludf.DUMMYFUNCTION("GOOGLETRANSLATE(D:D,""auto"",""en"")"),"The new crown patients died after discharge")</f>
        <v>The new crown patients died after discharge</v>
      </c>
      <c r="D3224" s="4" t="s">
        <v>4828</v>
      </c>
      <c r="E3224" s="4">
        <v>0.0</v>
      </c>
      <c r="F3224" s="4">
        <v>23.0</v>
      </c>
      <c r="G3224" s="4" t="s">
        <v>4829</v>
      </c>
    </row>
    <row r="3225">
      <c r="A3225" s="1">
        <v>3223.0</v>
      </c>
      <c r="B3225" s="4" t="s">
        <v>4789</v>
      </c>
      <c r="C3225" s="5" t="str">
        <f>IFERROR(__xludf.DUMMYFUNCTION("GOOGLETRANSLATE(D:D,""auto"",""en"")"),"Jobs widow naked tax")</f>
        <v>Jobs widow naked tax</v>
      </c>
      <c r="D3225" s="4" t="s">
        <v>4830</v>
      </c>
      <c r="E3225" s="4">
        <v>0.0</v>
      </c>
      <c r="F3225" s="4">
        <v>24.0</v>
      </c>
      <c r="G3225" s="4" t="s">
        <v>4831</v>
      </c>
    </row>
    <row r="3226">
      <c r="A3226" s="1">
        <v>3224.0</v>
      </c>
      <c r="B3226" s="4" t="s">
        <v>4789</v>
      </c>
      <c r="C3226" s="5" t="str">
        <f>IFERROR(__xludf.DUMMYFUNCTION("GOOGLETRANSLATE(D:D,""auto"",""en"")"),"Sun Yang sponsor collective watching")</f>
        <v>Sun Yang sponsor collective watching</v>
      </c>
      <c r="D3226" s="4" t="s">
        <v>4741</v>
      </c>
      <c r="E3226" s="4">
        <v>0.0</v>
      </c>
      <c r="F3226" s="4">
        <v>25.0</v>
      </c>
      <c r="G3226" s="4" t="s">
        <v>4742</v>
      </c>
    </row>
    <row r="3227">
      <c r="A3227" s="1">
        <v>3225.0</v>
      </c>
      <c r="B3227" s="4" t="s">
        <v>4789</v>
      </c>
      <c r="C3227" s="5" t="str">
        <f>IFERROR(__xludf.DUMMYFUNCTION("GOOGLETRANSLATE(D:D,""auto"",""en"")"),"Beijing subway stop reservation")</f>
        <v>Beijing subway stop reservation</v>
      </c>
      <c r="D3227" s="4" t="s">
        <v>4759</v>
      </c>
      <c r="E3227" s="4">
        <v>0.0</v>
      </c>
      <c r="F3227" s="4">
        <v>26.0</v>
      </c>
      <c r="G3227" s="4" t="s">
        <v>4760</v>
      </c>
    </row>
    <row r="3228">
      <c r="A3228" s="1">
        <v>3226.0</v>
      </c>
      <c r="B3228" s="4" t="s">
        <v>4789</v>
      </c>
      <c r="C3228" s="5" t="str">
        <f>IFERROR(__xludf.DUMMYFUNCTION("GOOGLETRANSLATE(D:D,""auto"",""en"")"),"China to consider contributing to the WHO")</f>
        <v>China to consider contributing to the WHO</v>
      </c>
      <c r="D3228" s="4" t="s">
        <v>4832</v>
      </c>
      <c r="E3228" s="4">
        <v>0.0</v>
      </c>
      <c r="F3228" s="4">
        <v>27.0</v>
      </c>
      <c r="G3228" s="4" t="s">
        <v>4833</v>
      </c>
    </row>
    <row r="3229">
      <c r="A3229" s="1">
        <v>3227.0</v>
      </c>
      <c r="B3229" s="4" t="s">
        <v>4789</v>
      </c>
      <c r="C3229" s="5" t="str">
        <f>IFERROR(__xludf.DUMMYFUNCTION("GOOGLETRANSLATE(D:D,""auto"",""en"")"),"March three holiday Guangxi canceled")</f>
        <v>March three holiday Guangxi canceled</v>
      </c>
      <c r="D3229" s="4" t="s">
        <v>4834</v>
      </c>
      <c r="E3229" s="4">
        <v>0.0</v>
      </c>
      <c r="F3229" s="4">
        <v>28.0</v>
      </c>
      <c r="G3229" s="4" t="s">
        <v>4835</v>
      </c>
    </row>
    <row r="3230">
      <c r="A3230" s="1">
        <v>3228.0</v>
      </c>
      <c r="B3230" s="4" t="s">
        <v>4789</v>
      </c>
      <c r="C3230" s="5" t="str">
        <f>IFERROR(__xludf.DUMMYFUNCTION("GOOGLETRANSLATE(D:D,""auto"",""en"")"),"Residential corridor appears arctic fox")</f>
        <v>Residential corridor appears arctic fox</v>
      </c>
      <c r="D3230" s="4" t="s">
        <v>4836</v>
      </c>
      <c r="E3230" s="4">
        <v>0.0</v>
      </c>
      <c r="F3230" s="4">
        <v>29.0</v>
      </c>
      <c r="G3230" s="4" t="s">
        <v>4837</v>
      </c>
    </row>
    <row r="3231">
      <c r="A3231" s="1">
        <v>3229.0</v>
      </c>
      <c r="B3231" s="4" t="s">
        <v>4789</v>
      </c>
      <c r="C3231" s="5" t="str">
        <f>IFERROR(__xludf.DUMMYFUNCTION("GOOGLETRANSLATE(D:D,""auto"",""en"")"),"Yu Jiali announced the marriage")</f>
        <v>Yu Jiali announced the marriage</v>
      </c>
      <c r="D3231" s="4" t="s">
        <v>4838</v>
      </c>
      <c r="E3231" s="4">
        <v>0.0</v>
      </c>
      <c r="F3231" s="4">
        <v>30.0</v>
      </c>
      <c r="G3231" s="4" t="s">
        <v>4839</v>
      </c>
    </row>
    <row r="3232">
      <c r="A3232" s="1">
        <v>3230.0</v>
      </c>
      <c r="B3232" s="4" t="s">
        <v>4789</v>
      </c>
      <c r="C3232" s="5" t="str">
        <f>IFERROR(__xludf.DUMMYFUNCTION("GOOGLETRANSLATE(D:D,""auto"",""en"")"),"City events have to identify any prison")</f>
        <v>City events have to identify any prison</v>
      </c>
      <c r="D3232" s="4" t="s">
        <v>4727</v>
      </c>
      <c r="E3232" s="4">
        <v>0.0</v>
      </c>
      <c r="F3232" s="4">
        <v>31.0</v>
      </c>
      <c r="G3232" s="4" t="s">
        <v>4728</v>
      </c>
    </row>
    <row r="3233">
      <c r="A3233" s="1">
        <v>3231.0</v>
      </c>
      <c r="B3233" s="4" t="s">
        <v>4789</v>
      </c>
      <c r="C3233" s="5" t="str">
        <f>IFERROR(__xludf.DUMMYFUNCTION("GOOGLETRANSLATE(D:D,""auto"",""en"")"),"Korea found antibodies to the virus")</f>
        <v>Korea found antibodies to the virus</v>
      </c>
      <c r="D3233" s="4" t="s">
        <v>4747</v>
      </c>
      <c r="E3233" s="4">
        <v>0.0</v>
      </c>
      <c r="F3233" s="4">
        <v>32.0</v>
      </c>
      <c r="G3233" s="4" t="s">
        <v>4748</v>
      </c>
    </row>
    <row r="3234">
      <c r="A3234" s="1">
        <v>3232.0</v>
      </c>
      <c r="B3234" s="4" t="s">
        <v>4789</v>
      </c>
      <c r="C3234" s="5" t="str">
        <f>IFERROR(__xludf.DUMMYFUNCTION("GOOGLETRANSLATE(D:D,""auto"",""en"")"),"The new virus has mutated crown")</f>
        <v>The new virus has mutated crown</v>
      </c>
      <c r="D3234" s="4" t="s">
        <v>4725</v>
      </c>
      <c r="E3234" s="4">
        <v>0.0</v>
      </c>
      <c r="F3234" s="4">
        <v>33.0</v>
      </c>
      <c r="G3234" s="4" t="s">
        <v>4726</v>
      </c>
    </row>
    <row r="3235">
      <c r="A3235" s="1">
        <v>3233.0</v>
      </c>
      <c r="B3235" s="4" t="s">
        <v>4789</v>
      </c>
      <c r="C3235" s="5" t="str">
        <f>IFERROR(__xludf.DUMMYFUNCTION("GOOGLETRANSLATE(D:D,""auto"",""en"")"),"New attacks the central nervous exposed crown")</f>
        <v>New attacks the central nervous exposed crown</v>
      </c>
      <c r="D3235" s="4" t="s">
        <v>4840</v>
      </c>
      <c r="E3235" s="4">
        <v>0.0</v>
      </c>
      <c r="F3235" s="4">
        <v>34.0</v>
      </c>
      <c r="G3235" s="4" t="s">
        <v>4841</v>
      </c>
    </row>
    <row r="3236">
      <c r="A3236" s="1">
        <v>3234.0</v>
      </c>
      <c r="B3236" s="4" t="s">
        <v>4789</v>
      </c>
      <c r="C3236" s="5" t="str">
        <f>IFERROR(__xludf.DUMMYFUNCTION("GOOGLETRANSLATE(D:D,""auto"",""en"")"),"Countries around the world are now buying surge")</f>
        <v>Countries around the world are now buying surge</v>
      </c>
      <c r="D3236" s="4" t="s">
        <v>4842</v>
      </c>
      <c r="E3236" s="4">
        <v>0.0</v>
      </c>
      <c r="F3236" s="4">
        <v>35.0</v>
      </c>
      <c r="G3236" s="4" t="s">
        <v>4843</v>
      </c>
    </row>
    <row r="3237">
      <c r="A3237" s="1">
        <v>3235.0</v>
      </c>
      <c r="B3237" s="4" t="s">
        <v>4789</v>
      </c>
      <c r="C3237" s="5" t="str">
        <f>IFERROR(__xludf.DUMMYFUNCTION("GOOGLETRANSLATE(D:D,""auto"",""en"")"),"CAS arbitration report released")</f>
        <v>CAS arbitration report released</v>
      </c>
      <c r="D3237" s="4" t="s">
        <v>4844</v>
      </c>
      <c r="E3237" s="4">
        <v>0.0</v>
      </c>
      <c r="F3237" s="4">
        <v>36.0</v>
      </c>
      <c r="G3237" s="4" t="s">
        <v>4845</v>
      </c>
    </row>
    <row r="3238">
      <c r="A3238" s="1">
        <v>3236.0</v>
      </c>
      <c r="B3238" s="4" t="s">
        <v>4789</v>
      </c>
      <c r="C3238" s="5" t="str">
        <f>IFERROR(__xludf.DUMMYFUNCTION("GOOGLETRANSLATE(D:D,""auto"",""en"")"),"Huawei released Kunpeng goes mobile")</f>
        <v>Huawei released Kunpeng goes mobile</v>
      </c>
      <c r="D3238" s="4" t="s">
        <v>4846</v>
      </c>
      <c r="E3238" s="4">
        <v>0.0</v>
      </c>
      <c r="F3238" s="4">
        <v>37.0</v>
      </c>
      <c r="G3238" s="4" t="s">
        <v>4847</v>
      </c>
    </row>
    <row r="3239">
      <c r="A3239" s="1">
        <v>3237.0</v>
      </c>
      <c r="B3239" s="4" t="s">
        <v>4789</v>
      </c>
      <c r="C3239" s="5" t="str">
        <f>IFERROR(__xludf.DUMMYFUNCTION("GOOGLETRANSLATE(D:D,""auto"",""en"")"),"Japanese Internet users berserk granite")</f>
        <v>Japanese Internet users berserk granite</v>
      </c>
      <c r="D3239" s="4" t="s">
        <v>4737</v>
      </c>
      <c r="E3239" s="4">
        <v>0.0</v>
      </c>
      <c r="F3239" s="4">
        <v>38.0</v>
      </c>
      <c r="G3239" s="4" t="s">
        <v>4738</v>
      </c>
    </row>
    <row r="3240">
      <c r="A3240" s="1">
        <v>3238.0</v>
      </c>
      <c r="B3240" s="4" t="s">
        <v>4789</v>
      </c>
      <c r="C3240" s="5" t="str">
        <f>IFERROR(__xludf.DUMMYFUNCTION("GOOGLETRANSLATE(D:D,""auto"",""en"")"),"The emergence of new epidemic situation changes")</f>
        <v>The emergence of new epidemic situation changes</v>
      </c>
      <c r="D3240" s="4" t="s">
        <v>4709</v>
      </c>
      <c r="E3240" s="4">
        <v>0.0</v>
      </c>
      <c r="F3240" s="4">
        <v>39.0</v>
      </c>
      <c r="G3240" s="4" t="s">
        <v>4710</v>
      </c>
    </row>
    <row r="3241">
      <c r="A3241" s="1">
        <v>3239.0</v>
      </c>
      <c r="B3241" s="4" t="s">
        <v>4789</v>
      </c>
      <c r="C3241" s="5" t="str">
        <f>IFERROR(__xludf.DUMMYFUNCTION("GOOGLETRANSLATE(D:D,""auto"",""en"")"),"Heilongjiang emergency response adjustment")</f>
        <v>Heilongjiang emergency response adjustment</v>
      </c>
      <c r="D3241" s="4" t="s">
        <v>4753</v>
      </c>
      <c r="E3241" s="4">
        <v>0.0</v>
      </c>
      <c r="F3241" s="4">
        <v>40.0</v>
      </c>
      <c r="G3241" s="4" t="s">
        <v>4754</v>
      </c>
    </row>
    <row r="3242">
      <c r="A3242" s="1">
        <v>3240.0</v>
      </c>
      <c r="B3242" s="4" t="s">
        <v>4789</v>
      </c>
      <c r="C3242" s="5" t="str">
        <f>IFERROR(__xludf.DUMMYFUNCTION("GOOGLETRANSLATE(D:D,""auto"",""en"")"),"Experts on mosquito-borne new crown")</f>
        <v>Experts on mosquito-borne new crown</v>
      </c>
      <c r="D3242" s="4" t="s">
        <v>4848</v>
      </c>
      <c r="E3242" s="4">
        <v>0.0</v>
      </c>
      <c r="F3242" s="4">
        <v>41.0</v>
      </c>
      <c r="G3242" s="4" t="s">
        <v>4849</v>
      </c>
    </row>
    <row r="3243">
      <c r="A3243" s="1">
        <v>3241.0</v>
      </c>
      <c r="B3243" s="4" t="s">
        <v>4789</v>
      </c>
      <c r="C3243" s="5" t="str">
        <f>IFERROR(__xludf.DUMMYFUNCTION("GOOGLETRANSLATE(D:D,""auto"",""en"")"),"007 movie release postponed")</f>
        <v>007 movie release postponed</v>
      </c>
      <c r="D3243" s="4" t="s">
        <v>4850</v>
      </c>
      <c r="E3243" s="4">
        <v>0.0</v>
      </c>
      <c r="F3243" s="4">
        <v>42.0</v>
      </c>
      <c r="G3243" s="4" t="s">
        <v>4851</v>
      </c>
    </row>
    <row r="3244">
      <c r="A3244" s="1">
        <v>3242.0</v>
      </c>
      <c r="B3244" s="4" t="s">
        <v>4789</v>
      </c>
      <c r="C3244" s="5" t="str">
        <f>IFERROR(__xludf.DUMMYFUNCTION("GOOGLETRANSLATE(D:D,""auto"",""en"")"),"Xiaogan concealed epidemic response")</f>
        <v>Xiaogan concealed epidemic response</v>
      </c>
      <c r="D3244" s="4" t="s">
        <v>4717</v>
      </c>
      <c r="E3244" s="4">
        <v>0.0</v>
      </c>
      <c r="F3244" s="4">
        <v>43.0</v>
      </c>
      <c r="G3244" s="4" t="s">
        <v>4718</v>
      </c>
    </row>
    <row r="3245">
      <c r="A3245" s="1">
        <v>3243.0</v>
      </c>
      <c r="B3245" s="4" t="s">
        <v>4789</v>
      </c>
      <c r="C3245" s="5" t="str">
        <f>IFERROR(__xludf.DUMMYFUNCTION("GOOGLETRANSLATE(D:D,""auto"",""en"")"),"Trump donated $ 100,000")</f>
        <v>Trump donated $ 100,000</v>
      </c>
      <c r="D3245" s="4" t="s">
        <v>4743</v>
      </c>
      <c r="E3245" s="4">
        <v>0.0</v>
      </c>
      <c r="F3245" s="4">
        <v>44.0</v>
      </c>
      <c r="G3245" s="4" t="s">
        <v>4744</v>
      </c>
    </row>
    <row r="3246">
      <c r="A3246" s="1">
        <v>3244.0</v>
      </c>
      <c r="B3246" s="4" t="s">
        <v>4789</v>
      </c>
      <c r="C3246" s="5" t="str">
        <f>IFERROR(__xludf.DUMMYFUNCTION("GOOGLETRANSLATE(D:D,""auto"",""en"")"),"Sinopec domineering propaganda scraper")</f>
        <v>Sinopec domineering propaganda scraper</v>
      </c>
      <c r="D3246" s="4" t="s">
        <v>4852</v>
      </c>
      <c r="E3246" s="4">
        <v>0.0</v>
      </c>
      <c r="F3246" s="4">
        <v>45.0</v>
      </c>
      <c r="G3246" s="4" t="s">
        <v>4853</v>
      </c>
    </row>
    <row r="3247">
      <c r="A3247" s="1">
        <v>3245.0</v>
      </c>
      <c r="B3247" s="4" t="s">
        <v>4789</v>
      </c>
      <c r="C3247" s="5" t="str">
        <f>IFERROR(__xludf.DUMMYFUNCTION("GOOGLETRANSLATE(D:D,""auto"",""en"")"),"Gambling winnings total was beaten")</f>
        <v>Gambling winnings total was beaten</v>
      </c>
      <c r="D3247" s="4" t="s">
        <v>4854</v>
      </c>
      <c r="E3247" s="4">
        <v>0.0</v>
      </c>
      <c r="F3247" s="4">
        <v>46.0</v>
      </c>
      <c r="G3247" s="4" t="s">
        <v>4855</v>
      </c>
    </row>
    <row r="3248">
      <c r="A3248" s="1">
        <v>3246.0</v>
      </c>
      <c r="B3248" s="4" t="s">
        <v>4789</v>
      </c>
      <c r="C3248" s="5" t="str">
        <f>IFERROR(__xludf.DUMMYFUNCTION("GOOGLETRANSLATE(D:D,""auto"",""en"")"),"Hubei network drama can watch for free")</f>
        <v>Hubei network drama can watch for free</v>
      </c>
      <c r="D3248" s="4" t="s">
        <v>4856</v>
      </c>
      <c r="E3248" s="4">
        <v>0.0</v>
      </c>
      <c r="F3248" s="4">
        <v>47.0</v>
      </c>
      <c r="G3248" s="4" t="s">
        <v>4857</v>
      </c>
    </row>
    <row r="3249">
      <c r="A3249" s="1">
        <v>3247.0</v>
      </c>
      <c r="B3249" s="4" t="s">
        <v>4789</v>
      </c>
      <c r="C3249" s="5" t="str">
        <f>IFERROR(__xludf.DUMMYFUNCTION("GOOGLETRANSLATE(D:D,""auto"",""en"")"),"Iran's political arena into the hardest hit")</f>
        <v>Iran's political arena into the hardest hit</v>
      </c>
      <c r="D3249" s="4" t="s">
        <v>4858</v>
      </c>
      <c r="E3249" s="4">
        <v>0.0</v>
      </c>
      <c r="F3249" s="4">
        <v>48.0</v>
      </c>
      <c r="G3249" s="4" t="s">
        <v>4859</v>
      </c>
    </row>
    <row r="3250">
      <c r="A3250" s="1">
        <v>3248.0</v>
      </c>
      <c r="B3250" s="4" t="s">
        <v>4789</v>
      </c>
      <c r="C3250" s="5" t="str">
        <f>IFERROR(__xludf.DUMMYFUNCTION("GOOGLETRANSLATE(D:D,""auto"",""en"")"),"Phoenix Ten Questions Xiaozhan")</f>
        <v>Phoenix Ten Questions Xiaozhan</v>
      </c>
      <c r="D3250" s="4" t="s">
        <v>4707</v>
      </c>
      <c r="E3250" s="4">
        <v>0.0</v>
      </c>
      <c r="F3250" s="4">
        <v>49.0</v>
      </c>
      <c r="G3250" s="4" t="s">
        <v>4708</v>
      </c>
    </row>
    <row r="3251">
      <c r="A3251" s="1">
        <v>3249.0</v>
      </c>
      <c r="B3251" s="4" t="s">
        <v>4789</v>
      </c>
      <c r="C3251" s="5" t="str">
        <f>IFERROR(__xludf.DUMMYFUNCTION("GOOGLETRANSLATE(D:D,""auto"",""en"")"),"Hubei wild boar hog cholera epidemic now")</f>
        <v>Hubei wild boar hog cholera epidemic now</v>
      </c>
      <c r="D3251" s="4" t="s">
        <v>4690</v>
      </c>
      <c r="E3251" s="4">
        <v>0.0</v>
      </c>
      <c r="F3251" s="4">
        <v>50.0</v>
      </c>
      <c r="G3251" s="4" t="s">
        <v>4691</v>
      </c>
    </row>
    <row r="3252">
      <c r="A3252" s="1">
        <v>3250.0</v>
      </c>
      <c r="B3252" s="4" t="s">
        <v>4860</v>
      </c>
      <c r="C3252" s="5" t="str">
        <f>IFERROR(__xludf.DUMMYFUNCTION("GOOGLETRANSLATE(D:D,""auto"",""en"")"),"Swan moved north en route and returned")</f>
        <v>Swan moved north en route and returned</v>
      </c>
      <c r="D3252" s="4" t="s">
        <v>4861</v>
      </c>
      <c r="E3252" s="4">
        <v>0.0</v>
      </c>
      <c r="F3252" s="4">
        <v>1.0</v>
      </c>
      <c r="G3252" s="4" t="s">
        <v>4862</v>
      </c>
    </row>
    <row r="3253">
      <c r="A3253" s="1">
        <v>3251.0</v>
      </c>
      <c r="B3253" s="4" t="s">
        <v>4860</v>
      </c>
      <c r="C3253" s="5" t="str">
        <f>IFERROR(__xludf.DUMMYFUNCTION("GOOGLETRANSLATE(D:D,""auto"",""en"")"),"The new crown patients died after discharge")</f>
        <v>The new crown patients died after discharge</v>
      </c>
      <c r="D3253" s="4" t="s">
        <v>4828</v>
      </c>
      <c r="E3253" s="4">
        <v>0.0</v>
      </c>
      <c r="F3253" s="4">
        <v>2.0</v>
      </c>
      <c r="G3253" s="4" t="s">
        <v>4829</v>
      </c>
    </row>
    <row r="3254">
      <c r="A3254" s="1">
        <v>3252.0</v>
      </c>
      <c r="B3254" s="4" t="s">
        <v>4860</v>
      </c>
      <c r="C3254" s="5" t="str">
        <f>IFERROR(__xludf.DUMMYFUNCTION("GOOGLETRANSLATE(D:D,""auto"",""en"")"),"Yu Jiali announced the marriage")</f>
        <v>Yu Jiali announced the marriage</v>
      </c>
      <c r="D3254" s="4" t="s">
        <v>4838</v>
      </c>
      <c r="E3254" s="4">
        <v>0.0</v>
      </c>
      <c r="F3254" s="4">
        <v>3.0</v>
      </c>
      <c r="G3254" s="4" t="s">
        <v>4839</v>
      </c>
    </row>
    <row r="3255">
      <c r="A3255" s="1">
        <v>3253.0</v>
      </c>
      <c r="B3255" s="4" t="s">
        <v>4860</v>
      </c>
      <c r="C3255" s="5" t="str">
        <f>IFERROR(__xludf.DUMMYFUNCTION("GOOGLETRANSLATE(D:D,""auto"",""en"")"),"Joe Chen Alan holiday abroad")</f>
        <v>Joe Chen Alan holiday abroad</v>
      </c>
      <c r="D3255" s="4" t="s">
        <v>4824</v>
      </c>
      <c r="E3255" s="4">
        <v>0.0</v>
      </c>
      <c r="F3255" s="4">
        <v>4.0</v>
      </c>
      <c r="G3255" s="4" t="s">
        <v>4825</v>
      </c>
    </row>
    <row r="3256">
      <c r="A3256" s="1">
        <v>3254.0</v>
      </c>
      <c r="B3256" s="4" t="s">
        <v>4860</v>
      </c>
      <c r="C3256" s="5" t="str">
        <f>IFERROR(__xludf.DUMMYFUNCTION("GOOGLETRANSLATE(D:D,""auto"",""en"")"),"11 cases of foreign input by Gansu")</f>
        <v>11 cases of foreign input by Gansu</v>
      </c>
      <c r="D3256" s="4" t="s">
        <v>4863</v>
      </c>
      <c r="E3256" s="4">
        <v>0.0</v>
      </c>
      <c r="F3256" s="4">
        <v>5.0</v>
      </c>
      <c r="G3256" s="4" t="s">
        <v>4864</v>
      </c>
    </row>
    <row r="3257">
      <c r="A3257" s="1">
        <v>3255.0</v>
      </c>
      <c r="B3257" s="4" t="s">
        <v>4860</v>
      </c>
      <c r="C3257" s="5" t="str">
        <f>IFERROR(__xludf.DUMMYFUNCTION("GOOGLETRANSLATE(D:D,""auto"",""en"")"),"Huawei released Kunpeng goes mobile")</f>
        <v>Huawei released Kunpeng goes mobile</v>
      </c>
      <c r="D3257" s="4" t="s">
        <v>4846</v>
      </c>
      <c r="E3257" s="4">
        <v>0.0</v>
      </c>
      <c r="F3257" s="4">
        <v>6.0</v>
      </c>
      <c r="G3257" s="4" t="s">
        <v>4847</v>
      </c>
    </row>
    <row r="3258">
      <c r="A3258" s="1">
        <v>3256.0</v>
      </c>
      <c r="B3258" s="4" t="s">
        <v>4860</v>
      </c>
      <c r="C3258" s="5" t="str">
        <f>IFERROR(__xludf.DUMMYFUNCTION("GOOGLETRANSLATE(D:D,""auto"",""en"")"),"Korea reproduce super-spreaders")</f>
        <v>Korea reproduce super-spreaders</v>
      </c>
      <c r="D3258" s="4" t="s">
        <v>4818</v>
      </c>
      <c r="E3258" s="4">
        <v>0.0</v>
      </c>
      <c r="F3258" s="4">
        <v>7.0</v>
      </c>
      <c r="G3258" s="4" t="s">
        <v>4819</v>
      </c>
    </row>
    <row r="3259">
      <c r="A3259" s="1">
        <v>3257.0</v>
      </c>
      <c r="B3259" s="4" t="s">
        <v>4860</v>
      </c>
      <c r="C3259" s="5" t="str">
        <f>IFERROR(__xludf.DUMMYFUNCTION("GOOGLETRANSLATE(D:D,""auto"",""en"")"),"8.74 million students will graduate")</f>
        <v>8.74 million students will graduate</v>
      </c>
      <c r="D3259" s="4" t="s">
        <v>4865</v>
      </c>
      <c r="E3259" s="4">
        <v>0.0</v>
      </c>
      <c r="F3259" s="4">
        <v>8.0</v>
      </c>
      <c r="G3259" s="4" t="s">
        <v>4866</v>
      </c>
    </row>
    <row r="3260">
      <c r="A3260" s="1">
        <v>3258.0</v>
      </c>
      <c r="B3260" s="4" t="s">
        <v>4860</v>
      </c>
      <c r="C3260" s="5" t="str">
        <f>IFERROR(__xludf.DUMMYFUNCTION("GOOGLETRANSLATE(D:D,""auto"",""en"")"),"The new crown prince was ridiculed Britain")</f>
        <v>The new crown prince was ridiculed Britain</v>
      </c>
      <c r="D3260" s="4" t="s">
        <v>4867</v>
      </c>
      <c r="E3260" s="4">
        <v>0.0</v>
      </c>
      <c r="F3260" s="4">
        <v>9.0</v>
      </c>
      <c r="G3260" s="4" t="s">
        <v>4868</v>
      </c>
    </row>
    <row r="3261">
      <c r="A3261" s="1">
        <v>3259.0</v>
      </c>
      <c r="B3261" s="4" t="s">
        <v>4860</v>
      </c>
      <c r="C3261" s="5" t="str">
        <f>IFERROR(__xludf.DUMMYFUNCTION("GOOGLETRANSLATE(D:D,""auto"",""en"")"),"Chicago shootout")</f>
        <v>Chicago shootout</v>
      </c>
      <c r="D3261" s="4" t="s">
        <v>4869</v>
      </c>
      <c r="E3261" s="4">
        <v>0.0</v>
      </c>
      <c r="F3261" s="4">
        <v>10.0</v>
      </c>
      <c r="G3261" s="4" t="s">
        <v>4870</v>
      </c>
    </row>
    <row r="3262">
      <c r="A3262" s="1">
        <v>3260.0</v>
      </c>
      <c r="B3262" s="4" t="s">
        <v>4860</v>
      </c>
      <c r="C3262" s="5" t="str">
        <f>IFERROR(__xludf.DUMMYFUNCTION("GOOGLETRANSLATE(D:D,""auto"",""en"")"),"Or flu-like virus to evolve")</f>
        <v>Or flu-like virus to evolve</v>
      </c>
      <c r="D3262" s="4" t="s">
        <v>4871</v>
      </c>
      <c r="E3262" s="4">
        <v>0.0</v>
      </c>
      <c r="F3262" s="4">
        <v>11.0</v>
      </c>
      <c r="G3262" s="4" t="s">
        <v>4872</v>
      </c>
    </row>
    <row r="3263">
      <c r="A3263" s="1">
        <v>3261.0</v>
      </c>
      <c r="B3263" s="4" t="s">
        <v>4860</v>
      </c>
      <c r="C3263" s="5" t="str">
        <f>IFERROR(__xludf.DUMMYFUNCTION("GOOGLETRANSLATE(D:D,""auto"",""en"")"),"Trump did not believe mortality")</f>
        <v>Trump did not believe mortality</v>
      </c>
      <c r="D3263" s="4" t="s">
        <v>4873</v>
      </c>
      <c r="E3263" s="4">
        <v>0.0</v>
      </c>
      <c r="F3263" s="4">
        <v>12.0</v>
      </c>
      <c r="G3263" s="4" t="s">
        <v>4874</v>
      </c>
    </row>
    <row r="3264">
      <c r="A3264" s="1">
        <v>3262.0</v>
      </c>
      <c r="B3264" s="4" t="s">
        <v>4860</v>
      </c>
      <c r="C3264" s="5" t="str">
        <f>IFERROR(__xludf.DUMMYFUNCTION("GOOGLETRANSLATE(D:D,""auto"",""en"")"),"Qingchuan County in Sichuan earthquake")</f>
        <v>Qingchuan County in Sichuan earthquake</v>
      </c>
      <c r="D3264" s="4" t="s">
        <v>4875</v>
      </c>
      <c r="E3264" s="4">
        <v>0.0</v>
      </c>
      <c r="F3264" s="4">
        <v>13.0</v>
      </c>
      <c r="G3264" s="4" t="s">
        <v>4876</v>
      </c>
    </row>
    <row r="3265">
      <c r="A3265" s="1">
        <v>3263.0</v>
      </c>
      <c r="B3265" s="4" t="s">
        <v>4860</v>
      </c>
      <c r="C3265" s="5" t="str">
        <f>IFERROR(__xludf.DUMMYFUNCTION("GOOGLETRANSLATE(D:D,""auto"",""en"")"),"Magazine Ren small daughter board")</f>
        <v>Magazine Ren small daughter board</v>
      </c>
      <c r="D3265" s="4" t="s">
        <v>4877</v>
      </c>
      <c r="E3265" s="4">
        <v>0.0</v>
      </c>
      <c r="F3265" s="4">
        <v>14.0</v>
      </c>
      <c r="G3265" s="4" t="s">
        <v>4878</v>
      </c>
    </row>
    <row r="3266">
      <c r="A3266" s="1">
        <v>3264.0</v>
      </c>
      <c r="B3266" s="4" t="s">
        <v>4860</v>
      </c>
      <c r="C3266" s="5" t="str">
        <f>IFERROR(__xludf.DUMMYFUNCTION("GOOGLETRANSLATE(D:D,""auto"",""en"")"),"Retention of the status quo 40 days Wuhan")</f>
        <v>Retention of the status quo 40 days Wuhan</v>
      </c>
      <c r="D3266" s="4" t="s">
        <v>4879</v>
      </c>
      <c r="E3266" s="4">
        <v>0.0</v>
      </c>
      <c r="F3266" s="4">
        <v>15.0</v>
      </c>
      <c r="G3266" s="4" t="s">
        <v>4880</v>
      </c>
    </row>
    <row r="3267">
      <c r="A3267" s="1">
        <v>3265.0</v>
      </c>
      <c r="B3267" s="4" t="s">
        <v>4860</v>
      </c>
      <c r="C3267" s="5" t="str">
        <f>IFERROR(__xludf.DUMMYFUNCTION("GOOGLETRANSLATE(D:D,""auto"",""en"")"),"House leadership is accountable high subsidies")</f>
        <v>House leadership is accountable high subsidies</v>
      </c>
      <c r="D3267" s="4" t="s">
        <v>4881</v>
      </c>
      <c r="E3267" s="4">
        <v>0.0</v>
      </c>
      <c r="F3267" s="4">
        <v>16.0</v>
      </c>
      <c r="G3267" s="4" t="s">
        <v>4882</v>
      </c>
    </row>
    <row r="3268">
      <c r="A3268" s="1">
        <v>3266.0</v>
      </c>
      <c r="B3268" s="4" t="s">
        <v>4860</v>
      </c>
      <c r="C3268" s="5" t="str">
        <f>IFERROR(__xludf.DUMMYFUNCTION("GOOGLETRANSLATE(D:D,""auto"",""en"")"),"National new cases of 143 cases")</f>
        <v>National new cases of 143 cases</v>
      </c>
      <c r="D3268" s="4" t="s">
        <v>4883</v>
      </c>
      <c r="E3268" s="4">
        <v>0.0</v>
      </c>
      <c r="F3268" s="4">
        <v>17.0</v>
      </c>
      <c r="G3268" s="4" t="s">
        <v>4884</v>
      </c>
    </row>
    <row r="3269">
      <c r="A3269" s="1">
        <v>3267.0</v>
      </c>
      <c r="B3269" s="4" t="s">
        <v>4860</v>
      </c>
      <c r="C3269" s="5" t="str">
        <f>IFERROR(__xludf.DUMMYFUNCTION("GOOGLETRANSLATE(D:D,""auto"",""en"")"),"Hubei Super 30 infected health care")</f>
        <v>Hubei Super 30 infected health care</v>
      </c>
      <c r="D3269" s="4" t="s">
        <v>4885</v>
      </c>
      <c r="E3269" s="4">
        <v>0.0</v>
      </c>
      <c r="F3269" s="4">
        <v>18.0</v>
      </c>
      <c r="G3269" s="4" t="s">
        <v>4886</v>
      </c>
    </row>
    <row r="3270">
      <c r="A3270" s="1">
        <v>3268.0</v>
      </c>
      <c r="B3270" s="4" t="s">
        <v>4860</v>
      </c>
      <c r="C3270" s="5" t="str">
        <f>IFERROR(__xludf.DUMMYFUNCTION("GOOGLETRANSLATE(D:D,""auto"",""en"")"),"Lawyer Joke made a statement")</f>
        <v>Lawyer Joke made a statement</v>
      </c>
      <c r="D3270" s="4" t="s">
        <v>4887</v>
      </c>
      <c r="E3270" s="4">
        <v>0.0</v>
      </c>
      <c r="F3270" s="4">
        <v>19.0</v>
      </c>
      <c r="G3270" s="4" t="s">
        <v>4888</v>
      </c>
    </row>
    <row r="3271">
      <c r="A3271" s="1">
        <v>3269.0</v>
      </c>
      <c r="B3271" s="4" t="s">
        <v>4860</v>
      </c>
      <c r="C3271" s="5" t="str">
        <f>IFERROR(__xludf.DUMMYFUNCTION("GOOGLETRANSLATE(D:D,""auto"",""en"")"),"Liu Zhen died in hospital rumor")</f>
        <v>Liu Zhen died in hospital rumor</v>
      </c>
      <c r="D3271" s="4" t="s">
        <v>4889</v>
      </c>
      <c r="E3271" s="4">
        <v>0.0</v>
      </c>
      <c r="F3271" s="4">
        <v>20.0</v>
      </c>
      <c r="G3271" s="4" t="s">
        <v>4890</v>
      </c>
    </row>
    <row r="3272">
      <c r="A3272" s="1">
        <v>3270.0</v>
      </c>
      <c r="B3272" s="4" t="s">
        <v>4860</v>
      </c>
      <c r="C3272" s="5" t="str">
        <f>IFERROR(__xludf.DUMMYFUNCTION("GOOGLETRANSLATE(D:D,""auto"",""en"")"),"Experts respond virus mutates")</f>
        <v>Experts respond virus mutates</v>
      </c>
      <c r="D3272" s="4" t="s">
        <v>4891</v>
      </c>
      <c r="E3272" s="4">
        <v>0.0</v>
      </c>
      <c r="F3272" s="4">
        <v>21.0</v>
      </c>
      <c r="G3272" s="4" t="s">
        <v>4892</v>
      </c>
    </row>
    <row r="3273">
      <c r="A3273" s="1">
        <v>3271.0</v>
      </c>
      <c r="B3273" s="4" t="s">
        <v>4860</v>
      </c>
      <c r="C3273" s="5" t="str">
        <f>IFERROR(__xludf.DUMMYFUNCTION("GOOGLETRANSLATE(D:D,""auto"",""en"")"),"Ma raised masks to Iran")</f>
        <v>Ma raised masks to Iran</v>
      </c>
      <c r="D3273" s="4" t="s">
        <v>4893</v>
      </c>
      <c r="E3273" s="4">
        <v>0.0</v>
      </c>
      <c r="F3273" s="4">
        <v>22.0</v>
      </c>
      <c r="G3273" s="4" t="s">
        <v>4894</v>
      </c>
    </row>
    <row r="3274">
      <c r="A3274" s="1">
        <v>3272.0</v>
      </c>
      <c r="B3274" s="4" t="s">
        <v>4860</v>
      </c>
      <c r="C3274" s="5" t="str">
        <f>IFERROR(__xludf.DUMMYFUNCTION("GOOGLETRANSLATE(D:D,""auto"",""en"")"),"A large number of white-lipped deer coming out of snow-capped mountains")</f>
        <v>A large number of white-lipped deer coming out of snow-capped mountains</v>
      </c>
      <c r="D3274" s="4" t="s">
        <v>4895</v>
      </c>
      <c r="E3274" s="4">
        <v>0.0</v>
      </c>
      <c r="F3274" s="4">
        <v>23.0</v>
      </c>
      <c r="G3274" s="4" t="s">
        <v>4896</v>
      </c>
    </row>
    <row r="3275">
      <c r="A3275" s="1">
        <v>3273.0</v>
      </c>
      <c r="B3275" s="4" t="s">
        <v>4860</v>
      </c>
      <c r="C3275" s="5" t="str">
        <f>IFERROR(__xludf.DUMMYFUNCTION("GOOGLETRANSLATE(D:D,""auto"",""en"")"),"Xi'an full divorce reservation")</f>
        <v>Xi'an full divorce reservation</v>
      </c>
      <c r="D3275" s="4" t="s">
        <v>4897</v>
      </c>
      <c r="E3275" s="4">
        <v>0.0</v>
      </c>
      <c r="F3275" s="4">
        <v>24.0</v>
      </c>
      <c r="G3275" s="4" t="s">
        <v>4898</v>
      </c>
    </row>
    <row r="3276">
      <c r="A3276" s="1">
        <v>3274.0</v>
      </c>
      <c r="B3276" s="4" t="s">
        <v>4860</v>
      </c>
      <c r="C3276" s="5" t="str">
        <f>IFERROR(__xludf.DUMMYFUNCTION("GOOGLETRANSLATE(D:D,""auto"",""en"")"),"Many provinces and cities issued notice school")</f>
        <v>Many provinces and cities issued notice school</v>
      </c>
      <c r="D3276" s="4" t="s">
        <v>4814</v>
      </c>
      <c r="E3276" s="4">
        <v>0.0</v>
      </c>
      <c r="F3276" s="4">
        <v>25.0</v>
      </c>
      <c r="G3276" s="4" t="s">
        <v>4815</v>
      </c>
    </row>
    <row r="3277">
      <c r="A3277" s="1">
        <v>3275.0</v>
      </c>
      <c r="B3277" s="4" t="s">
        <v>4860</v>
      </c>
      <c r="C3277" s="5" t="str">
        <f>IFERROR(__xludf.DUMMYFUNCTION("GOOGLETRANSLATE(D:D,""auto"",""en"")"),"NASA announced the Mars HD Photo")</f>
        <v>NASA announced the Mars HD Photo</v>
      </c>
      <c r="D3277" s="4" t="s">
        <v>4820</v>
      </c>
      <c r="E3277" s="4">
        <v>0.0</v>
      </c>
      <c r="F3277" s="4">
        <v>26.0</v>
      </c>
      <c r="G3277" s="4" t="s">
        <v>4821</v>
      </c>
    </row>
    <row r="3278">
      <c r="A3278" s="1">
        <v>3276.0</v>
      </c>
      <c r="B3278" s="4" t="s">
        <v>4860</v>
      </c>
      <c r="C3278" s="5" t="str">
        <f>IFERROR(__xludf.DUMMYFUNCTION("GOOGLETRANSLATE(D:D,""auto"",""en"")"),"Shelter suspended for discharge")</f>
        <v>Shelter suspended for discharge</v>
      </c>
      <c r="D3278" s="4" t="s">
        <v>4822</v>
      </c>
      <c r="E3278" s="4">
        <v>0.0</v>
      </c>
      <c r="F3278" s="4">
        <v>27.0</v>
      </c>
      <c r="G3278" s="4" t="s">
        <v>4823</v>
      </c>
    </row>
    <row r="3279">
      <c r="A3279" s="1">
        <v>3277.0</v>
      </c>
      <c r="B3279" s="4" t="s">
        <v>4860</v>
      </c>
      <c r="C3279" s="5" t="str">
        <f>IFERROR(__xludf.DUMMYFUNCTION("GOOGLETRANSLATE(D:D,""auto"",""en"")"),"Wuhan is expected to add cleared")</f>
        <v>Wuhan is expected to add cleared</v>
      </c>
      <c r="D3279" s="4" t="s">
        <v>4826</v>
      </c>
      <c r="E3279" s="4">
        <v>0.0</v>
      </c>
      <c r="F3279" s="4">
        <v>28.0</v>
      </c>
      <c r="G3279" s="4" t="s">
        <v>4827</v>
      </c>
    </row>
    <row r="3280">
      <c r="A3280" s="1">
        <v>3278.0</v>
      </c>
      <c r="B3280" s="4" t="s">
        <v>4860</v>
      </c>
      <c r="C3280" s="5" t="str">
        <f>IFERROR(__xludf.DUMMYFUNCTION("GOOGLETRANSLATE(D:D,""auto"",""en"")"),"Mansion was traced to settle prototype")</f>
        <v>Mansion was traced to settle prototype</v>
      </c>
      <c r="D3280" s="4" t="s">
        <v>4899</v>
      </c>
      <c r="E3280" s="4">
        <v>0.0</v>
      </c>
      <c r="F3280" s="4">
        <v>29.0</v>
      </c>
      <c r="G3280" s="4" t="s">
        <v>4900</v>
      </c>
    </row>
    <row r="3281">
      <c r="A3281" s="1">
        <v>3279.0</v>
      </c>
      <c r="B3281" s="4" t="s">
        <v>4860</v>
      </c>
      <c r="C3281" s="5" t="str">
        <f>IFERROR(__xludf.DUMMYFUNCTION("GOOGLETRANSLATE(D:D,""auto"",""en"")"),"Jun Ji-hyun promoted to president Mrs.")</f>
        <v>Jun Ji-hyun promoted to president Mrs.</v>
      </c>
      <c r="D3281" s="4" t="s">
        <v>4901</v>
      </c>
      <c r="E3281" s="4">
        <v>0.0</v>
      </c>
      <c r="F3281" s="4">
        <v>30.0</v>
      </c>
      <c r="G3281" s="4" t="s">
        <v>4902</v>
      </c>
    </row>
    <row r="3282">
      <c r="A3282" s="1">
        <v>3280.0</v>
      </c>
      <c r="B3282" s="4" t="s">
        <v>4860</v>
      </c>
      <c r="C3282" s="5" t="str">
        <f>IFERROR(__xludf.DUMMYFUNCTION("GOOGLETRANSLATE(D:D,""auto"",""en"")"),"Property response to residents report")</f>
        <v>Property response to residents report</v>
      </c>
      <c r="D3282" s="4" t="s">
        <v>4903</v>
      </c>
      <c r="E3282" s="4">
        <v>0.0</v>
      </c>
      <c r="F3282" s="4">
        <v>31.0</v>
      </c>
      <c r="G3282" s="4" t="s">
        <v>4904</v>
      </c>
    </row>
    <row r="3283">
      <c r="A3283" s="1">
        <v>3281.0</v>
      </c>
      <c r="B3283" s="4" t="s">
        <v>4860</v>
      </c>
      <c r="C3283" s="5" t="str">
        <f>IFERROR(__xludf.DUMMYFUNCTION("GOOGLETRANSLATE(D:D,""auto"",""en"")"),"Turkey to the United States for arms")</f>
        <v>Turkey to the United States for arms</v>
      </c>
      <c r="D3283" s="4" t="s">
        <v>4905</v>
      </c>
      <c r="E3283" s="4">
        <v>0.0</v>
      </c>
      <c r="F3283" s="4">
        <v>32.0</v>
      </c>
      <c r="G3283" s="4" t="s">
        <v>4906</v>
      </c>
    </row>
    <row r="3284">
      <c r="A3284" s="1">
        <v>3282.0</v>
      </c>
      <c r="B3284" s="4" t="s">
        <v>4860</v>
      </c>
      <c r="C3284" s="5" t="str">
        <f>IFERROR(__xludf.DUMMYFUNCTION("GOOGLETRANSLATE(D:D,""auto"",""en"")"),"Hubei network drama can watch for free")</f>
        <v>Hubei network drama can watch for free</v>
      </c>
      <c r="D3284" s="4" t="s">
        <v>4856</v>
      </c>
      <c r="E3284" s="4">
        <v>0.0</v>
      </c>
      <c r="F3284" s="4">
        <v>33.0</v>
      </c>
      <c r="G3284" s="4" t="s">
        <v>4857</v>
      </c>
    </row>
    <row r="3285">
      <c r="A3285" s="1">
        <v>3283.0</v>
      </c>
      <c r="B3285" s="4" t="s">
        <v>4860</v>
      </c>
      <c r="C3285" s="5" t="str">
        <f>IFERROR(__xludf.DUMMYFUNCTION("GOOGLETRANSLATE(D:D,""auto"",""en"")"),"16 new cases of imported cases")</f>
        <v>16 new cases of imported cases</v>
      </c>
      <c r="D3285" s="4" t="s">
        <v>4907</v>
      </c>
      <c r="E3285" s="4">
        <v>0.0</v>
      </c>
      <c r="F3285" s="4">
        <v>34.0</v>
      </c>
      <c r="G3285" s="4" t="s">
        <v>4908</v>
      </c>
    </row>
    <row r="3286">
      <c r="A3286" s="1">
        <v>3284.0</v>
      </c>
      <c r="B3286" s="4" t="s">
        <v>4860</v>
      </c>
      <c r="C3286" s="5" t="str">
        <f>IFERROR(__xludf.DUMMYFUNCTION("GOOGLETRANSLATE(D:D,""auto"",""en"")"),"26 new cases of the provinces 0")</f>
        <v>26 new cases of the provinces 0</v>
      </c>
      <c r="D3286" s="4" t="s">
        <v>4909</v>
      </c>
      <c r="E3286" s="4">
        <v>0.0</v>
      </c>
      <c r="F3286" s="4">
        <v>35.0</v>
      </c>
      <c r="G3286" s="4" t="s">
        <v>4910</v>
      </c>
    </row>
    <row r="3287">
      <c r="A3287" s="1">
        <v>3285.0</v>
      </c>
      <c r="B3287" s="4" t="s">
        <v>4860</v>
      </c>
      <c r="C3287" s="5" t="str">
        <f>IFERROR(__xludf.DUMMYFUNCTION("GOOGLETRANSLATE(D:D,""auto"",""en"")"),"New cases of the highest single-day Italy")</f>
        <v>New cases of the highest single-day Italy</v>
      </c>
      <c r="D3287" s="4" t="s">
        <v>4911</v>
      </c>
      <c r="E3287" s="4">
        <v>0.0</v>
      </c>
      <c r="F3287" s="4">
        <v>36.0</v>
      </c>
      <c r="G3287" s="4" t="s">
        <v>4912</v>
      </c>
    </row>
    <row r="3288">
      <c r="A3288" s="1">
        <v>3286.0</v>
      </c>
      <c r="B3288" s="4" t="s">
        <v>4860</v>
      </c>
      <c r="C3288" s="5" t="str">
        <f>IFERROR(__xludf.DUMMYFUNCTION("GOOGLETRANSLATE(D:D,""auto"",""en"")"),"Sun Yang delete evidence of drying out")</f>
        <v>Sun Yang delete evidence of drying out</v>
      </c>
      <c r="D3288" s="4" t="s">
        <v>4816</v>
      </c>
      <c r="E3288" s="4">
        <v>0.0</v>
      </c>
      <c r="F3288" s="4">
        <v>37.0</v>
      </c>
      <c r="G3288" s="4" t="s">
        <v>4817</v>
      </c>
    </row>
    <row r="3289">
      <c r="A3289" s="1">
        <v>3287.0</v>
      </c>
      <c r="B3289" s="4" t="s">
        <v>4860</v>
      </c>
      <c r="C3289" s="5" t="str">
        <f>IFERROR(__xludf.DUMMYFUNCTION("GOOGLETRANSLATE(D:D,""auto"",""en"")"),"Fan Bingbing finger-hop dance")</f>
        <v>Fan Bingbing finger-hop dance</v>
      </c>
      <c r="D3289" s="4" t="s">
        <v>4913</v>
      </c>
      <c r="E3289" s="4">
        <v>0.0</v>
      </c>
      <c r="F3289" s="4">
        <v>38.0</v>
      </c>
      <c r="G3289" s="4" t="s">
        <v>4914</v>
      </c>
    </row>
    <row r="3290">
      <c r="A3290" s="1">
        <v>3288.0</v>
      </c>
      <c r="B3290" s="4" t="s">
        <v>4860</v>
      </c>
      <c r="C3290" s="5" t="str">
        <f>IFERROR(__xludf.DUMMYFUNCTION("GOOGLETRANSLATE(D:D,""auto"",""en"")"),"United States 80 nurses isolation")</f>
        <v>United States 80 nurses isolation</v>
      </c>
      <c r="D3290" s="4" t="s">
        <v>4915</v>
      </c>
      <c r="E3290" s="4">
        <v>0.0</v>
      </c>
      <c r="F3290" s="4">
        <v>39.0</v>
      </c>
      <c r="G3290" s="4" t="s">
        <v>4916</v>
      </c>
    </row>
    <row r="3291">
      <c r="A3291" s="1">
        <v>3289.0</v>
      </c>
      <c r="B3291" s="4" t="s">
        <v>4860</v>
      </c>
      <c r="C3291" s="5" t="str">
        <f>IFERROR(__xludf.DUMMYFUNCTION("GOOGLETRANSLATE(D:D,""auto"",""en"")"),"16-year-old Lai Yin Wu Zunlin photo")</f>
        <v>16-year-old Lai Yin Wu Zunlin photo</v>
      </c>
      <c r="D3291" s="4" t="s">
        <v>4917</v>
      </c>
      <c r="E3291" s="4">
        <v>0.0</v>
      </c>
      <c r="F3291" s="4">
        <v>40.0</v>
      </c>
      <c r="G3291" s="4" t="s">
        <v>4918</v>
      </c>
    </row>
    <row r="3292">
      <c r="A3292" s="1">
        <v>3290.0</v>
      </c>
      <c r="B3292" s="4" t="s">
        <v>4860</v>
      </c>
      <c r="C3292" s="5" t="str">
        <f>IFERROR(__xludf.DUMMYFUNCTION("GOOGLETRANSLATE(D:D,""auto"",""en"")"),"Dubai Princess with her daughter flee")</f>
        <v>Dubai Princess with her daughter flee</v>
      </c>
      <c r="D3292" s="4" t="s">
        <v>4919</v>
      </c>
      <c r="E3292" s="4">
        <v>0.0</v>
      </c>
      <c r="F3292" s="4">
        <v>41.0</v>
      </c>
      <c r="G3292" s="4" t="s">
        <v>4920</v>
      </c>
    </row>
    <row r="3293">
      <c r="A3293" s="1">
        <v>3291.0</v>
      </c>
      <c r="B3293" s="4" t="s">
        <v>4860</v>
      </c>
      <c r="C3293" s="5" t="str">
        <f>IFERROR(__xludf.DUMMYFUNCTION("GOOGLETRANSLATE(D:D,""auto"",""en"")"),"Gechuang report to the Steering Group")</f>
        <v>Gechuang report to the Steering Group</v>
      </c>
      <c r="D3293" s="4" t="s">
        <v>4921</v>
      </c>
      <c r="E3293" s="4">
        <v>0.0</v>
      </c>
      <c r="F3293" s="4">
        <v>42.0</v>
      </c>
      <c r="G3293" s="4" t="s">
        <v>4922</v>
      </c>
    </row>
    <row r="3294">
      <c r="A3294" s="1">
        <v>3292.0</v>
      </c>
      <c r="B3294" s="4" t="s">
        <v>4860</v>
      </c>
      <c r="C3294" s="5" t="str">
        <f>IFERROR(__xludf.DUMMYFUNCTION("GOOGLETRANSLATE(D:D,""auto"",""en"")"),"The new crown inactivated virus morphology")</f>
        <v>The new crown inactivated virus morphology</v>
      </c>
      <c r="D3294" s="4" t="s">
        <v>4923</v>
      </c>
      <c r="E3294" s="4">
        <v>0.0</v>
      </c>
      <c r="F3294" s="4">
        <v>43.0</v>
      </c>
      <c r="G3294" s="4" t="s">
        <v>4924</v>
      </c>
    </row>
    <row r="3295">
      <c r="A3295" s="1">
        <v>3293.0</v>
      </c>
      <c r="B3295" s="4" t="s">
        <v>4860</v>
      </c>
      <c r="C3295" s="5" t="str">
        <f>IFERROR(__xludf.DUMMYFUNCTION("GOOGLETRANSLATE(D:D,""auto"",""en"")"),"World collective pay cut exposure room")</f>
        <v>World collective pay cut exposure room</v>
      </c>
      <c r="D3295" s="4" t="s">
        <v>4925</v>
      </c>
      <c r="E3295" s="4">
        <v>0.0</v>
      </c>
      <c r="F3295" s="4">
        <v>44.0</v>
      </c>
      <c r="G3295" s="4" t="s">
        <v>4926</v>
      </c>
    </row>
    <row r="3296">
      <c r="A3296" s="1">
        <v>3294.0</v>
      </c>
      <c r="B3296" s="4" t="s">
        <v>4860</v>
      </c>
      <c r="C3296" s="5" t="str">
        <f>IFERROR(__xludf.DUMMYFUNCTION("GOOGLETRANSLATE(D:D,""auto"",""en"")"),"United States to stop publishing the number of confirmed")</f>
        <v>United States to stop publishing the number of confirmed</v>
      </c>
      <c r="D3296" s="4" t="s">
        <v>4792</v>
      </c>
      <c r="E3296" s="4">
        <v>0.0</v>
      </c>
      <c r="F3296" s="4">
        <v>45.0</v>
      </c>
      <c r="G3296" s="4" t="s">
        <v>4793</v>
      </c>
    </row>
    <row r="3297">
      <c r="A3297" s="1">
        <v>3295.0</v>
      </c>
      <c r="B3297" s="4" t="s">
        <v>4860</v>
      </c>
      <c r="C3297" s="5" t="str">
        <f>IFERROR(__xludf.DUMMYFUNCTION("GOOGLETRANSLATE(D:D,""auto"",""en"")"),"Big S Wang Fei apologize for")</f>
        <v>Big S Wang Fei apologize for</v>
      </c>
      <c r="D3297" s="4" t="s">
        <v>4927</v>
      </c>
      <c r="E3297" s="4">
        <v>0.0</v>
      </c>
      <c r="F3297" s="4">
        <v>46.0</v>
      </c>
      <c r="G3297" s="4" t="s">
        <v>4928</v>
      </c>
    </row>
    <row r="3298">
      <c r="A3298" s="1">
        <v>3296.0</v>
      </c>
      <c r="B3298" s="4" t="s">
        <v>4860</v>
      </c>
      <c r="C3298" s="5" t="str">
        <f>IFERROR(__xludf.DUMMYFUNCTION("GOOGLETRANSLATE(D:D,""auto"",""en"")"),"ZHANG Wen-hong to talk about the virus disappears")</f>
        <v>ZHANG Wen-hong to talk about the virus disappears</v>
      </c>
      <c r="D3298" s="4" t="s">
        <v>4929</v>
      </c>
      <c r="E3298" s="4">
        <v>0.0</v>
      </c>
      <c r="F3298" s="4">
        <v>47.0</v>
      </c>
      <c r="G3298" s="4" t="s">
        <v>4930</v>
      </c>
    </row>
    <row r="3299">
      <c r="A3299" s="1">
        <v>3297.0</v>
      </c>
      <c r="B3299" s="4" t="s">
        <v>4860</v>
      </c>
      <c r="C3299" s="5" t="str">
        <f>IFERROR(__xludf.DUMMYFUNCTION("GOOGLETRANSLATE(D:D,""auto"",""en"")"),"Fabricated information is free round-trip")</f>
        <v>Fabricated information is free round-trip</v>
      </c>
      <c r="D3299" s="4" t="s">
        <v>4931</v>
      </c>
      <c r="E3299" s="4">
        <v>0.0</v>
      </c>
      <c r="F3299" s="4">
        <v>48.0</v>
      </c>
      <c r="G3299" s="4" t="s">
        <v>4932</v>
      </c>
    </row>
    <row r="3300">
      <c r="A3300" s="1">
        <v>3298.0</v>
      </c>
      <c r="B3300" s="4" t="s">
        <v>4860</v>
      </c>
      <c r="C3300" s="5" t="str">
        <f>IFERROR(__xludf.DUMMYFUNCTION("GOOGLETRANSLATE(D:D,""auto"",""en"")"),"Li Wenliang advanced individual posthumously")</f>
        <v>Li Wenliang advanced individual posthumously</v>
      </c>
      <c r="D3300" s="4" t="s">
        <v>4810</v>
      </c>
      <c r="E3300" s="4">
        <v>0.0</v>
      </c>
      <c r="F3300" s="4">
        <v>49.0</v>
      </c>
      <c r="G3300" s="4" t="s">
        <v>4811</v>
      </c>
    </row>
    <row r="3301">
      <c r="A3301" s="1">
        <v>3299.0</v>
      </c>
      <c r="B3301" s="4" t="s">
        <v>4860</v>
      </c>
      <c r="C3301" s="5" t="str">
        <f>IFERROR(__xludf.DUMMYFUNCTION("GOOGLETRANSLATE(D:D,""auto"",""en"")"),"Tibet cut emergency response")</f>
        <v>Tibet cut emergency response</v>
      </c>
      <c r="D3301" s="4" t="s">
        <v>4933</v>
      </c>
      <c r="E3301" s="4">
        <v>0.0</v>
      </c>
      <c r="F3301" s="4">
        <v>50.0</v>
      </c>
      <c r="G3301" s="4" t="s">
        <v>4934</v>
      </c>
    </row>
    <row r="3302">
      <c r="A3302" s="1">
        <v>3300.0</v>
      </c>
      <c r="B3302" s="4" t="s">
        <v>4935</v>
      </c>
      <c r="C3302" s="5" t="str">
        <f>IFERROR(__xludf.DUMMYFUNCTION("GOOGLETRANSLATE(D:D,""auto"",""en"")"),"Lawyer Joke made a statement")</f>
        <v>Lawyer Joke made a statement</v>
      </c>
      <c r="D3302" s="4" t="s">
        <v>4887</v>
      </c>
      <c r="E3302" s="4">
        <v>0.0</v>
      </c>
      <c r="F3302" s="4">
        <v>1.0</v>
      </c>
      <c r="G3302" s="4" t="s">
        <v>4888</v>
      </c>
    </row>
    <row r="3303">
      <c r="A3303" s="1">
        <v>3301.0</v>
      </c>
      <c r="B3303" s="4" t="s">
        <v>4935</v>
      </c>
      <c r="C3303" s="5" t="str">
        <f>IFERROR(__xludf.DUMMYFUNCTION("GOOGLETRANSLATE(D:D,""auto"",""en"")"),"Xi'an full divorce reservation")</f>
        <v>Xi'an full divorce reservation</v>
      </c>
      <c r="D3303" s="4" t="s">
        <v>4897</v>
      </c>
      <c r="E3303" s="4">
        <v>0.0</v>
      </c>
      <c r="F3303" s="4">
        <v>2.0</v>
      </c>
      <c r="G3303" s="4" t="s">
        <v>4898</v>
      </c>
    </row>
    <row r="3304">
      <c r="A3304" s="1">
        <v>3302.0</v>
      </c>
      <c r="B3304" s="4" t="s">
        <v>4935</v>
      </c>
      <c r="C3304" s="5" t="str">
        <f>IFERROR(__xludf.DUMMYFUNCTION("GOOGLETRANSLATE(D:D,""auto"",""en"")"),"A large number of white-lipped deer coming out of snow-capped mountains")</f>
        <v>A large number of white-lipped deer coming out of snow-capped mountains</v>
      </c>
      <c r="D3304" s="4" t="s">
        <v>4895</v>
      </c>
      <c r="E3304" s="4">
        <v>0.0</v>
      </c>
      <c r="F3304" s="4">
        <v>3.0</v>
      </c>
      <c r="G3304" s="4" t="s">
        <v>4896</v>
      </c>
    </row>
    <row r="3305">
      <c r="A3305" s="1">
        <v>3303.0</v>
      </c>
      <c r="B3305" s="4" t="s">
        <v>4935</v>
      </c>
      <c r="C3305" s="5" t="str">
        <f>IFERROR(__xludf.DUMMYFUNCTION("GOOGLETRANSLATE(D:D,""auto"",""en"")"),"Ma raised masks to Iran")</f>
        <v>Ma raised masks to Iran</v>
      </c>
      <c r="D3305" s="4" t="s">
        <v>4893</v>
      </c>
      <c r="E3305" s="4">
        <v>0.0</v>
      </c>
      <c r="F3305" s="4">
        <v>4.0</v>
      </c>
      <c r="G3305" s="4" t="s">
        <v>4894</v>
      </c>
    </row>
    <row r="3306">
      <c r="A3306" s="1">
        <v>3304.0</v>
      </c>
      <c r="B3306" s="4" t="s">
        <v>4935</v>
      </c>
      <c r="C3306" s="5" t="str">
        <f>IFERROR(__xludf.DUMMYFUNCTION("GOOGLETRANSLATE(D:D,""auto"",""en"")"),"Property response to residents report")</f>
        <v>Property response to residents report</v>
      </c>
      <c r="D3306" s="4" t="s">
        <v>4903</v>
      </c>
      <c r="E3306" s="4">
        <v>0.0</v>
      </c>
      <c r="F3306" s="4">
        <v>5.0</v>
      </c>
      <c r="G3306" s="4" t="s">
        <v>4904</v>
      </c>
    </row>
    <row r="3307">
      <c r="A3307" s="1">
        <v>3305.0</v>
      </c>
      <c r="B3307" s="4" t="s">
        <v>4935</v>
      </c>
      <c r="C3307" s="5" t="str">
        <f>IFERROR(__xludf.DUMMYFUNCTION("GOOGLETRANSLATE(D:D,""auto"",""en"")"),"Putin to meet late to apologize")</f>
        <v>Putin to meet late to apologize</v>
      </c>
      <c r="D3307" s="4" t="s">
        <v>4936</v>
      </c>
      <c r="E3307" s="4">
        <v>0.0</v>
      </c>
      <c r="F3307" s="4">
        <v>6.0</v>
      </c>
      <c r="G3307" s="4" t="s">
        <v>4937</v>
      </c>
    </row>
    <row r="3308">
      <c r="A3308" s="1">
        <v>3306.0</v>
      </c>
      <c r="B3308" s="4" t="s">
        <v>4935</v>
      </c>
      <c r="C3308" s="5" t="str">
        <f>IFERROR(__xludf.DUMMYFUNCTION("GOOGLETRANSLATE(D:D,""auto"",""en"")"),"Aunt May Shen Cong case found")</f>
        <v>Aunt May Shen Cong case found</v>
      </c>
      <c r="D3308" s="4" t="s">
        <v>4938</v>
      </c>
      <c r="E3308" s="4">
        <v>0.0</v>
      </c>
      <c r="F3308" s="4">
        <v>7.0</v>
      </c>
      <c r="G3308" s="4" t="s">
        <v>4939</v>
      </c>
    </row>
    <row r="3309">
      <c r="A3309" s="1">
        <v>3307.0</v>
      </c>
      <c r="B3309" s="4" t="s">
        <v>4935</v>
      </c>
      <c r="C3309" s="5" t="str">
        <f>IFERROR(__xludf.DUMMYFUNCTION("GOOGLETRANSLATE(D:D,""auto"",""en"")"),"Korean collective infections")</f>
        <v>Korean collective infections</v>
      </c>
      <c r="D3309" s="4" t="s">
        <v>4940</v>
      </c>
      <c r="E3309" s="4">
        <v>0.0</v>
      </c>
      <c r="F3309" s="4">
        <v>8.0</v>
      </c>
      <c r="G3309" s="4" t="s">
        <v>4941</v>
      </c>
    </row>
    <row r="3310">
      <c r="A3310" s="1">
        <v>3308.0</v>
      </c>
      <c r="B3310" s="4" t="s">
        <v>4935</v>
      </c>
      <c r="C3310" s="5" t="str">
        <f>IFERROR(__xludf.DUMMYFUNCTION("GOOGLETRANSLATE(D:D,""auto"",""en"")"),"Hubei outside the new cases 25 cases")</f>
        <v>Hubei outside the new cases 25 cases</v>
      </c>
      <c r="D3310" s="4" t="s">
        <v>4942</v>
      </c>
      <c r="E3310" s="4">
        <v>0.0</v>
      </c>
      <c r="F3310" s="4">
        <v>9.0</v>
      </c>
      <c r="G3310" s="4" t="s">
        <v>4943</v>
      </c>
    </row>
    <row r="3311">
      <c r="A3311" s="1">
        <v>3309.0</v>
      </c>
      <c r="B3311" s="4" t="s">
        <v>4935</v>
      </c>
      <c r="C3311" s="5" t="str">
        <f>IFERROR(__xludf.DUMMYFUNCTION("GOOGLETRANSLATE(D:D,""auto"",""en"")"),"New bat coronavirus")</f>
        <v>New bat coronavirus</v>
      </c>
      <c r="D3311" s="4" t="s">
        <v>4944</v>
      </c>
      <c r="E3311" s="4">
        <v>0.0</v>
      </c>
      <c r="F3311" s="4">
        <v>10.0</v>
      </c>
      <c r="G3311" s="4" t="s">
        <v>4945</v>
      </c>
    </row>
    <row r="3312">
      <c r="A3312" s="1">
        <v>3310.0</v>
      </c>
      <c r="B3312" s="4" t="s">
        <v>4935</v>
      </c>
      <c r="C3312" s="5" t="str">
        <f>IFERROR(__xludf.DUMMYFUNCTION("GOOGLETRANSLATE(D:D,""auto"",""en"")"),"It did not open filters clean selfie")</f>
        <v>It did not open filters clean selfie</v>
      </c>
      <c r="D3312" s="4" t="s">
        <v>4946</v>
      </c>
      <c r="E3312" s="4">
        <v>0.0</v>
      </c>
      <c r="F3312" s="4">
        <v>11.0</v>
      </c>
      <c r="G3312" s="4" t="s">
        <v>4947</v>
      </c>
    </row>
    <row r="3313">
      <c r="A3313" s="1">
        <v>3311.0</v>
      </c>
      <c r="B3313" s="4" t="s">
        <v>4935</v>
      </c>
      <c r="C3313" s="5" t="str">
        <f>IFERROR(__xludf.DUMMYFUNCTION("GOOGLETRANSLATE(D:D,""auto"",""en"")"),"Procuratorial Daily Sun Yang Case Review")</f>
        <v>Procuratorial Daily Sun Yang Case Review</v>
      </c>
      <c r="D3313" s="4" t="s">
        <v>4948</v>
      </c>
      <c r="E3313" s="4">
        <v>0.0</v>
      </c>
      <c r="F3313" s="4">
        <v>12.0</v>
      </c>
      <c r="G3313" s="4" t="s">
        <v>4949</v>
      </c>
    </row>
    <row r="3314">
      <c r="A3314" s="1">
        <v>3312.0</v>
      </c>
      <c r="B3314" s="4" t="s">
        <v>4935</v>
      </c>
      <c r="C3314" s="5" t="str">
        <f>IFERROR(__xludf.DUMMYFUNCTION("GOOGLETRANSLATE(D:D,""auto"",""en"")"),"Zhong Nanshan reply to the children")</f>
        <v>Zhong Nanshan reply to the children</v>
      </c>
      <c r="D3314" s="4" t="s">
        <v>4950</v>
      </c>
      <c r="E3314" s="4">
        <v>0.0</v>
      </c>
      <c r="F3314" s="4">
        <v>13.0</v>
      </c>
      <c r="G3314" s="4" t="s">
        <v>4951</v>
      </c>
    </row>
    <row r="3315">
      <c r="A3315" s="1">
        <v>3313.0</v>
      </c>
      <c r="B3315" s="4" t="s">
        <v>4935</v>
      </c>
      <c r="C3315" s="5" t="str">
        <f>IFERROR(__xludf.DUMMYFUNCTION("GOOGLETRANSLATE(D:D,""auto"",""en"")"),"66 people were checked and gambling")</f>
        <v>66 people were checked and gambling</v>
      </c>
      <c r="D3315" s="4" t="s">
        <v>4952</v>
      </c>
      <c r="E3315" s="4">
        <v>0.0</v>
      </c>
      <c r="F3315" s="4">
        <v>14.0</v>
      </c>
      <c r="G3315" s="4" t="s">
        <v>4953</v>
      </c>
    </row>
    <row r="3316">
      <c r="A3316" s="1">
        <v>3314.0</v>
      </c>
      <c r="B3316" s="4" t="s">
        <v>4935</v>
      </c>
      <c r="C3316" s="5" t="str">
        <f>IFERROR(__xludf.DUMMYFUNCTION("GOOGLETRANSLATE(D:D,""auto"",""en"")"),"Hu Hongmei copying process results")</f>
        <v>Hu Hongmei copying process results</v>
      </c>
      <c r="D3316" s="4" t="s">
        <v>4954</v>
      </c>
      <c r="E3316" s="4">
        <v>0.0</v>
      </c>
      <c r="F3316" s="4">
        <v>15.0</v>
      </c>
      <c r="G3316" s="4" t="s">
        <v>4955</v>
      </c>
    </row>
    <row r="3317">
      <c r="A3317" s="1">
        <v>3315.0</v>
      </c>
      <c r="B3317" s="4" t="s">
        <v>4935</v>
      </c>
      <c r="C3317" s="5" t="str">
        <f>IFERROR(__xludf.DUMMYFUNCTION("GOOGLETRANSLATE(D:D,""auto"",""en"")"),"US 25 states now confirmed cases")</f>
        <v>US 25 states now confirmed cases</v>
      </c>
      <c r="D3317" s="4" t="s">
        <v>4956</v>
      </c>
      <c r="E3317" s="4">
        <v>0.0</v>
      </c>
      <c r="F3317" s="4">
        <v>16.0</v>
      </c>
      <c r="G3317" s="4" t="s">
        <v>4957</v>
      </c>
    </row>
    <row r="3318">
      <c r="A3318" s="1">
        <v>3316.0</v>
      </c>
      <c r="B3318" s="4" t="s">
        <v>4935</v>
      </c>
      <c r="C3318" s="5" t="str">
        <f>IFERROR(__xludf.DUMMYFUNCTION("GOOGLETRANSLATE(D:D,""auto"",""en"")"),"9 Province 14 days without new cases")</f>
        <v>9 Province 14 days without new cases</v>
      </c>
      <c r="D3318" s="4" t="s">
        <v>4958</v>
      </c>
      <c r="E3318" s="4">
        <v>0.0</v>
      </c>
      <c r="F3318" s="4">
        <v>17.0</v>
      </c>
      <c r="G3318" s="4" t="s">
        <v>4959</v>
      </c>
    </row>
    <row r="3319">
      <c r="A3319" s="1">
        <v>3317.0</v>
      </c>
      <c r="B3319" s="4" t="s">
        <v>4935</v>
      </c>
      <c r="C3319" s="5" t="str">
        <f>IFERROR(__xludf.DUMMYFUNCTION("GOOGLETRANSLATE(D:D,""auto"",""en"")"),"WHO contagious talk about the new crown")</f>
        <v>WHO contagious talk about the new crown</v>
      </c>
      <c r="D3319" s="4" t="s">
        <v>4960</v>
      </c>
      <c r="E3319" s="4">
        <v>0.0</v>
      </c>
      <c r="F3319" s="4">
        <v>18.0</v>
      </c>
      <c r="G3319" s="4" t="s">
        <v>4961</v>
      </c>
    </row>
    <row r="3320">
      <c r="A3320" s="1">
        <v>3318.0</v>
      </c>
      <c r="B3320" s="4" t="s">
        <v>4935</v>
      </c>
      <c r="C3320" s="5" t="str">
        <f>IFERROR(__xludf.DUMMYFUNCTION("GOOGLETRANSLATE(D:D,""auto"",""en"")"),"KMT Chairman Jiang Qichen")</f>
        <v>KMT Chairman Jiang Qichen</v>
      </c>
      <c r="D3320" s="4" t="s">
        <v>4962</v>
      </c>
      <c r="E3320" s="4">
        <v>0.0</v>
      </c>
      <c r="F3320" s="4">
        <v>19.0</v>
      </c>
      <c r="G3320" s="4" t="s">
        <v>4963</v>
      </c>
    </row>
    <row r="3321">
      <c r="A3321" s="1">
        <v>3319.0</v>
      </c>
      <c r="B3321" s="4" t="s">
        <v>4935</v>
      </c>
      <c r="C3321" s="5" t="str">
        <f>IFERROR(__xludf.DUMMYFUNCTION("GOOGLETRANSLATE(D:D,""auto"",""en"")"),"US tariff exemption China masks")</f>
        <v>US tariff exemption China masks</v>
      </c>
      <c r="D3321" s="4" t="s">
        <v>4964</v>
      </c>
      <c r="E3321" s="4">
        <v>0.0</v>
      </c>
      <c r="F3321" s="4">
        <v>20.0</v>
      </c>
      <c r="G3321" s="4" t="s">
        <v>4965</v>
      </c>
    </row>
    <row r="3322">
      <c r="A3322" s="1">
        <v>3320.0</v>
      </c>
      <c r="B3322" s="4" t="s">
        <v>4935</v>
      </c>
      <c r="C3322" s="5" t="str">
        <f>IFERROR(__xludf.DUMMYFUNCTION("GOOGLETRANSLATE(D:D,""auto"",""en"")"),"National new cases of 99 cases")</f>
        <v>National new cases of 99 cases</v>
      </c>
      <c r="D3322" s="4" t="s">
        <v>4966</v>
      </c>
      <c r="E3322" s="4">
        <v>0.0</v>
      </c>
      <c r="F3322" s="4">
        <v>21.0</v>
      </c>
      <c r="G3322" s="4" t="s">
        <v>4967</v>
      </c>
    </row>
    <row r="3323">
      <c r="A3323" s="1">
        <v>3321.0</v>
      </c>
      <c r="B3323" s="4" t="s">
        <v>4935</v>
      </c>
      <c r="C3323" s="5" t="str">
        <f>IFERROR(__xludf.DUMMYFUNCTION("GOOGLETRANSLATE(D:D,""auto"",""en"")"),"Quanzhou, a hotel collapsed")</f>
        <v>Quanzhou, a hotel collapsed</v>
      </c>
      <c r="D3323" s="4" t="s">
        <v>4968</v>
      </c>
      <c r="E3323" s="4">
        <v>0.0</v>
      </c>
      <c r="F3323" s="4">
        <v>22.0</v>
      </c>
      <c r="G3323" s="4" t="s">
        <v>4969</v>
      </c>
    </row>
    <row r="3324">
      <c r="A3324" s="1">
        <v>3322.0</v>
      </c>
      <c r="B3324" s="4" t="s">
        <v>4935</v>
      </c>
      <c r="C3324" s="5" t="str">
        <f>IFERROR(__xludf.DUMMYFUNCTION("GOOGLETRANSLATE(D:D,""auto"",""en"")"),"World collective pay cut exposure room")</f>
        <v>World collective pay cut exposure room</v>
      </c>
      <c r="D3324" s="4" t="s">
        <v>4925</v>
      </c>
      <c r="E3324" s="4">
        <v>0.0</v>
      </c>
      <c r="F3324" s="4">
        <v>23.0</v>
      </c>
      <c r="G3324" s="4" t="s">
        <v>4926</v>
      </c>
    </row>
    <row r="3325">
      <c r="A3325" s="1">
        <v>3323.0</v>
      </c>
      <c r="B3325" s="4" t="s">
        <v>4935</v>
      </c>
      <c r="C3325" s="5" t="str">
        <f>IFERROR(__xludf.DUMMYFUNCTION("GOOGLETRANSLATE(D:D,""auto"",""en"")"),"Liu Zhen died in hospital rumor")</f>
        <v>Liu Zhen died in hospital rumor</v>
      </c>
      <c r="D3325" s="4" t="s">
        <v>4889</v>
      </c>
      <c r="E3325" s="4">
        <v>0.0</v>
      </c>
      <c r="F3325" s="4">
        <v>24.0</v>
      </c>
      <c r="G3325" s="4" t="s">
        <v>4890</v>
      </c>
    </row>
    <row r="3326">
      <c r="A3326" s="1">
        <v>3324.0</v>
      </c>
      <c r="B3326" s="4" t="s">
        <v>4935</v>
      </c>
      <c r="C3326" s="5" t="str">
        <f>IFERROR(__xludf.DUMMYFUNCTION("GOOGLETRANSLATE(D:D,""auto"",""en"")"),"Wuhan 4:00 of")</f>
        <v>Wuhan 4:00 of</v>
      </c>
      <c r="D3326" s="4" t="s">
        <v>4970</v>
      </c>
      <c r="E3326" s="4">
        <v>0.0</v>
      </c>
      <c r="F3326" s="4">
        <v>25.0</v>
      </c>
      <c r="G3326" s="4" t="s">
        <v>4971</v>
      </c>
    </row>
    <row r="3327">
      <c r="A3327" s="1">
        <v>3325.0</v>
      </c>
      <c r="B3327" s="4" t="s">
        <v>4935</v>
      </c>
      <c r="C3327" s="5" t="str">
        <f>IFERROR(__xludf.DUMMYFUNCTION("GOOGLETRANSLATE(D:D,""auto"",""en"")"),"Bell starred in Thor villain 4")</f>
        <v>Bell starred in Thor villain 4</v>
      </c>
      <c r="D3327" s="4" t="s">
        <v>4972</v>
      </c>
      <c r="E3327" s="4">
        <v>0.0</v>
      </c>
      <c r="F3327" s="4">
        <v>26.0</v>
      </c>
      <c r="G3327" s="4" t="s">
        <v>4973</v>
      </c>
    </row>
    <row r="3328">
      <c r="A3328" s="1">
        <v>3326.0</v>
      </c>
      <c r="B3328" s="4" t="s">
        <v>4935</v>
      </c>
      <c r="C3328" s="5" t="str">
        <f>IFERROR(__xludf.DUMMYFUNCTION("GOOGLETRANSLATE(D:D,""auto"",""en"")"),"James reached the 34,000 points")</f>
        <v>James reached the 34,000 points</v>
      </c>
      <c r="D3328" s="4" t="s">
        <v>4974</v>
      </c>
      <c r="E3328" s="4">
        <v>0.0</v>
      </c>
      <c r="F3328" s="4">
        <v>27.0</v>
      </c>
      <c r="G3328" s="4" t="s">
        <v>4975</v>
      </c>
    </row>
    <row r="3329">
      <c r="A3329" s="1">
        <v>3327.0</v>
      </c>
      <c r="B3329" s="4" t="s">
        <v>4935</v>
      </c>
      <c r="C3329" s="5" t="str">
        <f>IFERROR(__xludf.DUMMYFUNCTION("GOOGLETRANSLATE(D:D,""auto"",""en"")"),"Vulcan mountain aided by being charged")</f>
        <v>Vulcan mountain aided by being charged</v>
      </c>
      <c r="D3329" s="4" t="s">
        <v>4976</v>
      </c>
      <c r="E3329" s="4">
        <v>0.0</v>
      </c>
      <c r="F3329" s="4">
        <v>28.0</v>
      </c>
      <c r="G3329" s="4" t="s">
        <v>4977</v>
      </c>
    </row>
    <row r="3330">
      <c r="A3330" s="1">
        <v>3328.0</v>
      </c>
      <c r="B3330" s="4" t="s">
        <v>4935</v>
      </c>
      <c r="C3330" s="5" t="str">
        <f>IFERROR(__xludf.DUMMYFUNCTION("GOOGLETRANSLATE(D:D,""auto"",""en"")"),"Tianyu propan Ao cos")</f>
        <v>Tianyu propan Ao cos</v>
      </c>
      <c r="D3330" s="4" t="s">
        <v>4978</v>
      </c>
      <c r="E3330" s="4">
        <v>0.0</v>
      </c>
      <c r="F3330" s="4">
        <v>29.0</v>
      </c>
      <c r="G3330" s="4" t="s">
        <v>4979</v>
      </c>
    </row>
    <row r="3331">
      <c r="A3331" s="1">
        <v>3329.0</v>
      </c>
      <c r="B3331" s="4" t="s">
        <v>4935</v>
      </c>
      <c r="C3331" s="5" t="str">
        <f>IFERROR(__xludf.DUMMYFUNCTION("GOOGLETRANSLATE(D:D,""auto"",""en"")"),"Qingchuan County in Sichuan earthquake")</f>
        <v>Qingchuan County in Sichuan earthquake</v>
      </c>
      <c r="D3331" s="4" t="s">
        <v>4875</v>
      </c>
      <c r="E3331" s="4">
        <v>0.0</v>
      </c>
      <c r="F3331" s="4">
        <v>30.0</v>
      </c>
      <c r="G3331" s="4" t="s">
        <v>4876</v>
      </c>
    </row>
    <row r="3332">
      <c r="A3332" s="1">
        <v>3330.0</v>
      </c>
      <c r="B3332" s="4" t="s">
        <v>4935</v>
      </c>
      <c r="C3332" s="5" t="str">
        <f>IFERROR(__xludf.DUMMYFUNCTION("GOOGLETRANSLATE(D:D,""auto"",""en"")"),"Tunisia explosion attacks")</f>
        <v>Tunisia explosion attacks</v>
      </c>
      <c r="D3332" s="4" t="s">
        <v>4980</v>
      </c>
      <c r="E3332" s="4">
        <v>0.0</v>
      </c>
      <c r="F3332" s="4">
        <v>31.0</v>
      </c>
      <c r="G3332" s="4" t="s">
        <v>4981</v>
      </c>
    </row>
    <row r="3333">
      <c r="A3333" s="1">
        <v>3331.0</v>
      </c>
      <c r="B3333" s="4" t="s">
        <v>4935</v>
      </c>
      <c r="C3333" s="5" t="str">
        <f>IFERROR(__xludf.DUMMYFUNCTION("GOOGLETRANSLATE(D:D,""auto"",""en"")"),"Wuhan free of the disease into community")</f>
        <v>Wuhan free of the disease into community</v>
      </c>
      <c r="D3333" s="4" t="s">
        <v>4982</v>
      </c>
      <c r="E3333" s="4">
        <v>0.0</v>
      </c>
      <c r="F3333" s="4">
        <v>32.0</v>
      </c>
      <c r="G3333" s="4" t="s">
        <v>4983</v>
      </c>
    </row>
    <row r="3334">
      <c r="A3334" s="1">
        <v>3332.0</v>
      </c>
      <c r="B3334" s="4" t="s">
        <v>4935</v>
      </c>
      <c r="C3334" s="5" t="str">
        <f>IFERROR(__xludf.DUMMYFUNCTION("GOOGLETRANSLATE(D:D,""auto"",""en"")"),"Wuhan new cases 74 cases")</f>
        <v>Wuhan new cases 74 cases</v>
      </c>
      <c r="D3334" s="4" t="s">
        <v>4984</v>
      </c>
      <c r="E3334" s="4">
        <v>0.0</v>
      </c>
      <c r="F3334" s="4">
        <v>33.0</v>
      </c>
      <c r="G3334" s="4" t="s">
        <v>4985</v>
      </c>
    </row>
    <row r="3335">
      <c r="A3335" s="1">
        <v>3333.0</v>
      </c>
      <c r="B3335" s="4" t="s">
        <v>4935</v>
      </c>
      <c r="C3335" s="5" t="str">
        <f>IFERROR(__xludf.DUMMYFUNCTION("GOOGLETRANSLATE(D:D,""auto"",""en"")"),"Jun Ji-hyun promoted to president Mrs.")</f>
        <v>Jun Ji-hyun promoted to president Mrs.</v>
      </c>
      <c r="D3335" s="4" t="s">
        <v>4901</v>
      </c>
      <c r="E3335" s="4">
        <v>0.0</v>
      </c>
      <c r="F3335" s="4">
        <v>34.0</v>
      </c>
      <c r="G3335" s="4" t="s">
        <v>4902</v>
      </c>
    </row>
    <row r="3336">
      <c r="A3336" s="1">
        <v>3334.0</v>
      </c>
      <c r="B3336" s="4" t="s">
        <v>4935</v>
      </c>
      <c r="C3336" s="5" t="str">
        <f>IFERROR(__xludf.DUMMYFUNCTION("GOOGLETRANSLATE(D:D,""auto"",""en"")"),"The new crown prince was ridiculed Britain")</f>
        <v>The new crown prince was ridiculed Britain</v>
      </c>
      <c r="D3336" s="4" t="s">
        <v>4867</v>
      </c>
      <c r="E3336" s="4">
        <v>0.0</v>
      </c>
      <c r="F3336" s="4">
        <v>35.0</v>
      </c>
      <c r="G3336" s="4" t="s">
        <v>4868</v>
      </c>
    </row>
    <row r="3337">
      <c r="A3337" s="1">
        <v>3335.0</v>
      </c>
      <c r="B3337" s="4" t="s">
        <v>4935</v>
      </c>
      <c r="C3337" s="5" t="str">
        <f>IFERROR(__xludf.DUMMYFUNCTION("GOOGLETRANSLATE(D:D,""auto"",""en"")"),"French media spoof apology")</f>
        <v>French media spoof apology</v>
      </c>
      <c r="D3337" s="4" t="s">
        <v>4986</v>
      </c>
      <c r="E3337" s="4">
        <v>0.0</v>
      </c>
      <c r="F3337" s="4">
        <v>36.0</v>
      </c>
      <c r="G3337" s="4" t="s">
        <v>4987</v>
      </c>
    </row>
    <row r="3338">
      <c r="A3338" s="1">
        <v>3336.0</v>
      </c>
      <c r="B3338" s="4" t="s">
        <v>4935</v>
      </c>
      <c r="C3338" s="5" t="str">
        <f>IFERROR(__xludf.DUMMYFUNCTION("GOOGLETRANSLATE(D:D,""auto"",""en"")"),"Beauty and the Beast will take prequel")</f>
        <v>Beauty and the Beast will take prequel</v>
      </c>
      <c r="D3338" s="4" t="s">
        <v>4988</v>
      </c>
      <c r="E3338" s="4">
        <v>0.0</v>
      </c>
      <c r="F3338" s="4">
        <v>37.0</v>
      </c>
      <c r="G3338" s="4" t="s">
        <v>4989</v>
      </c>
    </row>
    <row r="3339">
      <c r="A3339" s="1">
        <v>3337.0</v>
      </c>
      <c r="B3339" s="4" t="s">
        <v>4935</v>
      </c>
      <c r="C3339" s="5" t="str">
        <f>IFERROR(__xludf.DUMMYFUNCTION("GOOGLETRANSLATE(D:D,""auto"",""en"")"),"Putin was to marry beautiful women in public")</f>
        <v>Putin was to marry beautiful women in public</v>
      </c>
      <c r="D3339" s="4" t="s">
        <v>4990</v>
      </c>
      <c r="E3339" s="4">
        <v>0.0</v>
      </c>
      <c r="F3339" s="4">
        <v>38.0</v>
      </c>
      <c r="G3339" s="4" t="s">
        <v>4991</v>
      </c>
    </row>
    <row r="3340">
      <c r="A3340" s="1">
        <v>3338.0</v>
      </c>
      <c r="B3340" s="4" t="s">
        <v>4935</v>
      </c>
      <c r="C3340" s="5" t="str">
        <f>IFERROR(__xludf.DUMMYFUNCTION("GOOGLETRANSLATE(D:D,""auto"",""en"")"),"Journalists in response to the expulsion of US reporter")</f>
        <v>Journalists in response to the expulsion of US reporter</v>
      </c>
      <c r="D3340" s="4" t="s">
        <v>4992</v>
      </c>
      <c r="E3340" s="4">
        <v>0.0</v>
      </c>
      <c r="F3340" s="4">
        <v>39.0</v>
      </c>
      <c r="G3340" s="4" t="s">
        <v>4993</v>
      </c>
    </row>
    <row r="3341">
      <c r="A3341" s="1">
        <v>3339.0</v>
      </c>
      <c r="B3341" s="4" t="s">
        <v>4935</v>
      </c>
      <c r="C3341" s="5" t="str">
        <f>IFERROR(__xludf.DUMMYFUNCTION("GOOGLETRANSLATE(D:D,""auto"",""en"")"),"Hung Shiu-chu expect new chairman")</f>
        <v>Hung Shiu-chu expect new chairman</v>
      </c>
      <c r="D3341" s="4" t="s">
        <v>4994</v>
      </c>
      <c r="E3341" s="4">
        <v>0.0</v>
      </c>
      <c r="F3341" s="4">
        <v>40.0</v>
      </c>
      <c r="G3341" s="4" t="s">
        <v>4995</v>
      </c>
    </row>
    <row r="3342">
      <c r="A3342" s="1">
        <v>3340.0</v>
      </c>
      <c r="B3342" s="4" t="s">
        <v>4935</v>
      </c>
      <c r="C3342" s="5" t="str">
        <f>IFERROR(__xludf.DUMMYFUNCTION("GOOGLETRANSLATE(D:D,""auto"",""en"")"),"Zhong Nanshan 50 days trip")</f>
        <v>Zhong Nanshan 50 days trip</v>
      </c>
      <c r="D3342" s="4" t="s">
        <v>4996</v>
      </c>
      <c r="E3342" s="4">
        <v>0.0</v>
      </c>
      <c r="F3342" s="4">
        <v>41.0</v>
      </c>
      <c r="G3342" s="4" t="s">
        <v>4997</v>
      </c>
    </row>
    <row r="3343">
      <c r="A3343" s="1">
        <v>3341.0</v>
      </c>
      <c r="B3343" s="4" t="s">
        <v>4935</v>
      </c>
      <c r="C3343" s="5" t="str">
        <f>IFERROR(__xludf.DUMMYFUNCTION("GOOGLETRANSLATE(D:D,""auto"",""en"")"),"Big S Wang Fei apologize for")</f>
        <v>Big S Wang Fei apologize for</v>
      </c>
      <c r="D3343" s="4" t="s">
        <v>4927</v>
      </c>
      <c r="E3343" s="4">
        <v>0.0</v>
      </c>
      <c r="F3343" s="4">
        <v>42.0</v>
      </c>
      <c r="G3343" s="4" t="s">
        <v>4928</v>
      </c>
    </row>
    <row r="3344">
      <c r="A3344" s="1">
        <v>3342.0</v>
      </c>
      <c r="B3344" s="4" t="s">
        <v>4935</v>
      </c>
      <c r="C3344" s="5" t="str">
        <f>IFERROR(__xludf.DUMMYFUNCTION("GOOGLETRANSLATE(D:D,""auto"",""en"")"),"Chicago shootout")</f>
        <v>Chicago shootout</v>
      </c>
      <c r="D3344" s="4" t="s">
        <v>4869</v>
      </c>
      <c r="E3344" s="4">
        <v>0.0</v>
      </c>
      <c r="F3344" s="4">
        <v>43.0</v>
      </c>
      <c r="G3344" s="4" t="s">
        <v>4870</v>
      </c>
    </row>
    <row r="3345">
      <c r="A3345" s="1">
        <v>3343.0</v>
      </c>
      <c r="B3345" s="4" t="s">
        <v>4935</v>
      </c>
      <c r="C3345" s="5" t="str">
        <f>IFERROR(__xludf.DUMMYFUNCTION("GOOGLETRANSLATE(D:D,""auto"",""en"")"),"Gao Fu participate epidemic exchange")</f>
        <v>Gao Fu participate epidemic exchange</v>
      </c>
      <c r="D3345" s="4" t="s">
        <v>4998</v>
      </c>
      <c r="E3345" s="4">
        <v>0.0</v>
      </c>
      <c r="F3345" s="4">
        <v>44.0</v>
      </c>
      <c r="G3345" s="4" t="s">
        <v>4999</v>
      </c>
    </row>
    <row r="3346">
      <c r="A3346" s="1">
        <v>3344.0</v>
      </c>
      <c r="B3346" s="4" t="s">
        <v>4935</v>
      </c>
      <c r="C3346" s="5" t="str">
        <f>IFERROR(__xludf.DUMMYFUNCTION("GOOGLETRANSLATE(D:D,""auto"",""en"")"),"Dubai Princess with her daughter flee")</f>
        <v>Dubai Princess with her daughter flee</v>
      </c>
      <c r="D3346" s="4" t="s">
        <v>4919</v>
      </c>
      <c r="E3346" s="4">
        <v>0.0</v>
      </c>
      <c r="F3346" s="4">
        <v>45.0</v>
      </c>
      <c r="G3346" s="4" t="s">
        <v>4920</v>
      </c>
    </row>
    <row r="3347">
      <c r="A3347" s="1">
        <v>3345.0</v>
      </c>
      <c r="B3347" s="4" t="s">
        <v>4935</v>
      </c>
      <c r="C3347" s="5" t="str">
        <f>IFERROR(__xludf.DUMMYFUNCTION("GOOGLETRANSLATE(D:D,""auto"",""en"")"),"Unified code not to talk about health official")</f>
        <v>Unified code not to talk about health official</v>
      </c>
      <c r="D3347" s="4" t="s">
        <v>5000</v>
      </c>
      <c r="E3347" s="4">
        <v>0.0</v>
      </c>
      <c r="F3347" s="4">
        <v>46.0</v>
      </c>
      <c r="G3347" s="4" t="s">
        <v>5001</v>
      </c>
    </row>
    <row r="3348">
      <c r="A3348" s="1">
        <v>3346.0</v>
      </c>
      <c r="B3348" s="4" t="s">
        <v>4935</v>
      </c>
      <c r="C3348" s="5" t="str">
        <f>IFERROR(__xludf.DUMMYFUNCTION("GOOGLETRANSLATE(D:D,""auto"",""en"")"),"There is no evidence to prove Aunt May")</f>
        <v>There is no evidence to prove Aunt May</v>
      </c>
      <c r="D3348" s="4" t="s">
        <v>5002</v>
      </c>
      <c r="E3348" s="4">
        <v>0.0</v>
      </c>
      <c r="F3348" s="4">
        <v>47.0</v>
      </c>
      <c r="G3348" s="4" t="s">
        <v>5003</v>
      </c>
    </row>
    <row r="3349">
      <c r="A3349" s="1">
        <v>3347.0</v>
      </c>
      <c r="B3349" s="4" t="s">
        <v>4935</v>
      </c>
      <c r="C3349" s="5" t="str">
        <f>IFERROR(__xludf.DUMMYFUNCTION("GOOGLETRANSLATE(D:D,""auto"",""en"")"),"The new crown patients died after discharge")</f>
        <v>The new crown patients died after discharge</v>
      </c>
      <c r="D3349" s="4" t="s">
        <v>4828</v>
      </c>
      <c r="E3349" s="4">
        <v>0.0</v>
      </c>
      <c r="F3349" s="4">
        <v>48.0</v>
      </c>
      <c r="G3349" s="4" t="s">
        <v>4829</v>
      </c>
    </row>
    <row r="3350">
      <c r="A3350" s="1">
        <v>3348.0</v>
      </c>
      <c r="B3350" s="4" t="s">
        <v>4935</v>
      </c>
      <c r="C3350" s="5" t="str">
        <f>IFERROR(__xludf.DUMMYFUNCTION("GOOGLETRANSLATE(D:D,""auto"",""en"")"),"Wuhan is expected to add cleared")</f>
        <v>Wuhan is expected to add cleared</v>
      </c>
      <c r="D3350" s="4" t="s">
        <v>4826</v>
      </c>
      <c r="E3350" s="4">
        <v>0.0</v>
      </c>
      <c r="F3350" s="4">
        <v>49.0</v>
      </c>
      <c r="G3350" s="4" t="s">
        <v>4827</v>
      </c>
    </row>
    <row r="3351">
      <c r="A3351" s="1">
        <v>3349.0</v>
      </c>
      <c r="B3351" s="4" t="s">
        <v>4935</v>
      </c>
      <c r="C3351" s="5" t="str">
        <f>IFERROR(__xludf.DUMMYFUNCTION("GOOGLETRANSLATE(D:D,""auto"",""en"")"),"Two generations of the fight against SARS Relay")</f>
        <v>Two generations of the fight against SARS Relay</v>
      </c>
      <c r="D3351" s="4" t="s">
        <v>5004</v>
      </c>
      <c r="E3351" s="4">
        <v>0.0</v>
      </c>
      <c r="F3351" s="4">
        <v>50.0</v>
      </c>
      <c r="G3351" s="4" t="s">
        <v>5005</v>
      </c>
    </row>
    <row r="3352">
      <c r="A3352" s="1">
        <v>3350.0</v>
      </c>
      <c r="B3352" s="4" t="s">
        <v>5006</v>
      </c>
      <c r="C3352" s="5" t="str">
        <f>IFERROR(__xludf.DUMMYFUNCTION("GOOGLETRANSLATE(D:D,""auto"",""en"")"),"KMT Chairman Jiang Qichen")</f>
        <v>KMT Chairman Jiang Qichen</v>
      </c>
      <c r="D3352" s="4" t="s">
        <v>4962</v>
      </c>
      <c r="E3352" s="4">
        <v>0.0</v>
      </c>
      <c r="F3352" s="4">
        <v>1.0</v>
      </c>
      <c r="G3352" s="4" t="s">
        <v>4963</v>
      </c>
    </row>
    <row r="3353">
      <c r="A3353" s="1">
        <v>3351.0</v>
      </c>
      <c r="B3353" s="4" t="s">
        <v>5006</v>
      </c>
      <c r="C3353" s="5" t="str">
        <f>IFERROR(__xludf.DUMMYFUNCTION("GOOGLETRANSLATE(D:D,""auto"",""en"")"),"US tariff exemption China masks")</f>
        <v>US tariff exemption China masks</v>
      </c>
      <c r="D3353" s="4" t="s">
        <v>4964</v>
      </c>
      <c r="E3353" s="4">
        <v>0.0</v>
      </c>
      <c r="F3353" s="4">
        <v>2.0</v>
      </c>
      <c r="G3353" s="4" t="s">
        <v>4965</v>
      </c>
    </row>
    <row r="3354">
      <c r="A3354" s="1">
        <v>3352.0</v>
      </c>
      <c r="B3354" s="4" t="s">
        <v>5006</v>
      </c>
      <c r="C3354" s="5" t="str">
        <f>IFERROR(__xludf.DUMMYFUNCTION("GOOGLETRANSLATE(D:D,""auto"",""en"")"),"Zhong Nanshan 50 days trip")</f>
        <v>Zhong Nanshan 50 days trip</v>
      </c>
      <c r="D3354" s="4" t="s">
        <v>4996</v>
      </c>
      <c r="E3354" s="4">
        <v>0.0</v>
      </c>
      <c r="F3354" s="4">
        <v>3.0</v>
      </c>
      <c r="G3354" s="4" t="s">
        <v>4997</v>
      </c>
    </row>
    <row r="3355">
      <c r="A3355" s="1">
        <v>3353.0</v>
      </c>
      <c r="B3355" s="4" t="s">
        <v>5006</v>
      </c>
      <c r="C3355" s="5" t="str">
        <f>IFERROR(__xludf.DUMMYFUNCTION("GOOGLETRANSLATE(D:D,""auto"",""en"")"),"Quanzhou, a hotel collapsed")</f>
        <v>Quanzhou, a hotel collapsed</v>
      </c>
      <c r="D3355" s="4" t="s">
        <v>4968</v>
      </c>
      <c r="E3355" s="4">
        <v>0.0</v>
      </c>
      <c r="F3355" s="4">
        <v>4.0</v>
      </c>
      <c r="G3355" s="4" t="s">
        <v>4969</v>
      </c>
    </row>
    <row r="3356">
      <c r="A3356" s="1">
        <v>3354.0</v>
      </c>
      <c r="B3356" s="4" t="s">
        <v>5006</v>
      </c>
      <c r="C3356" s="5" t="str">
        <f>IFERROR(__xludf.DUMMYFUNCTION("GOOGLETRANSLATE(D:D,""auto"",""en"")"),"The hotel collapsed rescued a baby")</f>
        <v>The hotel collapsed rescued a baby</v>
      </c>
      <c r="D3356" s="4" t="s">
        <v>5007</v>
      </c>
      <c r="E3356" s="4">
        <v>0.0</v>
      </c>
      <c r="F3356" s="4">
        <v>5.0</v>
      </c>
      <c r="G3356" s="4" t="s">
        <v>5008</v>
      </c>
    </row>
    <row r="3357">
      <c r="A3357" s="1">
        <v>3355.0</v>
      </c>
      <c r="B3357" s="4" t="s">
        <v>5006</v>
      </c>
      <c r="C3357" s="5" t="str">
        <f>IFERROR(__xludf.DUMMYFUNCTION("GOOGLETRANSLATE(D:D,""auto"",""en"")"),"Curry suffering from influenza A")</f>
        <v>Curry suffering from influenza A</v>
      </c>
      <c r="D3357" s="4" t="s">
        <v>5009</v>
      </c>
      <c r="E3357" s="4">
        <v>0.0</v>
      </c>
      <c r="F3357" s="4">
        <v>6.0</v>
      </c>
      <c r="G3357" s="4" t="s">
        <v>5010</v>
      </c>
    </row>
    <row r="3358">
      <c r="A3358" s="1">
        <v>3356.0</v>
      </c>
      <c r="B3358" s="4" t="s">
        <v>5006</v>
      </c>
      <c r="C3358" s="5" t="str">
        <f>IFERROR(__xludf.DUMMYFUNCTION("GOOGLETRANSLATE(D:D,""auto"",""en"")"),"Witnesses told the hotel collapse")</f>
        <v>Witnesses told the hotel collapse</v>
      </c>
      <c r="D3358" s="4" t="s">
        <v>5011</v>
      </c>
      <c r="E3358" s="4">
        <v>0.0</v>
      </c>
      <c r="F3358" s="4">
        <v>7.0</v>
      </c>
      <c r="G3358" s="4" t="s">
        <v>5012</v>
      </c>
    </row>
    <row r="3359">
      <c r="A3359" s="1">
        <v>3357.0</v>
      </c>
      <c r="B3359" s="4" t="s">
        <v>5006</v>
      </c>
      <c r="C3359" s="5" t="str">
        <f>IFERROR(__xludf.DUMMYFUNCTION("GOOGLETRANSLATE(D:D,""auto"",""en"")"),"Syria serious accident")</f>
        <v>Syria serious accident</v>
      </c>
      <c r="D3359" s="4" t="s">
        <v>5013</v>
      </c>
      <c r="E3359" s="4">
        <v>0.0</v>
      </c>
      <c r="F3359" s="4">
        <v>8.0</v>
      </c>
      <c r="G3359" s="4" t="s">
        <v>5014</v>
      </c>
    </row>
    <row r="3360">
      <c r="A3360" s="1">
        <v>3358.0</v>
      </c>
      <c r="B3360" s="4" t="s">
        <v>5006</v>
      </c>
      <c r="C3360" s="5" t="str">
        <f>IFERROR(__xludf.DUMMYFUNCTION("GOOGLETRANSLATE(D:D,""auto"",""en"")"),"Sun Yang teacher Dennis home")</f>
        <v>Sun Yang teacher Dennis home</v>
      </c>
      <c r="D3360" s="4" t="s">
        <v>5015</v>
      </c>
      <c r="E3360" s="4">
        <v>0.0</v>
      </c>
      <c r="F3360" s="4">
        <v>9.0</v>
      </c>
      <c r="G3360" s="4" t="s">
        <v>5016</v>
      </c>
    </row>
    <row r="3361">
      <c r="A3361" s="1">
        <v>3359.0</v>
      </c>
      <c r="B3361" s="4" t="s">
        <v>5006</v>
      </c>
      <c r="C3361" s="5" t="str">
        <f>IFERROR(__xludf.DUMMYFUNCTION("GOOGLETRANSLATE(D:D,""auto"",""en"")"),"Xinzhi Lei perfume copy overturned")</f>
        <v>Xinzhi Lei perfume copy overturned</v>
      </c>
      <c r="D3361" s="4" t="s">
        <v>5017</v>
      </c>
      <c r="E3361" s="4">
        <v>0.0</v>
      </c>
      <c r="F3361" s="4">
        <v>10.0</v>
      </c>
      <c r="G3361" s="4" t="s">
        <v>5018</v>
      </c>
    </row>
    <row r="3362">
      <c r="A3362" s="1">
        <v>3360.0</v>
      </c>
      <c r="B3362" s="4" t="s">
        <v>5006</v>
      </c>
      <c r="C3362" s="5" t="str">
        <f>IFERROR(__xludf.DUMMYFUNCTION("GOOGLETRANSLATE(D:D,""auto"",""en"")"),"Zhang Weili successfully defended his UFC")</f>
        <v>Zhang Weili successfully defended his UFC</v>
      </c>
      <c r="D3362" s="4" t="s">
        <v>5019</v>
      </c>
      <c r="E3362" s="4">
        <v>0.0</v>
      </c>
      <c r="F3362" s="4">
        <v>11.0</v>
      </c>
      <c r="G3362" s="4" t="s">
        <v>5020</v>
      </c>
    </row>
    <row r="3363">
      <c r="A3363" s="1">
        <v>3361.0</v>
      </c>
      <c r="B3363" s="4" t="s">
        <v>5006</v>
      </c>
      <c r="C3363" s="5" t="str">
        <f>IFERROR(__xludf.DUMMYFUNCTION("GOOGLETRANSLATE(D:D,""auto"",""en"")"),"Fan Bingbing passport exposed")</f>
        <v>Fan Bingbing passport exposed</v>
      </c>
      <c r="D3363" s="4" t="s">
        <v>5021</v>
      </c>
      <c r="E3363" s="4">
        <v>0.0</v>
      </c>
      <c r="F3363" s="4">
        <v>12.0</v>
      </c>
      <c r="G3363" s="4" t="s">
        <v>5022</v>
      </c>
    </row>
    <row r="3364">
      <c r="A3364" s="1">
        <v>3362.0</v>
      </c>
      <c r="B3364" s="4" t="s">
        <v>5006</v>
      </c>
      <c r="C3364" s="5" t="str">
        <f>IFERROR(__xludf.DUMMYFUNCTION("GOOGLETRANSLATE(D:D,""auto"",""en"")"),"Meng Meiqi response copying paintings")</f>
        <v>Meng Meiqi response copying paintings</v>
      </c>
      <c r="D3364" s="4" t="s">
        <v>5023</v>
      </c>
      <c r="E3364" s="4">
        <v>0.0</v>
      </c>
      <c r="F3364" s="4">
        <v>13.0</v>
      </c>
      <c r="G3364" s="4" t="s">
        <v>5024</v>
      </c>
    </row>
    <row r="3365">
      <c r="A3365" s="1">
        <v>3363.0</v>
      </c>
      <c r="B3365" s="4" t="s">
        <v>5006</v>
      </c>
      <c r="C3365" s="5" t="str">
        <f>IFERROR(__xludf.DUMMYFUNCTION("GOOGLETRANSLATE(D:D,""auto"",""en"")"),"Yang accidental exposure beyond doubt Smoking")</f>
        <v>Yang accidental exposure beyond doubt Smoking</v>
      </c>
      <c r="D3365" s="4" t="s">
        <v>5025</v>
      </c>
      <c r="E3365" s="4">
        <v>0.0</v>
      </c>
      <c r="F3365" s="4">
        <v>14.0</v>
      </c>
      <c r="G3365" s="4" t="s">
        <v>5026</v>
      </c>
    </row>
    <row r="3366">
      <c r="A3366" s="1">
        <v>3364.0</v>
      </c>
      <c r="B3366" s="4" t="s">
        <v>5006</v>
      </c>
      <c r="C3366" s="5" t="str">
        <f>IFERROR(__xludf.DUMMYFUNCTION("GOOGLETRANSLATE(D:D,""auto"",""en"")"),"Iran skyrocketing number of new cases")</f>
        <v>Iran skyrocketing number of new cases</v>
      </c>
      <c r="D3366" s="4" t="s">
        <v>5027</v>
      </c>
      <c r="E3366" s="4">
        <v>0.0</v>
      </c>
      <c r="F3366" s="4">
        <v>15.0</v>
      </c>
      <c r="G3366" s="4" t="s">
        <v>5028</v>
      </c>
    </row>
    <row r="3367">
      <c r="A3367" s="1">
        <v>3365.0</v>
      </c>
      <c r="B3367" s="4" t="s">
        <v>5006</v>
      </c>
      <c r="C3367" s="5" t="str">
        <f>IFERROR(__xludf.DUMMYFUNCTION("GOOGLETRANSLATE(D:D,""auto"",""en"")"),"71-year-old Ying Zi Pan photograph exposed")</f>
        <v>71-year-old Ying Zi Pan photograph exposed</v>
      </c>
      <c r="D3367" s="4" t="s">
        <v>5029</v>
      </c>
      <c r="E3367" s="4">
        <v>0.0</v>
      </c>
      <c r="F3367" s="4">
        <v>16.0</v>
      </c>
      <c r="G3367" s="4" t="s">
        <v>5030</v>
      </c>
    </row>
    <row r="3368">
      <c r="A3368" s="1">
        <v>3366.0</v>
      </c>
      <c r="B3368" s="4" t="s">
        <v>5006</v>
      </c>
      <c r="C3368" s="5" t="str">
        <f>IFERROR(__xludf.DUMMYFUNCTION("GOOGLETRANSLATE(D:D,""auto"",""en"")"),"Day cruise port membership of passengers killed")</f>
        <v>Day cruise port membership of passengers killed</v>
      </c>
      <c r="D3368" s="4" t="s">
        <v>5031</v>
      </c>
      <c r="E3368" s="4">
        <v>0.0</v>
      </c>
      <c r="F3368" s="4">
        <v>17.0</v>
      </c>
      <c r="G3368" s="4" t="s">
        <v>5032</v>
      </c>
    </row>
    <row r="3369">
      <c r="A3369" s="1">
        <v>3367.0</v>
      </c>
      <c r="B3369" s="4" t="s">
        <v>5006</v>
      </c>
      <c r="C3369" s="5" t="str">
        <f>IFERROR(__xludf.DUMMYFUNCTION("GOOGLETRANSLATE(D:D,""auto"",""en"")"),"Thousands of people staged a march in Berlin")</f>
        <v>Thousands of people staged a march in Berlin</v>
      </c>
      <c r="D3369" s="4" t="s">
        <v>5033</v>
      </c>
      <c r="E3369" s="4">
        <v>0.0</v>
      </c>
      <c r="F3369" s="4">
        <v>18.0</v>
      </c>
      <c r="G3369" s="4" t="s">
        <v>5034</v>
      </c>
    </row>
    <row r="3370">
      <c r="A3370" s="1">
        <v>3368.0</v>
      </c>
      <c r="B3370" s="4" t="s">
        <v>5006</v>
      </c>
      <c r="C3370" s="5" t="str">
        <f>IFERROR(__xludf.DUMMYFUNCTION("GOOGLETRANSLATE(D:D,""auto"",""en"")"),"Wei health committee president responded subsidies")</f>
        <v>Wei health committee president responded subsidies</v>
      </c>
      <c r="D3370" s="4" t="s">
        <v>5035</v>
      </c>
      <c r="E3370" s="4">
        <v>0.0</v>
      </c>
      <c r="F3370" s="4">
        <v>19.0</v>
      </c>
      <c r="G3370" s="4" t="s">
        <v>5036</v>
      </c>
    </row>
    <row r="3371">
      <c r="A3371" s="1">
        <v>3369.0</v>
      </c>
      <c r="B3371" s="4" t="s">
        <v>5006</v>
      </c>
      <c r="C3371" s="5" t="str">
        <f>IFERROR(__xludf.DUMMYFUNCTION("GOOGLETRANSLATE(D:D,""auto"",""en"")"),"CCTV multi-file transfer program called cat")</f>
        <v>CCTV multi-file transfer program called cat</v>
      </c>
      <c r="D3371" s="4" t="s">
        <v>5037</v>
      </c>
      <c r="E3371" s="4">
        <v>0.0</v>
      </c>
      <c r="F3371" s="4">
        <v>20.0</v>
      </c>
      <c r="G3371" s="4" t="s">
        <v>5038</v>
      </c>
    </row>
    <row r="3372">
      <c r="A3372" s="1">
        <v>3370.0</v>
      </c>
      <c r="B3372" s="4" t="s">
        <v>5006</v>
      </c>
      <c r="C3372" s="5" t="str">
        <f>IFERROR(__xludf.DUMMYFUNCTION("GOOGLETRANSLATE(D:D,""auto"",""en"")"),"Zhong Nanshan published research results")</f>
        <v>Zhong Nanshan published research results</v>
      </c>
      <c r="D3372" s="4" t="s">
        <v>5039</v>
      </c>
      <c r="E3372" s="4">
        <v>0.0</v>
      </c>
      <c r="F3372" s="4">
        <v>21.0</v>
      </c>
      <c r="G3372" s="4" t="s">
        <v>5040</v>
      </c>
    </row>
    <row r="3373">
      <c r="A3373" s="1">
        <v>3371.0</v>
      </c>
      <c r="B3373" s="4" t="s">
        <v>5006</v>
      </c>
      <c r="C3373" s="5" t="str">
        <f>IFERROR(__xludf.DUMMYFUNCTION("GOOGLETRANSLATE(D:D,""auto"",""en"")"),"Germany interception masks Switzerland")</f>
        <v>Germany interception masks Switzerland</v>
      </c>
      <c r="D3373" s="4" t="s">
        <v>5041</v>
      </c>
      <c r="E3373" s="4">
        <v>0.0</v>
      </c>
      <c r="F3373" s="4">
        <v>22.0</v>
      </c>
      <c r="G3373" s="4" t="s">
        <v>5042</v>
      </c>
    </row>
    <row r="3374">
      <c r="A3374" s="1">
        <v>3372.0</v>
      </c>
      <c r="B3374" s="4" t="s">
        <v>5006</v>
      </c>
      <c r="C3374" s="5" t="str">
        <f>IFERROR(__xludf.DUMMYFUNCTION("GOOGLETRANSLATE(D:D,""auto"",""en"")"),"Spain funeral of 60 people diagnosed")</f>
        <v>Spain funeral of 60 people diagnosed</v>
      </c>
      <c r="D3374" s="4" t="s">
        <v>5043</v>
      </c>
      <c r="E3374" s="4">
        <v>0.0</v>
      </c>
      <c r="F3374" s="4">
        <v>23.0</v>
      </c>
      <c r="G3374" s="4" t="s">
        <v>5044</v>
      </c>
    </row>
    <row r="3375">
      <c r="A3375" s="1">
        <v>3373.0</v>
      </c>
      <c r="B3375" s="4" t="s">
        <v>5006</v>
      </c>
      <c r="C3375" s="5" t="str">
        <f>IFERROR(__xludf.DUMMYFUNCTION("GOOGLETRANSLATE(D:D,""auto"",""en"")"),"6 anniversary of Malaysia Airlines MH370 lost contact")</f>
        <v>6 anniversary of Malaysia Airlines MH370 lost contact</v>
      </c>
      <c r="D3375" s="4" t="s">
        <v>5045</v>
      </c>
      <c r="E3375" s="4">
        <v>0.0</v>
      </c>
      <c r="F3375" s="4">
        <v>24.0</v>
      </c>
      <c r="G3375" s="4" t="s">
        <v>5046</v>
      </c>
    </row>
    <row r="3376">
      <c r="A3376" s="1">
        <v>3374.0</v>
      </c>
      <c r="B3376" s="4" t="s">
        <v>5006</v>
      </c>
      <c r="C3376" s="5" t="str">
        <f>IFERROR(__xludf.DUMMYFUNCTION("GOOGLETRANSLATE(D:D,""auto"",""en"")"),"Hotels disinfection collapse rescue")</f>
        <v>Hotels disinfection collapse rescue</v>
      </c>
      <c r="D3376" s="4" t="s">
        <v>5047</v>
      </c>
      <c r="E3376" s="4">
        <v>0.0</v>
      </c>
      <c r="F3376" s="4">
        <v>25.0</v>
      </c>
      <c r="G3376" s="4" t="s">
        <v>5048</v>
      </c>
    </row>
    <row r="3377">
      <c r="A3377" s="1">
        <v>3375.0</v>
      </c>
      <c r="B3377" s="4" t="s">
        <v>5006</v>
      </c>
      <c r="C3377" s="5" t="str">
        <f>IFERROR(__xludf.DUMMYFUNCTION("GOOGLETRANSLATE(D:D,""auto"",""en"")"),"Tyrant wearing masks line up panic room")</f>
        <v>Tyrant wearing masks line up panic room</v>
      </c>
      <c r="D3377" s="4" t="s">
        <v>5049</v>
      </c>
      <c r="E3377" s="4">
        <v>0.0</v>
      </c>
      <c r="F3377" s="4">
        <v>26.0</v>
      </c>
      <c r="G3377" s="4" t="s">
        <v>5050</v>
      </c>
    </row>
    <row r="3378">
      <c r="A3378" s="1">
        <v>3376.0</v>
      </c>
      <c r="B3378" s="4" t="s">
        <v>5006</v>
      </c>
      <c r="C3378" s="5" t="str">
        <f>IFERROR(__xludf.DUMMYFUNCTION("GOOGLETRANSLATE(D:D,""auto"",""en"")"),"Saudi stock market fell over 7%")</f>
        <v>Saudi stock market fell over 7%</v>
      </c>
      <c r="D3378" s="4" t="s">
        <v>5051</v>
      </c>
      <c r="E3378" s="4">
        <v>0.0</v>
      </c>
      <c r="F3378" s="4">
        <v>27.0</v>
      </c>
      <c r="G3378" s="4" t="s">
        <v>5052</v>
      </c>
    </row>
    <row r="3379">
      <c r="A3379" s="1">
        <v>3377.0</v>
      </c>
      <c r="B3379" s="4" t="s">
        <v>5006</v>
      </c>
      <c r="C3379" s="5" t="str">
        <f>IFERROR(__xludf.DUMMYFUNCTION("GOOGLETRANSLATE(D:D,""auto"",""en"")"),"Han Park Jaebeom is slapped")</f>
        <v>Han Park Jaebeom is slapped</v>
      </c>
      <c r="D3379" s="4" t="s">
        <v>5053</v>
      </c>
      <c r="E3379" s="4">
        <v>0.0</v>
      </c>
      <c r="F3379" s="4">
        <v>28.0</v>
      </c>
      <c r="G3379" s="4" t="s">
        <v>5054</v>
      </c>
    </row>
    <row r="3380">
      <c r="A3380" s="1">
        <v>3378.0</v>
      </c>
      <c r="B3380" s="4" t="s">
        <v>5006</v>
      </c>
      <c r="C3380" s="5" t="str">
        <f>IFERROR(__xludf.DUMMYFUNCTION("GOOGLETRANSLATE(D:D,""auto"",""en"")"),"Hubei issued the first batch of green code")</f>
        <v>Hubei issued the first batch of green code</v>
      </c>
      <c r="D3380" s="4" t="s">
        <v>5055</v>
      </c>
      <c r="E3380" s="4">
        <v>0.0</v>
      </c>
      <c r="F3380" s="4">
        <v>29.0</v>
      </c>
      <c r="G3380" s="4" t="s">
        <v>5056</v>
      </c>
    </row>
    <row r="3381">
      <c r="A3381" s="1">
        <v>3379.0</v>
      </c>
      <c r="B3381" s="4" t="s">
        <v>5006</v>
      </c>
      <c r="C3381" s="5" t="str">
        <f>IFERROR(__xludf.DUMMYFUNCTION("GOOGLETRANSLATE(D:D,""auto"",""en"")"),"Xinjiang is adjusted in response to three")</f>
        <v>Xinjiang is adjusted in response to three</v>
      </c>
      <c r="D3381" s="4" t="s">
        <v>5057</v>
      </c>
      <c r="E3381" s="4">
        <v>0.0</v>
      </c>
      <c r="F3381" s="4">
        <v>30.0</v>
      </c>
      <c r="G3381" s="4" t="s">
        <v>5058</v>
      </c>
    </row>
    <row r="3382">
      <c r="A3382" s="1">
        <v>3380.0</v>
      </c>
      <c r="B3382" s="4" t="s">
        <v>5006</v>
      </c>
      <c r="C3382" s="5" t="str">
        <f>IFERROR(__xludf.DUMMYFUNCTION("GOOGLETRANSLATE(D:D,""auto"",""en"")"),"Pull down the mask diagnosed on high-speed rail")</f>
        <v>Pull down the mask diagnosed on high-speed rail</v>
      </c>
      <c r="D3382" s="4" t="s">
        <v>5059</v>
      </c>
      <c r="E3382" s="4">
        <v>0.0</v>
      </c>
      <c r="F3382" s="4">
        <v>31.0</v>
      </c>
      <c r="G3382" s="4" t="s">
        <v>5060</v>
      </c>
    </row>
    <row r="3383">
      <c r="A3383" s="1">
        <v>3381.0</v>
      </c>
      <c r="B3383" s="4" t="s">
        <v>5006</v>
      </c>
      <c r="C3383" s="5" t="str">
        <f>IFERROR(__xludf.DUMMYFUNCTION("GOOGLETRANSLATE(D:D,""auto"",""en"")"),"China has decided to contribute to the WHO")</f>
        <v>China has decided to contribute to the WHO</v>
      </c>
      <c r="D3383" s="4" t="s">
        <v>5061</v>
      </c>
      <c r="E3383" s="4">
        <v>0.0</v>
      </c>
      <c r="F3383" s="4">
        <v>32.0</v>
      </c>
      <c r="G3383" s="4" t="s">
        <v>5062</v>
      </c>
    </row>
    <row r="3384">
      <c r="A3384" s="1">
        <v>3382.0</v>
      </c>
      <c r="B3384" s="4" t="s">
        <v>5006</v>
      </c>
      <c r="C3384" s="5" t="str">
        <f>IFERROR(__xludf.DUMMYFUNCTION("GOOGLETRANSLATE(D:D,""auto"",""en"")"),"Fan Bingbing back domineering hate friends")</f>
        <v>Fan Bingbing back domineering hate friends</v>
      </c>
      <c r="D3384" s="4" t="s">
        <v>5063</v>
      </c>
      <c r="E3384" s="4">
        <v>0.0</v>
      </c>
      <c r="F3384" s="4">
        <v>33.0</v>
      </c>
      <c r="G3384" s="4" t="s">
        <v>5064</v>
      </c>
    </row>
    <row r="3385">
      <c r="A3385" s="1">
        <v>3383.0</v>
      </c>
      <c r="B3385" s="4" t="s">
        <v>5006</v>
      </c>
      <c r="C3385" s="5" t="str">
        <f>IFERROR(__xludf.DUMMYFUNCTION("GOOGLETRANSLATE(D:D,""auto"",""en"")"),"The most mysterious submarine accident exposed")</f>
        <v>The most mysterious submarine accident exposed</v>
      </c>
      <c r="D3385" s="4" t="s">
        <v>5065</v>
      </c>
      <c r="E3385" s="4">
        <v>0.0</v>
      </c>
      <c r="F3385" s="4">
        <v>34.0</v>
      </c>
      <c r="G3385" s="4" t="s">
        <v>5066</v>
      </c>
    </row>
    <row r="3386">
      <c r="A3386" s="1">
        <v>3384.0</v>
      </c>
      <c r="B3386" s="4" t="s">
        <v>5006</v>
      </c>
      <c r="C3386" s="5" t="str">
        <f>IFERROR(__xludf.DUMMYFUNCTION("GOOGLETRANSLATE(D:D,""auto"",""en"")"),"Experts on Chengdu unknown birds")</f>
        <v>Experts on Chengdu unknown birds</v>
      </c>
      <c r="D3386" s="4" t="s">
        <v>5067</v>
      </c>
      <c r="E3386" s="4">
        <v>0.0</v>
      </c>
      <c r="F3386" s="4">
        <v>35.0</v>
      </c>
      <c r="G3386" s="4" t="s">
        <v>5068</v>
      </c>
    </row>
    <row r="3387">
      <c r="A3387" s="1">
        <v>3385.0</v>
      </c>
      <c r="B3387" s="4" t="s">
        <v>5006</v>
      </c>
      <c r="C3387" s="5" t="str">
        <f>IFERROR(__xludf.DUMMYFUNCTION("GOOGLETRANSLATE(D:D,""auto"",""en"")"),"Missing cat found after 11 years")</f>
        <v>Missing cat found after 11 years</v>
      </c>
      <c r="D3387" s="4" t="s">
        <v>5069</v>
      </c>
      <c r="E3387" s="4">
        <v>0.0</v>
      </c>
      <c r="F3387" s="4">
        <v>36.0</v>
      </c>
      <c r="G3387" s="4" t="s">
        <v>5070</v>
      </c>
    </row>
    <row r="3388">
      <c r="A3388" s="1">
        <v>3386.0</v>
      </c>
      <c r="B3388" s="4" t="s">
        <v>5006</v>
      </c>
      <c r="C3388" s="5" t="str">
        <f>IFERROR(__xludf.DUMMYFUNCTION("GOOGLETRANSLATE(D:D,""auto"",""en"")"),"Ma gifts to female health care")</f>
        <v>Ma gifts to female health care</v>
      </c>
      <c r="D3388" s="4" t="s">
        <v>5071</v>
      </c>
      <c r="E3388" s="4">
        <v>0.0</v>
      </c>
      <c r="F3388" s="4">
        <v>37.0</v>
      </c>
      <c r="G3388" s="4" t="s">
        <v>5072</v>
      </c>
    </row>
    <row r="3389">
      <c r="A3389" s="1">
        <v>3387.0</v>
      </c>
      <c r="B3389" s="4" t="s">
        <v>5006</v>
      </c>
      <c r="C3389" s="5" t="str">
        <f>IFERROR(__xludf.DUMMYFUNCTION("GOOGLETRANSLATE(D:D,""auto"",""en"")"),"70 people trapped in collapsed hotel")</f>
        <v>70 people trapped in collapsed hotel</v>
      </c>
      <c r="D3389" s="4" t="s">
        <v>5073</v>
      </c>
      <c r="E3389" s="4">
        <v>0.0</v>
      </c>
      <c r="F3389" s="4">
        <v>38.0</v>
      </c>
      <c r="G3389" s="4" t="s">
        <v>5074</v>
      </c>
    </row>
    <row r="3390">
      <c r="A3390" s="1">
        <v>3388.0</v>
      </c>
      <c r="B3390" s="4" t="s">
        <v>5006</v>
      </c>
      <c r="C3390" s="5" t="str">
        <f>IFERROR(__xludf.DUMMYFUNCTION("GOOGLETRANSLATE(D:D,""auto"",""en"")"),"Wu Chun studio issued a statement")</f>
        <v>Wu Chun studio issued a statement</v>
      </c>
      <c r="D3390" s="4" t="s">
        <v>5075</v>
      </c>
      <c r="E3390" s="4">
        <v>0.0</v>
      </c>
      <c r="F3390" s="4">
        <v>39.0</v>
      </c>
      <c r="G3390" s="4" t="s">
        <v>5076</v>
      </c>
    </row>
    <row r="3391">
      <c r="A3391" s="1">
        <v>3389.0</v>
      </c>
      <c r="B3391" s="4" t="s">
        <v>5006</v>
      </c>
      <c r="C3391" s="5" t="str">
        <f>IFERROR(__xludf.DUMMYFUNCTION("GOOGLETRANSLATE(D:D,""auto"",""en"")"),"Hung Shiu-chu expect new chairman")</f>
        <v>Hung Shiu-chu expect new chairman</v>
      </c>
      <c r="D3391" s="4" t="s">
        <v>4994</v>
      </c>
      <c r="E3391" s="4">
        <v>0.0</v>
      </c>
      <c r="F3391" s="4">
        <v>40.0</v>
      </c>
      <c r="G3391" s="4" t="s">
        <v>4995</v>
      </c>
    </row>
    <row r="3392">
      <c r="A3392" s="1">
        <v>3390.0</v>
      </c>
      <c r="B3392" s="4" t="s">
        <v>5006</v>
      </c>
      <c r="C3392" s="5" t="str">
        <f>IFERROR(__xludf.DUMMYFUNCTION("GOOGLETRANSLATE(D:D,""auto"",""en"")"),"France 67 provinces affected by the epidemic")</f>
        <v>France 67 provinces affected by the epidemic</v>
      </c>
      <c r="D3392" s="4" t="s">
        <v>5077</v>
      </c>
      <c r="E3392" s="4">
        <v>0.0</v>
      </c>
      <c r="F3392" s="4">
        <v>41.0</v>
      </c>
      <c r="G3392" s="4" t="s">
        <v>5078</v>
      </c>
    </row>
    <row r="3393">
      <c r="A3393" s="1">
        <v>3391.0</v>
      </c>
      <c r="B3393" s="4" t="s">
        <v>5006</v>
      </c>
      <c r="C3393" s="5" t="str">
        <f>IFERROR(__xludf.DUMMYFUNCTION("GOOGLETRANSLATE(D:D,""auto"",""en"")"),"South Korea South Korea's top ten beauty net assessment")</f>
        <v>South Korea South Korea's top ten beauty net assessment</v>
      </c>
      <c r="D3393" s="4" t="s">
        <v>5079</v>
      </c>
      <c r="E3393" s="4">
        <v>0.0</v>
      </c>
      <c r="F3393" s="4">
        <v>42.0</v>
      </c>
      <c r="G3393" s="4" t="s">
        <v>5080</v>
      </c>
    </row>
    <row r="3394">
      <c r="A3394" s="1">
        <v>3392.0</v>
      </c>
      <c r="B3394" s="4" t="s">
        <v>5006</v>
      </c>
      <c r="C3394" s="5" t="str">
        <f>IFERROR(__xludf.DUMMYFUNCTION("GOOGLETRANSLATE(D:D,""auto"",""en"")"),"There is no evidence to prove Aunt May")</f>
        <v>There is no evidence to prove Aunt May</v>
      </c>
      <c r="D3394" s="4" t="s">
        <v>5002</v>
      </c>
      <c r="E3394" s="4">
        <v>0.0</v>
      </c>
      <c r="F3394" s="4">
        <v>43.0</v>
      </c>
      <c r="G3394" s="4" t="s">
        <v>5003</v>
      </c>
    </row>
    <row r="3395">
      <c r="A3395" s="1">
        <v>3393.0</v>
      </c>
      <c r="B3395" s="4" t="s">
        <v>5006</v>
      </c>
      <c r="C3395" s="5" t="str">
        <f>IFERROR(__xludf.DUMMYFUNCTION("GOOGLETRANSLATE(D:D,""auto"",""en"")"),"Shenjun Liang and his son have been reunited")</f>
        <v>Shenjun Liang and his son have been reunited</v>
      </c>
      <c r="D3395" s="4" t="s">
        <v>5081</v>
      </c>
      <c r="E3395" s="4">
        <v>0.0</v>
      </c>
      <c r="F3395" s="4">
        <v>44.0</v>
      </c>
      <c r="G3395" s="4" t="s">
        <v>5082</v>
      </c>
    </row>
    <row r="3396">
      <c r="A3396" s="1">
        <v>3394.0</v>
      </c>
      <c r="B3396" s="4" t="s">
        <v>5006</v>
      </c>
      <c r="C3396" s="5" t="str">
        <f>IFERROR(__xludf.DUMMYFUNCTION("GOOGLETRANSLATE(D:D,""auto"",""en"")"),"4 people from Italy returned to Beijing after diagnosis")</f>
        <v>4 people from Italy returned to Beijing after diagnosis</v>
      </c>
      <c r="D3396" s="4" t="s">
        <v>5083</v>
      </c>
      <c r="E3396" s="4">
        <v>0.0</v>
      </c>
      <c r="F3396" s="4">
        <v>45.0</v>
      </c>
      <c r="G3396" s="4" t="s">
        <v>5084</v>
      </c>
    </row>
    <row r="3397">
      <c r="A3397" s="1">
        <v>3395.0</v>
      </c>
      <c r="B3397" s="4" t="s">
        <v>5006</v>
      </c>
      <c r="C3397" s="5" t="str">
        <f>IFERROR(__xludf.DUMMYFUNCTION("GOOGLETRANSLATE(D:D,""auto"",""en"")"),"Gordon Liu Yifei to wear cheongsam magazine")</f>
        <v>Gordon Liu Yifei to wear cheongsam magazine</v>
      </c>
      <c r="D3397" s="4" t="s">
        <v>5085</v>
      </c>
      <c r="E3397" s="4">
        <v>0.0</v>
      </c>
      <c r="F3397" s="4">
        <v>46.0</v>
      </c>
      <c r="G3397" s="4" t="s">
        <v>5086</v>
      </c>
    </row>
    <row r="3398">
      <c r="A3398" s="1">
        <v>3396.0</v>
      </c>
      <c r="B3398" s="4" t="s">
        <v>5006</v>
      </c>
      <c r="C3398" s="5" t="str">
        <f>IFERROR(__xludf.DUMMYFUNCTION("GOOGLETRANSLATE(D:D,""auto"",""en"")"),"Trump was confirmed participants")</f>
        <v>Trump was confirmed participants</v>
      </c>
      <c r="D3398" s="4" t="s">
        <v>5087</v>
      </c>
      <c r="E3398" s="4">
        <v>0.0</v>
      </c>
      <c r="F3398" s="4">
        <v>47.0</v>
      </c>
      <c r="G3398" s="4" t="s">
        <v>5088</v>
      </c>
    </row>
    <row r="3399">
      <c r="A3399" s="1">
        <v>3397.0</v>
      </c>
      <c r="B3399" s="4" t="s">
        <v>5006</v>
      </c>
      <c r="C3399" s="5" t="str">
        <f>IFERROR(__xludf.DUMMYFUNCTION("GOOGLETRANSLATE(D:D,""auto"",""en"")"),"Fujian confirmed all clear")</f>
        <v>Fujian confirmed all clear</v>
      </c>
      <c r="D3399" s="4" t="s">
        <v>5089</v>
      </c>
      <c r="E3399" s="4">
        <v>0.0</v>
      </c>
      <c r="F3399" s="4">
        <v>48.0</v>
      </c>
      <c r="G3399" s="4" t="s">
        <v>5090</v>
      </c>
    </row>
    <row r="3400">
      <c r="A3400" s="1">
        <v>3398.0</v>
      </c>
      <c r="B3400" s="4" t="s">
        <v>5006</v>
      </c>
      <c r="C3400" s="5" t="str">
        <f>IFERROR(__xludf.DUMMYFUNCTION("GOOGLETRANSLATE(D:D,""auto"",""en"")"),"The hotel owner was controlled collapse")</f>
        <v>The hotel owner was controlled collapse</v>
      </c>
      <c r="D3400" s="4" t="s">
        <v>5091</v>
      </c>
      <c r="E3400" s="4">
        <v>0.0</v>
      </c>
      <c r="F3400" s="4">
        <v>49.0</v>
      </c>
      <c r="G3400" s="4" t="s">
        <v>5092</v>
      </c>
    </row>
    <row r="3401">
      <c r="A3401" s="1">
        <v>3399.0</v>
      </c>
      <c r="B3401" s="4" t="s">
        <v>5006</v>
      </c>
      <c r="C3401" s="5" t="str">
        <f>IFERROR(__xludf.DUMMYFUNCTION("GOOGLETRANSLATE(D:D,""auto"",""en"")"),"Scientists pro-test a new vaccine crown")</f>
        <v>Scientists pro-test a new vaccine crown</v>
      </c>
      <c r="D3401" s="4" t="s">
        <v>5093</v>
      </c>
      <c r="E3401" s="4">
        <v>0.0</v>
      </c>
      <c r="F3401" s="4">
        <v>50.0</v>
      </c>
      <c r="G3401" s="4" t="s">
        <v>5094</v>
      </c>
    </row>
    <row r="3402">
      <c r="A3402" s="1">
        <v>3400.0</v>
      </c>
      <c r="B3402" s="4" t="s">
        <v>5095</v>
      </c>
      <c r="C3402" s="5" t="str">
        <f>IFERROR(__xludf.DUMMYFUNCTION("GOOGLETRANSLATE(D:D,""auto"",""en"")"),"CCTV multi-file transfer program called cat")</f>
        <v>CCTV multi-file transfer program called cat</v>
      </c>
      <c r="D3402" s="4" t="s">
        <v>5037</v>
      </c>
      <c r="E3402" s="4">
        <v>0.0</v>
      </c>
      <c r="F3402" s="4">
        <v>1.0</v>
      </c>
      <c r="G3402" s="4" t="s">
        <v>5038</v>
      </c>
    </row>
    <row r="3403">
      <c r="A3403" s="1">
        <v>3401.0</v>
      </c>
      <c r="B3403" s="4" t="s">
        <v>5095</v>
      </c>
      <c r="C3403" s="5" t="str">
        <f>IFERROR(__xludf.DUMMYFUNCTION("GOOGLETRANSLATE(D:D,""auto"",""en"")"),"Zhong Nanshan published research results")</f>
        <v>Zhong Nanshan published research results</v>
      </c>
      <c r="D3403" s="4" t="s">
        <v>5039</v>
      </c>
      <c r="E3403" s="4">
        <v>0.0</v>
      </c>
      <c r="F3403" s="4">
        <v>2.0</v>
      </c>
      <c r="G3403" s="4" t="s">
        <v>5040</v>
      </c>
    </row>
    <row r="3404">
      <c r="A3404" s="1">
        <v>3402.0</v>
      </c>
      <c r="B3404" s="4" t="s">
        <v>5095</v>
      </c>
      <c r="C3404" s="5" t="str">
        <f>IFERROR(__xludf.DUMMYFUNCTION("GOOGLETRANSLATE(D:D,""auto"",""en"")"),"Gao Yuanyuan family of five debut")</f>
        <v>Gao Yuanyuan family of five debut</v>
      </c>
      <c r="D3404" s="4" t="s">
        <v>5096</v>
      </c>
      <c r="E3404" s="4">
        <v>0.0</v>
      </c>
      <c r="F3404" s="4">
        <v>3.0</v>
      </c>
      <c r="G3404" s="4" t="s">
        <v>5097</v>
      </c>
    </row>
    <row r="3405">
      <c r="A3405" s="1">
        <v>3403.0</v>
      </c>
      <c r="B3405" s="4" t="s">
        <v>5095</v>
      </c>
      <c r="C3405" s="5" t="str">
        <f>IFERROR(__xludf.DUMMYFUNCTION("GOOGLETRANSLATE(D:D,""auto"",""en"")"),"Han Park Jaebeom is slapped")</f>
        <v>Han Park Jaebeom is slapped</v>
      </c>
      <c r="D3405" s="4" t="s">
        <v>5053</v>
      </c>
      <c r="E3405" s="4">
        <v>0.0</v>
      </c>
      <c r="F3405" s="4">
        <v>4.0</v>
      </c>
      <c r="G3405" s="4" t="s">
        <v>5054</v>
      </c>
    </row>
    <row r="3406">
      <c r="A3406" s="1">
        <v>3404.0</v>
      </c>
      <c r="B3406" s="4" t="s">
        <v>5095</v>
      </c>
      <c r="C3406" s="5" t="str">
        <f>IFERROR(__xludf.DUMMYFUNCTION("GOOGLETRANSLATE(D:D,""auto"",""en"")"),"Quiet denied the change of nationality")</f>
        <v>Quiet denied the change of nationality</v>
      </c>
      <c r="D3406" s="4" t="s">
        <v>5098</v>
      </c>
      <c r="E3406" s="4">
        <v>0.0</v>
      </c>
      <c r="F3406" s="4">
        <v>5.0</v>
      </c>
      <c r="G3406" s="4" t="s">
        <v>5099</v>
      </c>
    </row>
    <row r="3407">
      <c r="A3407" s="1">
        <v>3405.0</v>
      </c>
      <c r="B3407" s="4" t="s">
        <v>5095</v>
      </c>
      <c r="C3407" s="5" t="str">
        <f>IFERROR(__xludf.DUMMYFUNCTION("GOOGLETRANSLATE(D:D,""auto"",""en"")"),"Changzhou, a company fire")</f>
        <v>Changzhou, a company fire</v>
      </c>
      <c r="D3407" s="4" t="s">
        <v>5100</v>
      </c>
      <c r="E3407" s="4">
        <v>0.0</v>
      </c>
      <c r="F3407" s="4">
        <v>6.0</v>
      </c>
      <c r="G3407" s="4" t="s">
        <v>5101</v>
      </c>
    </row>
    <row r="3408">
      <c r="A3408" s="1">
        <v>3406.0</v>
      </c>
      <c r="B3408" s="4" t="s">
        <v>5095</v>
      </c>
      <c r="C3408" s="5" t="str">
        <f>IFERROR(__xludf.DUMMYFUNCTION("GOOGLETRANSLATE(D:D,""auto"",""en"")"),"Germany interception masks Switzerland")</f>
        <v>Germany interception masks Switzerland</v>
      </c>
      <c r="D3408" s="4" t="s">
        <v>5041</v>
      </c>
      <c r="E3408" s="4">
        <v>0.0</v>
      </c>
      <c r="F3408" s="4">
        <v>7.0</v>
      </c>
      <c r="G3408" s="4" t="s">
        <v>5042</v>
      </c>
    </row>
    <row r="3409">
      <c r="A3409" s="1">
        <v>3407.0</v>
      </c>
      <c r="B3409" s="4" t="s">
        <v>5095</v>
      </c>
      <c r="C3409" s="5" t="str">
        <f>IFERROR(__xludf.DUMMYFUNCTION("GOOGLETRANSLATE(D:D,""auto"",""en"")"),"Han Meijuan exposure threatened")</f>
        <v>Han Meijuan exposure threatened</v>
      </c>
      <c r="D3409" s="4" t="s">
        <v>5102</v>
      </c>
      <c r="E3409" s="4">
        <v>0.0</v>
      </c>
      <c r="F3409" s="4">
        <v>8.0</v>
      </c>
      <c r="G3409" s="4" t="s">
        <v>5103</v>
      </c>
    </row>
    <row r="3410">
      <c r="A3410" s="1">
        <v>3408.0</v>
      </c>
      <c r="B3410" s="4" t="s">
        <v>5095</v>
      </c>
      <c r="C3410" s="5" t="str">
        <f>IFERROR(__xludf.DUMMYFUNCTION("GOOGLETRANSLATE(D:D,""auto"",""en"")"),"31 provinces of new cases of 40 cases")</f>
        <v>31 provinces of new cases of 40 cases</v>
      </c>
      <c r="D3410" s="4" t="s">
        <v>5104</v>
      </c>
      <c r="E3410" s="4">
        <v>0.0</v>
      </c>
      <c r="F3410" s="4">
        <v>9.0</v>
      </c>
      <c r="G3410" s="4" t="s">
        <v>5105</v>
      </c>
    </row>
    <row r="3411">
      <c r="A3411" s="1">
        <v>3409.0</v>
      </c>
      <c r="B3411" s="4" t="s">
        <v>5095</v>
      </c>
      <c r="C3411" s="5" t="str">
        <f>IFERROR(__xludf.DUMMYFUNCTION("GOOGLETRANSLATE(D:D,""auto"",""en"")"),"India's economy was the impact of the epidemic")</f>
        <v>India's economy was the impact of the epidemic</v>
      </c>
      <c r="D3411" s="4" t="s">
        <v>5106</v>
      </c>
      <c r="E3411" s="4">
        <v>0.0</v>
      </c>
      <c r="F3411" s="4">
        <v>10.0</v>
      </c>
      <c r="G3411" s="4" t="s">
        <v>5107</v>
      </c>
    </row>
    <row r="3412">
      <c r="A3412" s="1">
        <v>3410.0</v>
      </c>
      <c r="B3412" s="4" t="s">
        <v>5095</v>
      </c>
      <c r="C3412" s="5" t="str">
        <f>IFERROR(__xludf.DUMMYFUNCTION("GOOGLETRANSLATE(D:D,""auto"",""en"")"),"13 people infected patients by bus")</f>
        <v>13 people infected patients by bus</v>
      </c>
      <c r="D3412" s="4" t="s">
        <v>5108</v>
      </c>
      <c r="E3412" s="4">
        <v>0.0</v>
      </c>
      <c r="F3412" s="4">
        <v>11.0</v>
      </c>
      <c r="G3412" s="4" t="s">
        <v>5109</v>
      </c>
    </row>
    <row r="3413">
      <c r="A3413" s="1">
        <v>3411.0</v>
      </c>
      <c r="B3413" s="4" t="s">
        <v>5095</v>
      </c>
      <c r="C3413" s="5" t="str">
        <f>IFERROR(__xludf.DUMMYFUNCTION("GOOGLETRANSLATE(D:D,""auto"",""en"")"),"53 community workers killed")</f>
        <v>53 community workers killed</v>
      </c>
      <c r="D3413" s="4" t="s">
        <v>5110</v>
      </c>
      <c r="E3413" s="4">
        <v>0.0</v>
      </c>
      <c r="F3413" s="4">
        <v>12.0</v>
      </c>
      <c r="G3413" s="4" t="s">
        <v>5111</v>
      </c>
    </row>
    <row r="3414">
      <c r="A3414" s="1">
        <v>3412.0</v>
      </c>
      <c r="B3414" s="4" t="s">
        <v>5095</v>
      </c>
      <c r="C3414" s="5" t="str">
        <f>IFERROR(__xludf.DUMMYFUNCTION("GOOGLETRANSLATE(D:D,""auto"",""en"")"),"Bryant appeared daughter")</f>
        <v>Bryant appeared daughter</v>
      </c>
      <c r="D3414" s="4" t="s">
        <v>5112</v>
      </c>
      <c r="E3414" s="4">
        <v>0.0</v>
      </c>
      <c r="F3414" s="4">
        <v>13.0</v>
      </c>
      <c r="G3414" s="4" t="s">
        <v>5113</v>
      </c>
    </row>
    <row r="3415">
      <c r="A3415" s="1">
        <v>3413.0</v>
      </c>
      <c r="B3415" s="4" t="s">
        <v>5095</v>
      </c>
      <c r="C3415" s="5" t="str">
        <f>IFERROR(__xludf.DUMMYFUNCTION("GOOGLETRANSLATE(D:D,""auto"",""en"")"),"Gree self-produced masks on sale")</f>
        <v>Gree self-produced masks on sale</v>
      </c>
      <c r="D3415" s="4" t="s">
        <v>5114</v>
      </c>
      <c r="E3415" s="4">
        <v>0.0</v>
      </c>
      <c r="F3415" s="4">
        <v>14.0</v>
      </c>
      <c r="G3415" s="4" t="s">
        <v>5115</v>
      </c>
    </row>
    <row r="3416">
      <c r="A3416" s="1">
        <v>3414.0</v>
      </c>
      <c r="B3416" s="4" t="s">
        <v>5095</v>
      </c>
      <c r="C3416" s="5" t="str">
        <f>IFERROR(__xludf.DUMMYFUNCTION("GOOGLETRANSLATE(D:D,""auto"",""en"")"),"American multi-state into a state of emergency")</f>
        <v>American multi-state into a state of emergency</v>
      </c>
      <c r="D3416" s="4" t="s">
        <v>5116</v>
      </c>
      <c r="E3416" s="4">
        <v>0.0</v>
      </c>
      <c r="F3416" s="4">
        <v>15.0</v>
      </c>
      <c r="G3416" s="4" t="s">
        <v>5117</v>
      </c>
    </row>
    <row r="3417">
      <c r="A3417" s="1">
        <v>3415.0</v>
      </c>
      <c r="B3417" s="4" t="s">
        <v>5095</v>
      </c>
      <c r="C3417" s="5" t="str">
        <f>IFERROR(__xludf.DUMMYFUNCTION("GOOGLETRANSLATE(D:D,""auto"",""en"")"),"Yang Mi Wei Taixun transferred cohabitation")</f>
        <v>Yang Mi Wei Taixun transferred cohabitation</v>
      </c>
      <c r="D3417" s="4" t="s">
        <v>5118</v>
      </c>
      <c r="E3417" s="4">
        <v>0.0</v>
      </c>
      <c r="F3417" s="4">
        <v>16.0</v>
      </c>
      <c r="G3417" s="4" t="s">
        <v>5119</v>
      </c>
    </row>
    <row r="3418">
      <c r="A3418" s="1">
        <v>3416.0</v>
      </c>
      <c r="B3418" s="4" t="s">
        <v>5095</v>
      </c>
      <c r="C3418" s="5" t="str">
        <f>IFERROR(__xludf.DUMMYFUNCTION("GOOGLETRANSLATE(D:D,""auto"",""en"")"),"The unified national high-speed speed limit")</f>
        <v>The unified national high-speed speed limit</v>
      </c>
      <c r="D3418" s="4" t="s">
        <v>5120</v>
      </c>
      <c r="E3418" s="4">
        <v>0.0</v>
      </c>
      <c r="F3418" s="4">
        <v>17.0</v>
      </c>
      <c r="G3418" s="4" t="s">
        <v>5121</v>
      </c>
    </row>
    <row r="3419">
      <c r="A3419" s="1">
        <v>3417.0</v>
      </c>
      <c r="B3419" s="4" t="s">
        <v>5095</v>
      </c>
      <c r="C3419" s="5" t="str">
        <f>IFERROR(__xludf.DUMMYFUNCTION("GOOGLETRANSLATE(D:D,""auto"",""en"")"),"Iran to release 70,000 prisoners")</f>
        <v>Iran to release 70,000 prisoners</v>
      </c>
      <c r="D3419" s="4" t="s">
        <v>5122</v>
      </c>
      <c r="E3419" s="4">
        <v>0.0</v>
      </c>
      <c r="F3419" s="4">
        <v>18.0</v>
      </c>
      <c r="G3419" s="4" t="s">
        <v>5123</v>
      </c>
    </row>
    <row r="3420">
      <c r="A3420" s="1">
        <v>3418.0</v>
      </c>
      <c r="B3420" s="4" t="s">
        <v>5095</v>
      </c>
      <c r="C3420" s="5" t="str">
        <f>IFERROR(__xludf.DUMMYFUNCTION("GOOGLETRANSLATE(D:D,""auto"",""en"")"),"Out of school after the Henan way")</f>
        <v>Out of school after the Henan way</v>
      </c>
      <c r="D3420" s="4" t="s">
        <v>5124</v>
      </c>
      <c r="E3420" s="4">
        <v>0.0</v>
      </c>
      <c r="F3420" s="4">
        <v>19.0</v>
      </c>
      <c r="G3420" s="4" t="s">
        <v>5125</v>
      </c>
    </row>
    <row r="3421">
      <c r="A3421" s="1">
        <v>3419.0</v>
      </c>
      <c r="B3421" s="4" t="s">
        <v>5095</v>
      </c>
      <c r="C3421" s="5" t="str">
        <f>IFERROR(__xludf.DUMMYFUNCTION("GOOGLETRANSLATE(D:D,""auto"",""en"")"),"Satisfy the three conditions school")</f>
        <v>Satisfy the three conditions school</v>
      </c>
      <c r="D3421" s="4" t="s">
        <v>5126</v>
      </c>
      <c r="E3421" s="4">
        <v>0.0</v>
      </c>
      <c r="F3421" s="4">
        <v>20.0</v>
      </c>
      <c r="G3421" s="4" t="s">
        <v>5127</v>
      </c>
    </row>
    <row r="3422">
      <c r="A3422" s="1">
        <v>3420.0</v>
      </c>
      <c r="B3422" s="4" t="s">
        <v>5095</v>
      </c>
      <c r="C3422" s="5" t="str">
        <f>IFERROR(__xludf.DUMMYFUNCTION("GOOGLETRANSLATE(D:D,""auto"",""en"")"),"Wang Ziwen changed a suspected facelift")</f>
        <v>Wang Ziwen changed a suspected facelift</v>
      </c>
      <c r="D3422" s="4" t="s">
        <v>5128</v>
      </c>
      <c r="E3422" s="4">
        <v>0.0</v>
      </c>
      <c r="F3422" s="4">
        <v>21.0</v>
      </c>
      <c r="G3422" s="4" t="s">
        <v>5129</v>
      </c>
    </row>
    <row r="3423">
      <c r="A3423" s="1">
        <v>3421.0</v>
      </c>
      <c r="B3423" s="4" t="s">
        <v>5095</v>
      </c>
      <c r="C3423" s="5" t="str">
        <f>IFERROR(__xludf.DUMMYFUNCTION("GOOGLETRANSLATE(D:D,""auto"",""en"")"),"China will export masks Korea")</f>
        <v>China will export masks Korea</v>
      </c>
      <c r="D3423" s="4" t="s">
        <v>5130</v>
      </c>
      <c r="E3423" s="4">
        <v>0.0</v>
      </c>
      <c r="F3423" s="4">
        <v>22.0</v>
      </c>
      <c r="G3423" s="4" t="s">
        <v>5131</v>
      </c>
    </row>
    <row r="3424">
      <c r="A3424" s="1">
        <v>3422.0</v>
      </c>
      <c r="B3424" s="4" t="s">
        <v>5095</v>
      </c>
      <c r="C3424" s="5" t="str">
        <f>IFERROR(__xludf.DUMMYFUNCTION("GOOGLETRANSLATE(D:D,""auto"",""en"")"),"Dong Jie denied the capacity to remarry women")</f>
        <v>Dong Jie denied the capacity to remarry women</v>
      </c>
      <c r="D3424" s="4" t="s">
        <v>5132</v>
      </c>
      <c r="E3424" s="4">
        <v>0.0</v>
      </c>
      <c r="F3424" s="4">
        <v>23.0</v>
      </c>
      <c r="G3424" s="4" t="s">
        <v>5133</v>
      </c>
    </row>
    <row r="3425">
      <c r="A3425" s="1">
        <v>3423.0</v>
      </c>
      <c r="B3425" s="4" t="s">
        <v>5095</v>
      </c>
      <c r="C3425" s="5" t="str">
        <f>IFERROR(__xludf.DUMMYFUNCTION("GOOGLETRANSLATE(D:D,""auto"",""en"")"),"The Italian funeral parlor hardcore slogan")</f>
        <v>The Italian funeral parlor hardcore slogan</v>
      </c>
      <c r="D3425" s="4" t="s">
        <v>5134</v>
      </c>
      <c r="E3425" s="4">
        <v>0.0</v>
      </c>
      <c r="F3425" s="4">
        <v>24.0</v>
      </c>
      <c r="G3425" s="4" t="s">
        <v>5135</v>
      </c>
    </row>
    <row r="3426">
      <c r="A3426" s="1">
        <v>3424.0</v>
      </c>
      <c r="B3426" s="4" t="s">
        <v>5095</v>
      </c>
      <c r="C3426" s="5" t="str">
        <f>IFERROR(__xludf.DUMMYFUNCTION("GOOGLETRANSLATE(D:D,""auto"",""en"")"),"Fan Bingbing passport exposed")</f>
        <v>Fan Bingbing passport exposed</v>
      </c>
      <c r="D3426" s="4" t="s">
        <v>5021</v>
      </c>
      <c r="E3426" s="4">
        <v>0.0</v>
      </c>
      <c r="F3426" s="4">
        <v>25.0</v>
      </c>
      <c r="G3426" s="4" t="s">
        <v>5022</v>
      </c>
    </row>
    <row r="3427">
      <c r="A3427" s="1">
        <v>3425.0</v>
      </c>
      <c r="B3427" s="4" t="s">
        <v>5095</v>
      </c>
      <c r="C3427" s="5" t="str">
        <f>IFERROR(__xludf.DUMMYFUNCTION("GOOGLETRANSLATE(D:D,""auto"",""en"")"),"Beijing implementation of prevention and control of one person, one policy")</f>
        <v>Beijing implementation of prevention and control of one person, one policy</v>
      </c>
      <c r="D3427" s="4" t="s">
        <v>5136</v>
      </c>
      <c r="E3427" s="4">
        <v>0.0</v>
      </c>
      <c r="F3427" s="4">
        <v>26.0</v>
      </c>
      <c r="G3427" s="4" t="s">
        <v>5137</v>
      </c>
    </row>
    <row r="3428">
      <c r="A3428" s="1">
        <v>3426.0</v>
      </c>
      <c r="B3428" s="4" t="s">
        <v>5095</v>
      </c>
      <c r="C3428" s="5" t="str">
        <f>IFERROR(__xludf.DUMMYFUNCTION("GOOGLETRANSLATE(D:D,""auto"",""en"")"),"New York Governor hate the federal government")</f>
        <v>New York Governor hate the federal government</v>
      </c>
      <c r="D3428" s="4" t="s">
        <v>5138</v>
      </c>
      <c r="E3428" s="4">
        <v>0.0</v>
      </c>
      <c r="F3428" s="4">
        <v>27.0</v>
      </c>
      <c r="G3428" s="4" t="s">
        <v>5139</v>
      </c>
    </row>
    <row r="3429">
      <c r="A3429" s="1">
        <v>3427.0</v>
      </c>
      <c r="B3429" s="4" t="s">
        <v>5095</v>
      </c>
      <c r="C3429" s="5" t="str">
        <f>IFERROR(__xludf.DUMMYFUNCTION("GOOGLETRANSLATE(D:D,""auto"",""en"")"),"Chinese cargo ship attacked by pirates")</f>
        <v>Chinese cargo ship attacked by pirates</v>
      </c>
      <c r="D3429" s="4" t="s">
        <v>5140</v>
      </c>
      <c r="E3429" s="4">
        <v>0.0</v>
      </c>
      <c r="F3429" s="4">
        <v>28.0</v>
      </c>
      <c r="G3429" s="4" t="s">
        <v>5141</v>
      </c>
    </row>
    <row r="3430">
      <c r="A3430" s="1">
        <v>3428.0</v>
      </c>
      <c r="B3430" s="4" t="s">
        <v>5095</v>
      </c>
      <c r="C3430" s="5" t="str">
        <f>IFERROR(__xludf.DUMMYFUNCTION("GOOGLETRANSLATE(D:D,""auto"",""en"")"),"Portuguese President quarantined")</f>
        <v>Portuguese President quarantined</v>
      </c>
      <c r="D3430" s="4" t="s">
        <v>5142</v>
      </c>
      <c r="E3430" s="4">
        <v>0.0</v>
      </c>
      <c r="F3430" s="4">
        <v>29.0</v>
      </c>
      <c r="G3430" s="4" t="s">
        <v>5143</v>
      </c>
    </row>
    <row r="3431">
      <c r="A3431" s="1">
        <v>3429.0</v>
      </c>
      <c r="B3431" s="4" t="s">
        <v>5095</v>
      </c>
      <c r="C3431" s="5" t="str">
        <f>IFERROR(__xludf.DUMMYFUNCTION("GOOGLETRANSLATE(D:D,""auto"",""en"")"),"Korean patients diagnosed before blood donation")</f>
        <v>Korean patients diagnosed before blood donation</v>
      </c>
      <c r="D3431" s="4" t="s">
        <v>5144</v>
      </c>
      <c r="E3431" s="4">
        <v>0.0</v>
      </c>
      <c r="F3431" s="4">
        <v>30.0</v>
      </c>
      <c r="G3431" s="4" t="s">
        <v>5145</v>
      </c>
    </row>
    <row r="3432">
      <c r="A3432" s="1">
        <v>3430.0</v>
      </c>
      <c r="B3432" s="4" t="s">
        <v>5095</v>
      </c>
      <c r="C3432" s="5" t="str">
        <f>IFERROR(__xludf.DUMMYFUNCTION("GOOGLETRANSLATE(D:D,""auto"",""en"")"),"Shanghai Baosteel sudden fire")</f>
        <v>Shanghai Baosteel sudden fire</v>
      </c>
      <c r="D3432" s="4" t="s">
        <v>5146</v>
      </c>
      <c r="E3432" s="4">
        <v>0.0</v>
      </c>
      <c r="F3432" s="4">
        <v>31.0</v>
      </c>
      <c r="G3432" s="4" t="s">
        <v>5147</v>
      </c>
    </row>
    <row r="3433">
      <c r="A3433" s="1">
        <v>3431.0</v>
      </c>
      <c r="B3433" s="4" t="s">
        <v>5095</v>
      </c>
      <c r="C3433" s="5" t="str">
        <f>IFERROR(__xludf.DUMMYFUNCTION("GOOGLETRANSLATE(D:D,""auto"",""en"")"),"Missing cat found after 11 years")</f>
        <v>Missing cat found after 11 years</v>
      </c>
      <c r="D3433" s="4" t="s">
        <v>5069</v>
      </c>
      <c r="E3433" s="4">
        <v>0.0</v>
      </c>
      <c r="F3433" s="4">
        <v>32.0</v>
      </c>
      <c r="G3433" s="4" t="s">
        <v>5070</v>
      </c>
    </row>
    <row r="3434">
      <c r="A3434" s="1">
        <v>3432.0</v>
      </c>
      <c r="B3434" s="4" t="s">
        <v>5095</v>
      </c>
      <c r="C3434" s="5" t="str">
        <f>IFERROR(__xludf.DUMMYFUNCTION("GOOGLETRANSLATE(D:D,""auto"",""en"")"),"Saudi stock market fell over 7%")</f>
        <v>Saudi stock market fell over 7%</v>
      </c>
      <c r="D3434" s="4" t="s">
        <v>5051</v>
      </c>
      <c r="E3434" s="4">
        <v>0.0</v>
      </c>
      <c r="F3434" s="4">
        <v>33.0</v>
      </c>
      <c r="G3434" s="4" t="s">
        <v>5052</v>
      </c>
    </row>
    <row r="3435">
      <c r="A3435" s="1">
        <v>3433.0</v>
      </c>
      <c r="B3435" s="4" t="s">
        <v>5095</v>
      </c>
      <c r="C3435" s="5" t="str">
        <f>IFERROR(__xludf.DUMMYFUNCTION("GOOGLETRANSLATE(D:D,""auto"",""en"")"),"Male neighbor multiplexing unit is then sealed")</f>
        <v>Male neighbor multiplexing unit is then sealed</v>
      </c>
      <c r="D3435" s="4" t="s">
        <v>5148</v>
      </c>
      <c r="E3435" s="4">
        <v>0.0</v>
      </c>
      <c r="F3435" s="4">
        <v>34.0</v>
      </c>
      <c r="G3435" s="4" t="s">
        <v>5149</v>
      </c>
    </row>
    <row r="3436">
      <c r="A3436" s="1">
        <v>3434.0</v>
      </c>
      <c r="B3436" s="4" t="s">
        <v>5095</v>
      </c>
      <c r="C3436" s="5" t="str">
        <f>IFERROR(__xludf.DUMMYFUNCTION("GOOGLETRANSLATE(D:D,""auto"",""en"")"),"The lottery market opening")</f>
        <v>The lottery market opening</v>
      </c>
      <c r="D3436" s="4" t="s">
        <v>5150</v>
      </c>
      <c r="E3436" s="4">
        <v>0.0</v>
      </c>
      <c r="F3436" s="4">
        <v>35.0</v>
      </c>
      <c r="G3436" s="4" t="s">
        <v>5151</v>
      </c>
    </row>
    <row r="3437">
      <c r="A3437" s="1">
        <v>3435.0</v>
      </c>
      <c r="B3437" s="4" t="s">
        <v>5095</v>
      </c>
      <c r="C3437" s="5" t="str">
        <f>IFERROR(__xludf.DUMMYFUNCTION("GOOGLETRANSLATE(D:D,""auto"",""en"")"),"Hubei zoning classification advance")</f>
        <v>Hubei zoning classification advance</v>
      </c>
      <c r="D3437" s="4" t="s">
        <v>5152</v>
      </c>
      <c r="E3437" s="4">
        <v>0.0</v>
      </c>
      <c r="F3437" s="4">
        <v>36.0</v>
      </c>
      <c r="G3437" s="4" t="s">
        <v>5153</v>
      </c>
    </row>
    <row r="3438">
      <c r="A3438" s="1">
        <v>3436.0</v>
      </c>
      <c r="B3438" s="4" t="s">
        <v>5095</v>
      </c>
      <c r="C3438" s="5" t="str">
        <f>IFERROR(__xludf.DUMMYFUNCTION("GOOGLETRANSLATE(D:D,""auto"",""en"")"),"Pull down the mask diagnosed on high-speed rail")</f>
        <v>Pull down the mask diagnosed on high-speed rail</v>
      </c>
      <c r="D3438" s="4" t="s">
        <v>5059</v>
      </c>
      <c r="E3438" s="4">
        <v>0.0</v>
      </c>
      <c r="F3438" s="4">
        <v>37.0</v>
      </c>
      <c r="G3438" s="4" t="s">
        <v>5060</v>
      </c>
    </row>
    <row r="3439">
      <c r="A3439" s="1">
        <v>3437.0</v>
      </c>
      <c r="B3439" s="4" t="s">
        <v>5095</v>
      </c>
      <c r="C3439" s="5" t="str">
        <f>IFERROR(__xludf.DUMMYFUNCTION("GOOGLETRANSLATE(D:D,""auto"",""en"")"),"Collective global stock market slump")</f>
        <v>Collective global stock market slump</v>
      </c>
      <c r="D3439" s="4" t="s">
        <v>5154</v>
      </c>
      <c r="E3439" s="4">
        <v>0.0</v>
      </c>
      <c r="F3439" s="4">
        <v>38.0</v>
      </c>
      <c r="G3439" s="4" t="s">
        <v>5155</v>
      </c>
    </row>
    <row r="3440">
      <c r="A3440" s="1">
        <v>3438.0</v>
      </c>
      <c r="B3440" s="4" t="s">
        <v>5095</v>
      </c>
      <c r="C3440" s="5" t="str">
        <f>IFERROR(__xludf.DUMMYFUNCTION("GOOGLETRANSLATE(D:D,""auto"",""en"")"),"Experts on Chengdu unknown birds")</f>
        <v>Experts on Chengdu unknown birds</v>
      </c>
      <c r="D3440" s="4" t="s">
        <v>5067</v>
      </c>
      <c r="E3440" s="4">
        <v>0.0</v>
      </c>
      <c r="F3440" s="4">
        <v>39.0</v>
      </c>
      <c r="G3440" s="4" t="s">
        <v>5068</v>
      </c>
    </row>
    <row r="3441">
      <c r="A3441" s="1">
        <v>3439.0</v>
      </c>
      <c r="B3441" s="4" t="s">
        <v>5095</v>
      </c>
      <c r="C3441" s="5" t="str">
        <f>IFERROR(__xludf.DUMMYFUNCTION("GOOGLETRANSLATE(D:D,""auto"",""en"")"),"Fan Bingbing back domineering hate friends")</f>
        <v>Fan Bingbing back domineering hate friends</v>
      </c>
      <c r="D3441" s="4" t="s">
        <v>5063</v>
      </c>
      <c r="E3441" s="4">
        <v>0.0</v>
      </c>
      <c r="F3441" s="4">
        <v>40.0</v>
      </c>
      <c r="G3441" s="4" t="s">
        <v>5064</v>
      </c>
    </row>
    <row r="3442">
      <c r="A3442" s="1">
        <v>3440.0</v>
      </c>
      <c r="B3442" s="4" t="s">
        <v>5095</v>
      </c>
      <c r="C3442" s="5" t="str">
        <f>IFERROR(__xludf.DUMMYFUNCTION("GOOGLETRANSLATE(D:D,""auto"",""en"")"),"71-year-old Ying Zi Pan photograph exposed")</f>
        <v>71-year-old Ying Zi Pan photograph exposed</v>
      </c>
      <c r="D3442" s="4" t="s">
        <v>5029</v>
      </c>
      <c r="E3442" s="4">
        <v>0.0</v>
      </c>
      <c r="F3442" s="4">
        <v>41.0</v>
      </c>
      <c r="G3442" s="4" t="s">
        <v>5030</v>
      </c>
    </row>
    <row r="3443">
      <c r="A3443" s="1">
        <v>3441.0</v>
      </c>
      <c r="B3443" s="4" t="s">
        <v>5095</v>
      </c>
      <c r="C3443" s="5" t="str">
        <f>IFERROR(__xludf.DUMMYFUNCTION("GOOGLETRANSLATE(D:D,""auto"",""en"")"),"Li Jiaqi fit Response Photos")</f>
        <v>Li Jiaqi fit Response Photos</v>
      </c>
      <c r="D3443" s="4" t="s">
        <v>5156</v>
      </c>
      <c r="E3443" s="4">
        <v>0.0</v>
      </c>
      <c r="F3443" s="4">
        <v>42.0</v>
      </c>
      <c r="G3443" s="4" t="s">
        <v>5157</v>
      </c>
    </row>
    <row r="3444">
      <c r="A3444" s="1">
        <v>3442.0</v>
      </c>
      <c r="B3444" s="4" t="s">
        <v>5095</v>
      </c>
      <c r="C3444" s="5" t="str">
        <f>IFERROR(__xludf.DUMMYFUNCTION("GOOGLETRANSLATE(D:D,""auto"",""en"")"),"Scientists pro-test a new vaccine crown")</f>
        <v>Scientists pro-test a new vaccine crown</v>
      </c>
      <c r="D3444" s="4" t="s">
        <v>5093</v>
      </c>
      <c r="E3444" s="4">
        <v>0.0</v>
      </c>
      <c r="F3444" s="4">
        <v>43.0</v>
      </c>
      <c r="G3444" s="4" t="s">
        <v>5094</v>
      </c>
    </row>
    <row r="3445">
      <c r="A3445" s="1">
        <v>3443.0</v>
      </c>
      <c r="B3445" s="4" t="s">
        <v>5095</v>
      </c>
      <c r="C3445" s="5" t="str">
        <f>IFERROR(__xludf.DUMMYFUNCTION("GOOGLETRANSLATE(D:D,""auto"",""en"")"),"Hubei issued the first batch of green code")</f>
        <v>Hubei issued the first batch of green code</v>
      </c>
      <c r="D3445" s="4" t="s">
        <v>5055</v>
      </c>
      <c r="E3445" s="4">
        <v>0.0</v>
      </c>
      <c r="F3445" s="4">
        <v>44.0</v>
      </c>
      <c r="G3445" s="4" t="s">
        <v>5056</v>
      </c>
    </row>
    <row r="3446">
      <c r="A3446" s="1">
        <v>3444.0</v>
      </c>
      <c r="B3446" s="4" t="s">
        <v>5095</v>
      </c>
      <c r="C3446" s="5" t="str">
        <f>IFERROR(__xludf.DUMMYFUNCTION("GOOGLETRANSLATE(D:D,""auto"",""en"")"),"Ximeng Yao share married life")</f>
        <v>Ximeng Yao share married life</v>
      </c>
      <c r="D3446" s="4" t="s">
        <v>5158</v>
      </c>
      <c r="E3446" s="4">
        <v>0.0</v>
      </c>
      <c r="F3446" s="4">
        <v>45.0</v>
      </c>
      <c r="G3446" s="4" t="s">
        <v>5159</v>
      </c>
    </row>
    <row r="3447">
      <c r="A3447" s="1">
        <v>3445.0</v>
      </c>
      <c r="B3447" s="4" t="s">
        <v>5095</v>
      </c>
      <c r="C3447" s="5" t="str">
        <f>IFERROR(__xludf.DUMMYFUNCTION("GOOGLETRANSLATE(D:D,""auto"",""en"")"),"Wuhan Tianhe Airport respond")</f>
        <v>Wuhan Tianhe Airport respond</v>
      </c>
      <c r="D3447" s="4" t="s">
        <v>5160</v>
      </c>
      <c r="E3447" s="4">
        <v>0.0</v>
      </c>
      <c r="F3447" s="4">
        <v>46.0</v>
      </c>
      <c r="G3447" s="4" t="s">
        <v>5161</v>
      </c>
    </row>
    <row r="3448">
      <c r="A3448" s="1">
        <v>3446.0</v>
      </c>
      <c r="B3448" s="4" t="s">
        <v>5095</v>
      </c>
      <c r="C3448" s="5" t="str">
        <f>IFERROR(__xludf.DUMMYFUNCTION("GOOGLETRANSLATE(D:D,""auto"",""en"")"),"Sun Yang teacher Dennis home")</f>
        <v>Sun Yang teacher Dennis home</v>
      </c>
      <c r="D3448" s="4" t="s">
        <v>5015</v>
      </c>
      <c r="E3448" s="4">
        <v>0.0</v>
      </c>
      <c r="F3448" s="4">
        <v>47.0</v>
      </c>
      <c r="G3448" s="4" t="s">
        <v>5016</v>
      </c>
    </row>
    <row r="3449">
      <c r="A3449" s="1">
        <v>3447.0</v>
      </c>
      <c r="B3449" s="4" t="s">
        <v>5095</v>
      </c>
      <c r="C3449" s="5" t="str">
        <f>IFERROR(__xludf.DUMMYFUNCTION("GOOGLETRANSLATE(D:D,""auto"",""en"")"),"Thousands of people staged a march in Berlin")</f>
        <v>Thousands of people staged a march in Berlin</v>
      </c>
      <c r="D3449" s="4" t="s">
        <v>5033</v>
      </c>
      <c r="E3449" s="4">
        <v>0.0</v>
      </c>
      <c r="F3449" s="4">
        <v>48.0</v>
      </c>
      <c r="G3449" s="4" t="s">
        <v>5034</v>
      </c>
    </row>
    <row r="3450">
      <c r="A3450" s="1">
        <v>3448.0</v>
      </c>
      <c r="B3450" s="4" t="s">
        <v>5095</v>
      </c>
      <c r="C3450" s="5" t="str">
        <f>IFERROR(__xludf.DUMMYFUNCTION("GOOGLETRANSLATE(D:D,""auto"",""en"")"),"Existing diagnosed 20,000 or less")</f>
        <v>Existing diagnosed 20,000 or less</v>
      </c>
      <c r="D3450" s="4" t="s">
        <v>5162</v>
      </c>
      <c r="E3450" s="4">
        <v>0.0</v>
      </c>
      <c r="F3450" s="4">
        <v>49.0</v>
      </c>
      <c r="G3450" s="4" t="s">
        <v>5163</v>
      </c>
    </row>
    <row r="3451">
      <c r="A3451" s="1">
        <v>3449.0</v>
      </c>
      <c r="B3451" s="4" t="s">
        <v>5095</v>
      </c>
      <c r="C3451" s="5" t="str">
        <f>IFERROR(__xludf.DUMMYFUNCTION("GOOGLETRANSLATE(D:D,""auto"",""en"")"),"Yang Zi wear protective style appeared")</f>
        <v>Yang Zi wear protective style appeared</v>
      </c>
      <c r="D3451" s="4" t="s">
        <v>5164</v>
      </c>
      <c r="E3451" s="4">
        <v>0.0</v>
      </c>
      <c r="F3451" s="4">
        <v>50.0</v>
      </c>
      <c r="G3451" s="4" t="s">
        <v>5165</v>
      </c>
    </row>
    <row r="3452">
      <c r="A3452" s="1">
        <v>3450.0</v>
      </c>
      <c r="B3452" s="4" t="s">
        <v>5166</v>
      </c>
      <c r="C3452" s="5" t="str">
        <f>IFERROR(__xludf.DUMMYFUNCTION("GOOGLETRANSLATE(D:D,""auto"",""en"")"),"Satisfy the three conditions school")</f>
        <v>Satisfy the three conditions school</v>
      </c>
      <c r="D3452" s="4" t="s">
        <v>5126</v>
      </c>
      <c r="E3452" s="4">
        <v>0.0</v>
      </c>
      <c r="F3452" s="4">
        <v>1.0</v>
      </c>
      <c r="G3452" s="4" t="s">
        <v>5127</v>
      </c>
    </row>
    <row r="3453">
      <c r="A3453" s="1">
        <v>3451.0</v>
      </c>
      <c r="B3453" s="4" t="s">
        <v>5166</v>
      </c>
      <c r="C3453" s="5" t="str">
        <f>IFERROR(__xludf.DUMMYFUNCTION("GOOGLETRANSLATE(D:D,""auto"",""en"")"),"Italy closed city of people to flee")</f>
        <v>Italy closed city of people to flee</v>
      </c>
      <c r="D3453" s="4" t="s">
        <v>5167</v>
      </c>
      <c r="E3453" s="4">
        <v>0.0</v>
      </c>
      <c r="F3453" s="4">
        <v>2.0</v>
      </c>
      <c r="G3453" s="4" t="s">
        <v>5168</v>
      </c>
    </row>
    <row r="3454">
      <c r="A3454" s="1">
        <v>3452.0</v>
      </c>
      <c r="B3454" s="4" t="s">
        <v>5166</v>
      </c>
      <c r="C3454" s="5" t="str">
        <f>IFERROR(__xludf.DUMMYFUNCTION("GOOGLETRANSLATE(D:D,""auto"",""en"")"),"The Italian funeral parlor hardcore slogan")</f>
        <v>The Italian funeral parlor hardcore slogan</v>
      </c>
      <c r="D3454" s="4" t="s">
        <v>5134</v>
      </c>
      <c r="E3454" s="4">
        <v>0.0</v>
      </c>
      <c r="F3454" s="4">
        <v>3.0</v>
      </c>
      <c r="G3454" s="4" t="s">
        <v>5135</v>
      </c>
    </row>
    <row r="3455">
      <c r="A3455" s="1">
        <v>3453.0</v>
      </c>
      <c r="B3455" s="4" t="s">
        <v>5166</v>
      </c>
      <c r="C3455" s="5" t="str">
        <f>IFERROR(__xludf.DUMMYFUNCTION("GOOGLETRANSLATE(D:D,""auto"",""en"")"),"Hubei zoning classification advance")</f>
        <v>Hubei zoning classification advance</v>
      </c>
      <c r="D3455" s="4" t="s">
        <v>5152</v>
      </c>
      <c r="E3455" s="4">
        <v>0.0</v>
      </c>
      <c r="F3455" s="4">
        <v>4.0</v>
      </c>
      <c r="G3455" s="4" t="s">
        <v>5153</v>
      </c>
    </row>
    <row r="3456">
      <c r="A3456" s="1">
        <v>3454.0</v>
      </c>
      <c r="B3456" s="4" t="s">
        <v>5166</v>
      </c>
      <c r="C3456" s="5" t="str">
        <f>IFERROR(__xludf.DUMMYFUNCTION("GOOGLETRANSLATE(D:D,""auto"",""en"")"),"RNG to defeat TES")</f>
        <v>RNG to defeat TES</v>
      </c>
      <c r="D3456" s="4" t="s">
        <v>5169</v>
      </c>
      <c r="E3456" s="4">
        <v>0.0</v>
      </c>
      <c r="F3456" s="4">
        <v>5.0</v>
      </c>
      <c r="G3456" s="4" t="s">
        <v>5170</v>
      </c>
    </row>
    <row r="3457">
      <c r="A3457" s="1">
        <v>3455.0</v>
      </c>
      <c r="B3457" s="4" t="s">
        <v>5166</v>
      </c>
      <c r="C3457" s="5" t="str">
        <f>IFERROR(__xludf.DUMMYFUNCTION("GOOGLETRANSLATE(D:D,""auto"",""en"")"),"The biggest decline in 30 years, oil prices")</f>
        <v>The biggest decline in 30 years, oil prices</v>
      </c>
      <c r="D3457" s="4" t="s">
        <v>5171</v>
      </c>
      <c r="E3457" s="4">
        <v>0.0</v>
      </c>
      <c r="F3457" s="4">
        <v>6.0</v>
      </c>
      <c r="G3457" s="4" t="s">
        <v>5172</v>
      </c>
    </row>
    <row r="3458">
      <c r="A3458" s="1">
        <v>3456.0</v>
      </c>
      <c r="B3458" s="4" t="s">
        <v>5166</v>
      </c>
      <c r="C3458" s="5" t="str">
        <f>IFERROR(__xludf.DUMMYFUNCTION("GOOGLETRANSLATE(D:D,""auto"",""en"")"),"Oil is expected to return 5 yuan")</f>
        <v>Oil is expected to return 5 yuan</v>
      </c>
      <c r="D3458" s="4" t="s">
        <v>5173</v>
      </c>
      <c r="E3458" s="4">
        <v>0.0</v>
      </c>
      <c r="F3458" s="4">
        <v>7.0</v>
      </c>
      <c r="G3458" s="4" t="s">
        <v>5174</v>
      </c>
    </row>
    <row r="3459">
      <c r="A3459" s="1">
        <v>3457.0</v>
      </c>
      <c r="B3459" s="4" t="s">
        <v>5166</v>
      </c>
      <c r="C3459" s="5" t="str">
        <f>IFERROR(__xludf.DUMMYFUNCTION("GOOGLETRANSLATE(D:D,""auto"",""en"")"),"Japan emergency bill")</f>
        <v>Japan emergency bill</v>
      </c>
      <c r="D3459" s="4" t="s">
        <v>5175</v>
      </c>
      <c r="E3459" s="4">
        <v>0.0</v>
      </c>
      <c r="F3459" s="4">
        <v>8.0</v>
      </c>
      <c r="G3459" s="4" t="s">
        <v>5176</v>
      </c>
    </row>
    <row r="3460">
      <c r="A3460" s="1">
        <v>3458.0</v>
      </c>
      <c r="B3460" s="4" t="s">
        <v>5166</v>
      </c>
      <c r="C3460" s="5" t="str">
        <f>IFERROR(__xludf.DUMMYFUNCTION("GOOGLETRANSLATE(D:D,""auto"",""en"")"),"Miao Miao Zheng Kai appeared Hospital")</f>
        <v>Miao Miao Zheng Kai appeared Hospital</v>
      </c>
      <c r="D3460" s="4" t="s">
        <v>5177</v>
      </c>
      <c r="E3460" s="4">
        <v>0.0</v>
      </c>
      <c r="F3460" s="4">
        <v>9.0</v>
      </c>
      <c r="G3460" s="4" t="s">
        <v>5178</v>
      </c>
    </row>
    <row r="3461">
      <c r="A3461" s="1">
        <v>3459.0</v>
      </c>
      <c r="B3461" s="4" t="s">
        <v>5166</v>
      </c>
      <c r="C3461" s="5" t="str">
        <f>IFERROR(__xludf.DUMMYFUNCTION("GOOGLETRANSLATE(D:D,""auto"",""en"")"),"Shijiazhuang Chemical Industry Park Explosion")</f>
        <v>Shijiazhuang Chemical Industry Park Explosion</v>
      </c>
      <c r="D3461" s="4" t="s">
        <v>5179</v>
      </c>
      <c r="E3461" s="4">
        <v>0.0</v>
      </c>
      <c r="F3461" s="4">
        <v>10.0</v>
      </c>
      <c r="G3461" s="4" t="s">
        <v>5180</v>
      </c>
    </row>
    <row r="3462">
      <c r="A3462" s="1">
        <v>3460.0</v>
      </c>
      <c r="B3462" s="4" t="s">
        <v>5166</v>
      </c>
      <c r="C3462" s="5" t="str">
        <f>IFERROR(__xludf.DUMMYFUNCTION("GOOGLETRANSLATE(D:D,""auto"",""en"")"),"US stocks triggered fuse mechanism")</f>
        <v>US stocks triggered fuse mechanism</v>
      </c>
      <c r="D3462" s="4" t="s">
        <v>5181</v>
      </c>
      <c r="E3462" s="4">
        <v>0.0</v>
      </c>
      <c r="F3462" s="4">
        <v>11.0</v>
      </c>
      <c r="G3462" s="4" t="s">
        <v>5182</v>
      </c>
    </row>
    <row r="3463">
      <c r="A3463" s="1">
        <v>3461.0</v>
      </c>
      <c r="B3463" s="4" t="s">
        <v>5166</v>
      </c>
      <c r="C3463" s="5" t="str">
        <f>IFERROR(__xludf.DUMMYFUNCTION("GOOGLETRANSLATE(D:D,""auto"",""en"")"),"Global epidemic threat")</f>
        <v>Global epidemic threat</v>
      </c>
      <c r="D3463" s="4" t="s">
        <v>5183</v>
      </c>
      <c r="E3463" s="4">
        <v>0.0</v>
      </c>
      <c r="F3463" s="4">
        <v>12.0</v>
      </c>
      <c r="G3463" s="4" t="s">
        <v>5184</v>
      </c>
    </row>
    <row r="3464">
      <c r="A3464" s="1">
        <v>3462.0</v>
      </c>
      <c r="B3464" s="4" t="s">
        <v>5166</v>
      </c>
      <c r="C3464" s="5" t="str">
        <f>IFERROR(__xludf.DUMMYFUNCTION("GOOGLETRANSLATE(D:D,""auto"",""en"")"),"Live seafood market uninfected")</f>
        <v>Live seafood market uninfected</v>
      </c>
      <c r="D3464" s="4" t="s">
        <v>5185</v>
      </c>
      <c r="E3464" s="4">
        <v>0.0</v>
      </c>
      <c r="F3464" s="4">
        <v>13.0</v>
      </c>
      <c r="G3464" s="4" t="s">
        <v>5186</v>
      </c>
    </row>
    <row r="3465">
      <c r="A3465" s="1">
        <v>3463.0</v>
      </c>
      <c r="B3465" s="4" t="s">
        <v>5166</v>
      </c>
      <c r="C3465" s="5" t="str">
        <f>IFERROR(__xludf.DUMMYFUNCTION("GOOGLETRANSLATE(D:D,""auto"",""en"")"),"Some people may pass Hubei province")</f>
        <v>Some people may pass Hubei province</v>
      </c>
      <c r="D3465" s="4" t="s">
        <v>5187</v>
      </c>
      <c r="E3465" s="4">
        <v>0.0</v>
      </c>
      <c r="F3465" s="4">
        <v>14.0</v>
      </c>
      <c r="G3465" s="4" t="s">
        <v>5188</v>
      </c>
    </row>
    <row r="3466">
      <c r="A3466" s="1">
        <v>3464.0</v>
      </c>
      <c r="B3466" s="4" t="s">
        <v>5166</v>
      </c>
      <c r="C3466" s="5" t="str">
        <f>IFERROR(__xludf.DUMMYFUNCTION("GOOGLETRANSLATE(D:D,""auto"",""en"")"),"Wenna pregnant belly wedding")</f>
        <v>Wenna pregnant belly wedding</v>
      </c>
      <c r="D3466" s="4" t="s">
        <v>5189</v>
      </c>
      <c r="E3466" s="4">
        <v>0.0</v>
      </c>
      <c r="F3466" s="4">
        <v>15.0</v>
      </c>
      <c r="G3466" s="4" t="s">
        <v>5190</v>
      </c>
    </row>
    <row r="3467">
      <c r="A3467" s="1">
        <v>3465.0</v>
      </c>
      <c r="B3467" s="4" t="s">
        <v>5166</v>
      </c>
      <c r="C3467" s="5" t="str">
        <f>IFERROR(__xludf.DUMMYFUNCTION("GOOGLETRANSLATE(D:D,""auto"",""en"")"),"Many provinces school term timetable")</f>
        <v>Many provinces school term timetable</v>
      </c>
      <c r="D3467" s="4" t="s">
        <v>5191</v>
      </c>
      <c r="E3467" s="4">
        <v>0.0</v>
      </c>
      <c r="F3467" s="4">
        <v>16.0</v>
      </c>
      <c r="G3467" s="4" t="s">
        <v>5192</v>
      </c>
    </row>
    <row r="3468">
      <c r="A3468" s="1">
        <v>3466.0</v>
      </c>
      <c r="B3468" s="4" t="s">
        <v>5166</v>
      </c>
      <c r="C3468" s="5" t="str">
        <f>IFERROR(__xludf.DUMMYFUNCTION("GOOGLETRANSLATE(D:D,""auto"",""en"")"),"The hotel has been rescued 59 people collapse")</f>
        <v>The hotel has been rescued 59 people collapse</v>
      </c>
      <c r="D3468" s="4" t="s">
        <v>5193</v>
      </c>
      <c r="E3468" s="4">
        <v>0.0</v>
      </c>
      <c r="F3468" s="4">
        <v>17.0</v>
      </c>
      <c r="G3468" s="4" t="s">
        <v>5194</v>
      </c>
    </row>
    <row r="3469">
      <c r="A3469" s="1">
        <v>3467.0</v>
      </c>
      <c r="B3469" s="4" t="s">
        <v>5166</v>
      </c>
      <c r="C3469" s="5" t="str">
        <f>IFERROR(__xludf.DUMMYFUNCTION("GOOGLETRANSLATE(D:D,""auto"",""en"")"),"Wuhan shelter all off cabin")</f>
        <v>Wuhan shelter all off cabin</v>
      </c>
      <c r="D3469" s="4" t="s">
        <v>5195</v>
      </c>
      <c r="E3469" s="4">
        <v>0.0</v>
      </c>
      <c r="F3469" s="4">
        <v>18.0</v>
      </c>
      <c r="G3469" s="4" t="s">
        <v>5196</v>
      </c>
    </row>
    <row r="3470">
      <c r="A3470" s="1">
        <v>3468.0</v>
      </c>
      <c r="B3470" s="4" t="s">
        <v>5166</v>
      </c>
      <c r="C3470" s="5" t="str">
        <f>IFERROR(__xludf.DUMMYFUNCTION("GOOGLETRANSLATE(D:D,""auto"",""en"")"),"Ministry Tesla interviews")</f>
        <v>Ministry Tesla interviews</v>
      </c>
      <c r="D3470" s="4" t="s">
        <v>5197</v>
      </c>
      <c r="E3470" s="4">
        <v>0.0</v>
      </c>
      <c r="F3470" s="4">
        <v>19.0</v>
      </c>
      <c r="G3470" s="4" t="s">
        <v>5198</v>
      </c>
    </row>
    <row r="3471">
      <c r="A3471" s="1">
        <v>3469.0</v>
      </c>
      <c r="B3471" s="4" t="s">
        <v>5166</v>
      </c>
      <c r="C3471" s="5" t="str">
        <f>IFERROR(__xludf.DUMMYFUNCTION("GOOGLETRANSLATE(D:D,""auto"",""en"")"),"Quanzhou hotel list of victims")</f>
        <v>Quanzhou hotel list of victims</v>
      </c>
      <c r="D3471" s="4" t="s">
        <v>5199</v>
      </c>
      <c r="E3471" s="4">
        <v>0.0</v>
      </c>
      <c r="F3471" s="4">
        <v>20.0</v>
      </c>
      <c r="G3471" s="4" t="s">
        <v>5200</v>
      </c>
    </row>
    <row r="3472">
      <c r="A3472" s="1">
        <v>3470.0</v>
      </c>
      <c r="B3472" s="4" t="s">
        <v>5166</v>
      </c>
      <c r="C3472" s="5" t="str">
        <f>IFERROR(__xludf.DUMMYFUNCTION("GOOGLETRANSLATE(D:D,""auto"",""en"")"),"WHO epidemic talk about China")</f>
        <v>WHO epidemic talk about China</v>
      </c>
      <c r="D3472" s="4" t="s">
        <v>5201</v>
      </c>
      <c r="E3472" s="4">
        <v>0.0</v>
      </c>
      <c r="F3472" s="4">
        <v>21.0</v>
      </c>
      <c r="G3472" s="4" t="s">
        <v>5202</v>
      </c>
    </row>
    <row r="3473">
      <c r="A3473" s="1">
        <v>3471.0</v>
      </c>
      <c r="B3473" s="4" t="s">
        <v>5166</v>
      </c>
      <c r="C3473" s="5" t="str">
        <f>IFERROR(__xludf.DUMMYFUNCTION("GOOGLETRANSLATE(D:D,""auto"",""en"")"),"Man rescued collapsed 68 hours")</f>
        <v>Man rescued collapsed 68 hours</v>
      </c>
      <c r="D3473" s="4" t="s">
        <v>5203</v>
      </c>
      <c r="E3473" s="4">
        <v>0.0</v>
      </c>
      <c r="F3473" s="4">
        <v>22.0</v>
      </c>
      <c r="G3473" s="4" t="s">
        <v>5204</v>
      </c>
    </row>
    <row r="3474">
      <c r="A3474" s="1">
        <v>3472.0</v>
      </c>
      <c r="B3474" s="4" t="s">
        <v>5166</v>
      </c>
      <c r="C3474" s="5" t="str">
        <f>IFERROR(__xludf.DUMMYFUNCTION("GOOGLETRANSLATE(D:D,""auto"",""en"")"),"27 people infected with the Korean office")</f>
        <v>27 people infected with the Korean office</v>
      </c>
      <c r="D3474" s="4" t="s">
        <v>5205</v>
      </c>
      <c r="E3474" s="4">
        <v>0.0</v>
      </c>
      <c r="F3474" s="4">
        <v>23.0</v>
      </c>
      <c r="G3474" s="4" t="s">
        <v>5206</v>
      </c>
    </row>
    <row r="3475">
      <c r="A3475" s="1">
        <v>3473.0</v>
      </c>
      <c r="B3475" s="4" t="s">
        <v>5166</v>
      </c>
      <c r="C3475" s="5" t="str">
        <f>IFERROR(__xludf.DUMMYFUNCTION("GOOGLETRANSLATE(D:D,""auto"",""en"")"),"Cecilia was off the plane exposure")</f>
        <v>Cecilia was off the plane exposure</v>
      </c>
      <c r="D3475" s="4" t="s">
        <v>5207</v>
      </c>
      <c r="E3475" s="4">
        <v>0.0</v>
      </c>
      <c r="F3475" s="4">
        <v>24.0</v>
      </c>
      <c r="G3475" s="4" t="s">
        <v>5208</v>
      </c>
    </row>
    <row r="3476">
      <c r="A3476" s="1">
        <v>3474.0</v>
      </c>
      <c r="B3476" s="4" t="s">
        <v>5166</v>
      </c>
      <c r="C3476" s="5" t="str">
        <f>IFERROR(__xludf.DUMMYFUNCTION("GOOGLETRANSLATE(D:D,""auto"",""en"")"),"Babe rescue dogs infected limbs")</f>
        <v>Babe rescue dogs infected limbs</v>
      </c>
      <c r="D3476" s="4" t="s">
        <v>5209</v>
      </c>
      <c r="E3476" s="4">
        <v>0.0</v>
      </c>
      <c r="F3476" s="4">
        <v>25.0</v>
      </c>
      <c r="G3476" s="4" t="s">
        <v>5210</v>
      </c>
    </row>
    <row r="3477">
      <c r="A3477" s="1">
        <v>3475.0</v>
      </c>
      <c r="B3477" s="4" t="s">
        <v>5166</v>
      </c>
      <c r="C3477" s="5" t="str">
        <f>IFERROR(__xludf.DUMMYFUNCTION("GOOGLETRANSLATE(D:D,""auto"",""en"")"),"South Korea 64 mass infection")</f>
        <v>South Korea 64 mass infection</v>
      </c>
      <c r="D3477" s="4" t="s">
        <v>5211</v>
      </c>
      <c r="E3477" s="4">
        <v>0.0</v>
      </c>
      <c r="F3477" s="4">
        <v>26.0</v>
      </c>
      <c r="G3477" s="4" t="s">
        <v>5212</v>
      </c>
    </row>
    <row r="3478">
      <c r="A3478" s="1">
        <v>3476.0</v>
      </c>
      <c r="B3478" s="4" t="s">
        <v>5166</v>
      </c>
      <c r="C3478" s="5" t="str">
        <f>IFERROR(__xludf.DUMMYFUNCTION("GOOGLETRANSLATE(D:D,""auto"",""en"")"),"The lottery market opening")</f>
        <v>The lottery market opening</v>
      </c>
      <c r="D3478" s="4" t="s">
        <v>5150</v>
      </c>
      <c r="E3478" s="4">
        <v>0.0</v>
      </c>
      <c r="F3478" s="4">
        <v>27.0</v>
      </c>
      <c r="G3478" s="4" t="s">
        <v>5151</v>
      </c>
    </row>
    <row r="3479">
      <c r="A3479" s="1">
        <v>3477.0</v>
      </c>
      <c r="B3479" s="4" t="s">
        <v>5166</v>
      </c>
      <c r="C3479" s="5" t="str">
        <f>IFERROR(__xludf.DUMMYFUNCTION("GOOGLETRANSLATE(D:D,""auto"",""en"")"),"Wang Ziwen changed a suspected facelift")</f>
        <v>Wang Ziwen changed a suspected facelift</v>
      </c>
      <c r="D3479" s="4" t="s">
        <v>5128</v>
      </c>
      <c r="E3479" s="4">
        <v>0.0</v>
      </c>
      <c r="F3479" s="4">
        <v>28.0</v>
      </c>
      <c r="G3479" s="4" t="s">
        <v>5129</v>
      </c>
    </row>
    <row r="3480">
      <c r="A3480" s="1">
        <v>3478.0</v>
      </c>
      <c r="B3480" s="4" t="s">
        <v>5166</v>
      </c>
      <c r="C3480" s="5" t="str">
        <f>IFERROR(__xludf.DUMMYFUNCTION("GOOGLETRANSLATE(D:D,""auto"",""en"")"),"Dong Jie denied the capacity to remarry women")</f>
        <v>Dong Jie denied the capacity to remarry women</v>
      </c>
      <c r="D3480" s="4" t="s">
        <v>5132</v>
      </c>
      <c r="E3480" s="4">
        <v>0.0</v>
      </c>
      <c r="F3480" s="4">
        <v>29.0</v>
      </c>
      <c r="G3480" s="4" t="s">
        <v>5133</v>
      </c>
    </row>
    <row r="3481">
      <c r="A3481" s="1">
        <v>3479.0</v>
      </c>
      <c r="B3481" s="4" t="s">
        <v>5166</v>
      </c>
      <c r="C3481" s="5" t="str">
        <f>IFERROR(__xludf.DUMMYFUNCTION("GOOGLETRANSLATE(D:D,""auto"",""en"")"),"Zhang Weili grateful Marbury")</f>
        <v>Zhang Weili grateful Marbury</v>
      </c>
      <c r="D3481" s="4" t="s">
        <v>5213</v>
      </c>
      <c r="E3481" s="4">
        <v>0.0</v>
      </c>
      <c r="F3481" s="4">
        <v>30.0</v>
      </c>
      <c r="G3481" s="4" t="s">
        <v>5214</v>
      </c>
    </row>
    <row r="3482">
      <c r="A3482" s="1">
        <v>3480.0</v>
      </c>
      <c r="B3482" s="4" t="s">
        <v>5166</v>
      </c>
      <c r="C3482" s="5" t="str">
        <f>IFERROR(__xludf.DUMMYFUNCTION("GOOGLETRANSLATE(D:D,""auto"",""en"")"),"China will export masks Korea")</f>
        <v>China will export masks Korea</v>
      </c>
      <c r="D3482" s="4" t="s">
        <v>5130</v>
      </c>
      <c r="E3482" s="4">
        <v>0.0</v>
      </c>
      <c r="F3482" s="4">
        <v>31.0</v>
      </c>
      <c r="G3482" s="4" t="s">
        <v>5131</v>
      </c>
    </row>
    <row r="3483">
      <c r="A3483" s="1">
        <v>3481.0</v>
      </c>
      <c r="B3483" s="4" t="s">
        <v>5166</v>
      </c>
      <c r="C3483" s="5" t="str">
        <f>IFERROR(__xludf.DUMMYFUNCTION("GOOGLETRANSLATE(D:D,""auto"",""en"")"),"54 Beidou satellite launch")</f>
        <v>54 Beidou satellite launch</v>
      </c>
      <c r="D3483" s="4" t="s">
        <v>5215</v>
      </c>
      <c r="E3483" s="4">
        <v>0.0</v>
      </c>
      <c r="F3483" s="4">
        <v>32.0</v>
      </c>
      <c r="G3483" s="4" t="s">
        <v>5216</v>
      </c>
    </row>
    <row r="3484">
      <c r="A3484" s="1">
        <v>3482.0</v>
      </c>
      <c r="B3484" s="4" t="s">
        <v>5166</v>
      </c>
      <c r="C3484" s="5" t="str">
        <f>IFERROR(__xludf.DUMMYFUNCTION("GOOGLETRANSLATE(D:D,""auto"",""en"")"),"Italy 20 people escape")</f>
        <v>Italy 20 people escape</v>
      </c>
      <c r="D3484" s="4" t="s">
        <v>5217</v>
      </c>
      <c r="E3484" s="4">
        <v>0.0</v>
      </c>
      <c r="F3484" s="4">
        <v>33.0</v>
      </c>
      <c r="G3484" s="4" t="s">
        <v>5218</v>
      </c>
    </row>
    <row r="3485">
      <c r="A3485" s="1">
        <v>3483.0</v>
      </c>
      <c r="B3485" s="4" t="s">
        <v>5166</v>
      </c>
      <c r="C3485" s="5" t="str">
        <f>IFERROR(__xludf.DUMMYFUNCTION("GOOGLETRANSLATE(D:D,""auto"",""en"")"),"Huawei will encounter for the first time negative growth")</f>
        <v>Huawei will encounter for the first time negative growth</v>
      </c>
      <c r="D3485" s="4" t="s">
        <v>5219</v>
      </c>
      <c r="E3485" s="4">
        <v>0.0</v>
      </c>
      <c r="F3485" s="4">
        <v>34.0</v>
      </c>
      <c r="G3485" s="4" t="s">
        <v>5220</v>
      </c>
    </row>
    <row r="3486">
      <c r="A3486" s="1">
        <v>3484.0</v>
      </c>
      <c r="B3486" s="4" t="s">
        <v>5166</v>
      </c>
      <c r="C3486" s="5" t="str">
        <f>IFERROR(__xludf.DUMMYFUNCTION("GOOGLETRANSLATE(D:D,""auto"",""en"")"),"Vietnam's new crown comeback")</f>
        <v>Vietnam's new crown comeback</v>
      </c>
      <c r="D3486" s="4" t="s">
        <v>5221</v>
      </c>
      <c r="E3486" s="4">
        <v>0.0</v>
      </c>
      <c r="F3486" s="4">
        <v>35.0</v>
      </c>
      <c r="G3486" s="4" t="s">
        <v>5222</v>
      </c>
    </row>
    <row r="3487">
      <c r="A3487" s="1">
        <v>3485.0</v>
      </c>
      <c r="B3487" s="4" t="s">
        <v>5166</v>
      </c>
      <c r="C3487" s="5" t="str">
        <f>IFERROR(__xludf.DUMMYFUNCTION("GOOGLETRANSLATE(D:D,""auto"",""en"")"),"SOHO China announced the suspension of license")</f>
        <v>SOHO China announced the suspension of license</v>
      </c>
      <c r="D3487" s="4" t="s">
        <v>5223</v>
      </c>
      <c r="E3487" s="4">
        <v>0.0</v>
      </c>
      <c r="F3487" s="4">
        <v>36.0</v>
      </c>
      <c r="G3487" s="4" t="s">
        <v>5224</v>
      </c>
    </row>
    <row r="3488">
      <c r="A3488" s="1">
        <v>3486.0</v>
      </c>
      <c r="B3488" s="4" t="s">
        <v>5166</v>
      </c>
      <c r="C3488" s="5" t="str">
        <f>IFERROR(__xludf.DUMMYFUNCTION("GOOGLETRANSLATE(D:D,""auto"",""en"")"),"Zhang Weili talk about the status quo Joanna")</f>
        <v>Zhang Weili talk about the status quo Joanna</v>
      </c>
      <c r="D3488" s="4" t="s">
        <v>5225</v>
      </c>
      <c r="E3488" s="4">
        <v>0.0</v>
      </c>
      <c r="F3488" s="4">
        <v>37.0</v>
      </c>
      <c r="G3488" s="4" t="s">
        <v>5226</v>
      </c>
    </row>
    <row r="3489">
      <c r="A3489" s="1">
        <v>3487.0</v>
      </c>
      <c r="B3489" s="4" t="s">
        <v>5166</v>
      </c>
      <c r="C3489" s="5" t="str">
        <f>IFERROR(__xludf.DUMMYFUNCTION("GOOGLETRANSLATE(D:D,""auto"",""en"")"),"Collective global stock market slump")</f>
        <v>Collective global stock market slump</v>
      </c>
      <c r="D3489" s="4" t="s">
        <v>5154</v>
      </c>
      <c r="E3489" s="4">
        <v>0.0</v>
      </c>
      <c r="F3489" s="4">
        <v>38.0</v>
      </c>
      <c r="G3489" s="4" t="s">
        <v>5155</v>
      </c>
    </row>
    <row r="3490">
      <c r="A3490" s="1">
        <v>3488.0</v>
      </c>
      <c r="B3490" s="4" t="s">
        <v>5166</v>
      </c>
      <c r="C3490" s="5" t="str">
        <f>IFERROR(__xludf.DUMMYFUNCTION("GOOGLETRANSLATE(D:D,""auto"",""en"")"),"Exposure Liuyao Wen is mounted tracker")</f>
        <v>Exposure Liuyao Wen is mounted tracker</v>
      </c>
      <c r="D3490" s="4" t="s">
        <v>5227</v>
      </c>
      <c r="E3490" s="4">
        <v>0.0</v>
      </c>
      <c r="F3490" s="4">
        <v>39.0</v>
      </c>
      <c r="G3490" s="4" t="s">
        <v>5228</v>
      </c>
    </row>
    <row r="3491">
      <c r="A3491" s="1">
        <v>3489.0</v>
      </c>
      <c r="B3491" s="4" t="s">
        <v>5166</v>
      </c>
      <c r="C3491" s="5" t="str">
        <f>IFERROR(__xludf.DUMMYFUNCTION("GOOGLETRANSLATE(D:D,""auto"",""en"")"),"Italian National closed city")</f>
        <v>Italian National closed city</v>
      </c>
      <c r="D3491" s="4" t="s">
        <v>5229</v>
      </c>
      <c r="E3491" s="4">
        <v>0.0</v>
      </c>
      <c r="F3491" s="4">
        <v>40.0</v>
      </c>
      <c r="G3491" s="4" t="s">
        <v>5230</v>
      </c>
    </row>
    <row r="3492">
      <c r="A3492" s="1">
        <v>3490.0</v>
      </c>
      <c r="B3492" s="4" t="s">
        <v>5166</v>
      </c>
      <c r="C3492" s="5" t="str">
        <f>IFERROR(__xludf.DUMMYFUNCTION("GOOGLETRANSLATE(D:D,""auto"",""en"")"),"Mother and son trapped were rescued 52 hours")</f>
        <v>Mother and son trapped were rescued 52 hours</v>
      </c>
      <c r="D3492" s="4" t="s">
        <v>5231</v>
      </c>
      <c r="E3492" s="4">
        <v>0.0</v>
      </c>
      <c r="F3492" s="4">
        <v>41.0</v>
      </c>
      <c r="G3492" s="4" t="s">
        <v>5232</v>
      </c>
    </row>
    <row r="3493">
      <c r="A3493" s="1">
        <v>3491.0</v>
      </c>
      <c r="B3493" s="4" t="s">
        <v>5166</v>
      </c>
      <c r="C3493" s="5" t="str">
        <f>IFERROR(__xludf.DUMMYFUNCTION("GOOGLETRANSLATE(D:D,""auto"",""en"")"),"Beijing to extend the heating period")</f>
        <v>Beijing to extend the heating period</v>
      </c>
      <c r="D3493" s="4" t="s">
        <v>5233</v>
      </c>
      <c r="E3493" s="4">
        <v>0.0</v>
      </c>
      <c r="F3493" s="4">
        <v>42.0</v>
      </c>
      <c r="G3493" s="4" t="s">
        <v>5234</v>
      </c>
    </row>
    <row r="3494">
      <c r="A3494" s="1">
        <v>3492.0</v>
      </c>
      <c r="B3494" s="4" t="s">
        <v>5166</v>
      </c>
      <c r="C3494" s="5" t="str">
        <f>IFERROR(__xludf.DUMMYFUNCTION("GOOGLETRANSLATE(D:D,""auto"",""en"")"),"Fujian hotel collapse caused 18 dead")</f>
        <v>Fujian hotel collapse caused 18 dead</v>
      </c>
      <c r="D3494" s="4" t="s">
        <v>5235</v>
      </c>
      <c r="E3494" s="4">
        <v>0.0</v>
      </c>
      <c r="F3494" s="4">
        <v>43.0</v>
      </c>
      <c r="G3494" s="4" t="s">
        <v>5236</v>
      </c>
    </row>
    <row r="3495">
      <c r="A3495" s="1">
        <v>3493.0</v>
      </c>
      <c r="B3495" s="4" t="s">
        <v>5166</v>
      </c>
      <c r="C3495" s="5" t="str">
        <f>IFERROR(__xludf.DUMMYFUNCTION("GOOGLETRANSLATE(D:D,""auto"",""en"")"),"The unified national high-speed speed limit")</f>
        <v>The unified national high-speed speed limit</v>
      </c>
      <c r="D3495" s="4" t="s">
        <v>5120</v>
      </c>
      <c r="E3495" s="4">
        <v>0.0</v>
      </c>
      <c r="F3495" s="4">
        <v>44.0</v>
      </c>
      <c r="G3495" s="4" t="s">
        <v>5121</v>
      </c>
    </row>
    <row r="3496">
      <c r="A3496" s="1">
        <v>3494.0</v>
      </c>
      <c r="B3496" s="4" t="s">
        <v>5166</v>
      </c>
      <c r="C3496" s="5" t="str">
        <f>IFERROR(__xludf.DUMMYFUNCTION("GOOGLETRANSLATE(D:D,""auto"",""en"")"),"Sun Yang had planned to train abroad")</f>
        <v>Sun Yang had planned to train abroad</v>
      </c>
      <c r="D3496" s="4" t="s">
        <v>5237</v>
      </c>
      <c r="E3496" s="4">
        <v>0.0</v>
      </c>
      <c r="F3496" s="4">
        <v>45.0</v>
      </c>
      <c r="G3496" s="4" t="s">
        <v>5238</v>
      </c>
    </row>
    <row r="3497">
      <c r="A3497" s="1">
        <v>3495.0</v>
      </c>
      <c r="B3497" s="4" t="s">
        <v>5166</v>
      </c>
      <c r="C3497" s="5" t="str">
        <f>IFERROR(__xludf.DUMMYFUNCTION("GOOGLETRANSLATE(D:D,""auto"",""en"")"),"9 times to access detained in Hubei")</f>
        <v>9 times to access detained in Hubei</v>
      </c>
      <c r="D3497" s="4" t="s">
        <v>5239</v>
      </c>
      <c r="E3497" s="4">
        <v>0.0</v>
      </c>
      <c r="F3497" s="4">
        <v>46.0</v>
      </c>
      <c r="G3497" s="4" t="s">
        <v>5240</v>
      </c>
    </row>
    <row r="3498">
      <c r="A3498" s="1">
        <v>3496.0</v>
      </c>
      <c r="B3498" s="4" t="s">
        <v>5166</v>
      </c>
      <c r="C3498" s="5" t="str">
        <f>IFERROR(__xludf.DUMMYFUNCTION("GOOGLETRANSLATE(D:D,""auto"",""en"")"),"Iran to release 70,000 prisoners")</f>
        <v>Iran to release 70,000 prisoners</v>
      </c>
      <c r="D3498" s="4" t="s">
        <v>5122</v>
      </c>
      <c r="E3498" s="4">
        <v>0.0</v>
      </c>
      <c r="F3498" s="4">
        <v>47.0</v>
      </c>
      <c r="G3498" s="4" t="s">
        <v>5123</v>
      </c>
    </row>
    <row r="3499">
      <c r="A3499" s="1">
        <v>3497.0</v>
      </c>
      <c r="B3499" s="4" t="s">
        <v>5166</v>
      </c>
      <c r="C3499" s="5" t="str">
        <f>IFERROR(__xludf.DUMMYFUNCTION("GOOGLETRANSLATE(D:D,""auto"",""en"")"),"President confirmed Paris airport")</f>
        <v>President confirmed Paris airport</v>
      </c>
      <c r="D3499" s="4" t="s">
        <v>5241</v>
      </c>
      <c r="E3499" s="4">
        <v>0.0</v>
      </c>
      <c r="F3499" s="4">
        <v>48.0</v>
      </c>
      <c r="G3499" s="4" t="s">
        <v>5242</v>
      </c>
    </row>
    <row r="3500">
      <c r="A3500" s="1">
        <v>3498.0</v>
      </c>
      <c r="B3500" s="4" t="s">
        <v>5166</v>
      </c>
      <c r="C3500" s="5" t="str">
        <f>IFERROR(__xludf.DUMMYFUNCTION("GOOGLETRANSLATE(D:D,""auto"",""en"")"),"New input two cases outside Shanghai")</f>
        <v>New input two cases outside Shanghai</v>
      </c>
      <c r="D3500" s="4" t="s">
        <v>5243</v>
      </c>
      <c r="E3500" s="4">
        <v>0.0</v>
      </c>
      <c r="F3500" s="4">
        <v>49.0</v>
      </c>
      <c r="G3500" s="4" t="s">
        <v>5244</v>
      </c>
    </row>
    <row r="3501">
      <c r="A3501" s="1">
        <v>3499.0</v>
      </c>
      <c r="B3501" s="4" t="s">
        <v>5166</v>
      </c>
      <c r="C3501" s="5" t="str">
        <f>IFERROR(__xludf.DUMMYFUNCTION("GOOGLETRANSLATE(D:D,""auto"",""en"")"),"Ma re-board the richest man in Asia")</f>
        <v>Ma re-board the richest man in Asia</v>
      </c>
      <c r="D3501" s="4" t="s">
        <v>5245</v>
      </c>
      <c r="E3501" s="4">
        <v>0.0</v>
      </c>
      <c r="F3501" s="4">
        <v>50.0</v>
      </c>
      <c r="G3501" s="4" t="s">
        <v>5246</v>
      </c>
    </row>
    <row r="3502">
      <c r="A3502" s="1">
        <v>3500.0</v>
      </c>
      <c r="B3502" s="4" t="s">
        <v>5247</v>
      </c>
      <c r="C3502" s="5" t="str">
        <f>IFERROR(__xludf.DUMMYFUNCTION("GOOGLETRANSLATE(D:D,""auto"",""en"")"),"6 people were on file for concealed entry")</f>
        <v>6 people were on file for concealed entry</v>
      </c>
      <c r="D3502" s="4" t="s">
        <v>5248</v>
      </c>
      <c r="E3502" s="4">
        <v>0.0</v>
      </c>
      <c r="F3502" s="4">
        <v>1.0</v>
      </c>
      <c r="G3502" s="4" t="s">
        <v>5249</v>
      </c>
    </row>
    <row r="3503">
      <c r="A3503" s="1">
        <v>3501.0</v>
      </c>
      <c r="B3503" s="4" t="s">
        <v>5247</v>
      </c>
      <c r="C3503" s="5" t="str">
        <f>IFERROR(__xludf.DUMMYFUNCTION("GOOGLETRANSLATE(D:D,""auto"",""en"")"),"Chongqing Emergency Response adjust")</f>
        <v>Chongqing Emergency Response adjust</v>
      </c>
      <c r="D3503" s="4" t="s">
        <v>5250</v>
      </c>
      <c r="E3503" s="4">
        <v>0.0</v>
      </c>
      <c r="F3503" s="4">
        <v>2.0</v>
      </c>
      <c r="G3503" s="4" t="s">
        <v>5251</v>
      </c>
    </row>
    <row r="3504">
      <c r="A3504" s="1">
        <v>3502.0</v>
      </c>
      <c r="B3504" s="4" t="s">
        <v>5247</v>
      </c>
      <c r="C3504" s="5" t="str">
        <f>IFERROR(__xludf.DUMMYFUNCTION("GOOGLETRANSLATE(D:D,""auto"",""en"")"),"South Korea 64 mass infection")</f>
        <v>South Korea 64 mass infection</v>
      </c>
      <c r="D3504" s="4" t="s">
        <v>5211</v>
      </c>
      <c r="E3504" s="4">
        <v>0.0</v>
      </c>
      <c r="F3504" s="4">
        <v>3.0</v>
      </c>
      <c r="G3504" s="4" t="s">
        <v>5212</v>
      </c>
    </row>
    <row r="3505">
      <c r="A3505" s="1">
        <v>3503.0</v>
      </c>
      <c r="B3505" s="4" t="s">
        <v>5247</v>
      </c>
      <c r="C3505" s="5" t="str">
        <f>IFERROR(__xludf.DUMMYFUNCTION("GOOGLETRANSLATE(D:D,""auto"",""en"")"),"Zhang Weili talk about the status quo Joanna")</f>
        <v>Zhang Weili talk about the status quo Joanna</v>
      </c>
      <c r="D3505" s="4" t="s">
        <v>5225</v>
      </c>
      <c r="E3505" s="4">
        <v>0.0</v>
      </c>
      <c r="F3505" s="4">
        <v>4.0</v>
      </c>
      <c r="G3505" s="4" t="s">
        <v>5226</v>
      </c>
    </row>
    <row r="3506">
      <c r="A3506" s="1">
        <v>3504.0</v>
      </c>
      <c r="B3506" s="4" t="s">
        <v>5247</v>
      </c>
      <c r="C3506" s="5" t="str">
        <f>IFERROR(__xludf.DUMMYFUNCTION("GOOGLETRANSLATE(D:D,""auto"",""en"")"),"Italy ICU internal screen")</f>
        <v>Italy ICU internal screen</v>
      </c>
      <c r="D3506" s="4" t="s">
        <v>5252</v>
      </c>
      <c r="E3506" s="4">
        <v>0.0</v>
      </c>
      <c r="F3506" s="4">
        <v>5.0</v>
      </c>
      <c r="G3506" s="4" t="s">
        <v>5253</v>
      </c>
    </row>
    <row r="3507">
      <c r="A3507" s="1">
        <v>3505.0</v>
      </c>
      <c r="B3507" s="4" t="s">
        <v>5247</v>
      </c>
      <c r="C3507" s="5" t="str">
        <f>IFERROR(__xludf.DUMMYFUNCTION("GOOGLETRANSLATE(D:D,""auto"",""en"")"),"Messi Ronaldinho attempt to save prison")</f>
        <v>Messi Ronaldinho attempt to save prison</v>
      </c>
      <c r="D3507" s="4" t="s">
        <v>5254</v>
      </c>
      <c r="E3507" s="4">
        <v>0.0</v>
      </c>
      <c r="F3507" s="4">
        <v>6.0</v>
      </c>
      <c r="G3507" s="4" t="s">
        <v>5255</v>
      </c>
    </row>
    <row r="3508">
      <c r="A3508" s="1">
        <v>3506.0</v>
      </c>
      <c r="B3508" s="4" t="s">
        <v>5247</v>
      </c>
      <c r="C3508" s="5" t="str">
        <f>IFERROR(__xludf.DUMMYFUNCTION("GOOGLETRANSLATE(D:D,""auto"",""en"")"),"The first two cases were cured HIV cases")</f>
        <v>The first two cases were cured HIV cases</v>
      </c>
      <c r="D3508" s="4" t="s">
        <v>5256</v>
      </c>
      <c r="E3508" s="4">
        <v>0.0</v>
      </c>
      <c r="F3508" s="4">
        <v>7.0</v>
      </c>
      <c r="G3508" s="4" t="s">
        <v>5257</v>
      </c>
    </row>
    <row r="3509">
      <c r="A3509" s="1">
        <v>3507.0</v>
      </c>
      <c r="B3509" s="4" t="s">
        <v>5247</v>
      </c>
      <c r="C3509" s="5" t="str">
        <f>IFERROR(__xludf.DUMMYFUNCTION("GOOGLETRANSLATE(D:D,""auto"",""en"")"),"More than 70 million party members and donations")</f>
        <v>More than 70 million party members and donations</v>
      </c>
      <c r="D3509" s="4" t="s">
        <v>5258</v>
      </c>
      <c r="E3509" s="4">
        <v>0.0</v>
      </c>
      <c r="F3509" s="4">
        <v>8.0</v>
      </c>
      <c r="G3509" s="4" t="s">
        <v>5259</v>
      </c>
    </row>
    <row r="3510">
      <c r="A3510" s="1">
        <v>3508.0</v>
      </c>
      <c r="B3510" s="4" t="s">
        <v>5247</v>
      </c>
      <c r="C3510" s="5" t="str">
        <f>IFERROR(__xludf.DUMMYFUNCTION("GOOGLETRANSLATE(D:D,""auto"",""en"")"),"Xiaozhan design suspected infringement")</f>
        <v>Xiaozhan design suspected infringement</v>
      </c>
      <c r="D3510" s="4" t="s">
        <v>5260</v>
      </c>
      <c r="E3510" s="4">
        <v>0.0</v>
      </c>
      <c r="F3510" s="4">
        <v>9.0</v>
      </c>
      <c r="G3510" s="4" t="s">
        <v>5261</v>
      </c>
    </row>
    <row r="3511">
      <c r="A3511" s="1">
        <v>3509.0</v>
      </c>
      <c r="B3511" s="4" t="s">
        <v>5247</v>
      </c>
      <c r="C3511" s="5" t="str">
        <f>IFERROR(__xludf.DUMMYFUNCTION("GOOGLETRANSLATE(D:D,""auto"",""en"")"),"Italy Emergency China")</f>
        <v>Italy Emergency China</v>
      </c>
      <c r="D3511" s="4" t="s">
        <v>5262</v>
      </c>
      <c r="E3511" s="4">
        <v>0.0</v>
      </c>
      <c r="F3511" s="4">
        <v>10.0</v>
      </c>
      <c r="G3511" s="4" t="s">
        <v>5263</v>
      </c>
    </row>
    <row r="3512">
      <c r="A3512" s="1">
        <v>3510.0</v>
      </c>
      <c r="B3512" s="4" t="s">
        <v>5247</v>
      </c>
      <c r="C3512" s="5" t="str">
        <f>IFERROR(__xludf.DUMMYFUNCTION("GOOGLETRANSLATE(D:D,""auto"",""en"")"),"Shandong most stringent conditions of school")</f>
        <v>Shandong most stringent conditions of school</v>
      </c>
      <c r="D3512" s="4" t="s">
        <v>5264</v>
      </c>
      <c r="E3512" s="4">
        <v>0.0</v>
      </c>
      <c r="F3512" s="4">
        <v>11.0</v>
      </c>
      <c r="G3512" s="4" t="s">
        <v>5265</v>
      </c>
    </row>
    <row r="3513">
      <c r="A3513" s="1">
        <v>3511.0</v>
      </c>
      <c r="B3513" s="4" t="s">
        <v>5247</v>
      </c>
      <c r="C3513" s="5" t="str">
        <f>IFERROR(__xludf.DUMMYFUNCTION("GOOGLETRANSLATE(D:D,""auto"",""en"")"),"One people were killed in the collapse of")</f>
        <v>One people were killed in the collapse of</v>
      </c>
      <c r="D3513" s="4" t="s">
        <v>5266</v>
      </c>
      <c r="E3513" s="4">
        <v>0.0</v>
      </c>
      <c r="F3513" s="4">
        <v>12.0</v>
      </c>
      <c r="G3513" s="4" t="s">
        <v>5267</v>
      </c>
    </row>
    <row r="3514">
      <c r="A3514" s="1">
        <v>3512.0</v>
      </c>
      <c r="B3514" s="4" t="s">
        <v>5247</v>
      </c>
      <c r="C3514" s="5" t="str">
        <f>IFERROR(__xludf.DUMMYFUNCTION("GOOGLETRANSLATE(D:D,""auto"",""en"")"),"Xiamen high school students chopped parents")</f>
        <v>Xiamen high school students chopped parents</v>
      </c>
      <c r="D3514" s="4" t="s">
        <v>5268</v>
      </c>
      <c r="E3514" s="4">
        <v>0.0</v>
      </c>
      <c r="F3514" s="4">
        <v>13.0</v>
      </c>
      <c r="G3514" s="4" t="s">
        <v>5269</v>
      </c>
    </row>
    <row r="3515">
      <c r="A3515" s="1">
        <v>3513.0</v>
      </c>
      <c r="B3515" s="4" t="s">
        <v>5247</v>
      </c>
      <c r="C3515" s="5" t="str">
        <f>IFERROR(__xludf.DUMMYFUNCTION("GOOGLETRANSLATE(D:D,""auto"",""en"")"),"Zhengzhou diagnosed male mother to apologize")</f>
        <v>Zhengzhou diagnosed male mother to apologize</v>
      </c>
      <c r="D3515" s="4" t="s">
        <v>5270</v>
      </c>
      <c r="E3515" s="4">
        <v>0.0</v>
      </c>
      <c r="F3515" s="4">
        <v>14.0</v>
      </c>
      <c r="G3515" s="4" t="s">
        <v>5271</v>
      </c>
    </row>
    <row r="3516">
      <c r="A3516" s="1">
        <v>3514.0</v>
      </c>
      <c r="B3516" s="4" t="s">
        <v>5247</v>
      </c>
      <c r="C3516" s="5" t="str">
        <f>IFERROR(__xludf.DUMMYFUNCTION("GOOGLETRANSLATE(D:D,""auto"",""en"")"),"Cecilia was off the plane exposure")</f>
        <v>Cecilia was off the plane exposure</v>
      </c>
      <c r="D3516" s="4" t="s">
        <v>5207</v>
      </c>
      <c r="E3516" s="4">
        <v>0.0</v>
      </c>
      <c r="F3516" s="4">
        <v>15.0</v>
      </c>
      <c r="G3516" s="4" t="s">
        <v>5208</v>
      </c>
    </row>
    <row r="3517">
      <c r="A3517" s="1">
        <v>3515.0</v>
      </c>
      <c r="B3517" s="4" t="s">
        <v>5247</v>
      </c>
      <c r="C3517" s="5" t="str">
        <f>IFERROR(__xludf.DUMMYFUNCTION("GOOGLETRANSLATE(D:D,""auto"",""en"")"),"Official data lags behind the United States")</f>
        <v>Official data lags behind the United States</v>
      </c>
      <c r="D3517" s="4" t="s">
        <v>5272</v>
      </c>
      <c r="E3517" s="4">
        <v>0.0</v>
      </c>
      <c r="F3517" s="4">
        <v>16.0</v>
      </c>
      <c r="G3517" s="4" t="s">
        <v>5273</v>
      </c>
    </row>
    <row r="3518">
      <c r="A3518" s="1">
        <v>3516.0</v>
      </c>
      <c r="B3518" s="4" t="s">
        <v>5247</v>
      </c>
      <c r="C3518" s="5" t="str">
        <f>IFERROR(__xludf.DUMMYFUNCTION("GOOGLETRANSLATE(D:D,""auto"",""en"")"),"Liu Zhen husband and then issued")</f>
        <v>Liu Zhen husband and then issued</v>
      </c>
      <c r="D3518" s="4" t="s">
        <v>5274</v>
      </c>
      <c r="E3518" s="4">
        <v>0.0</v>
      </c>
      <c r="F3518" s="4">
        <v>17.0</v>
      </c>
      <c r="G3518" s="4" t="s">
        <v>5275</v>
      </c>
    </row>
    <row r="3519">
      <c r="A3519" s="1">
        <v>3517.0</v>
      </c>
      <c r="B3519" s="4" t="s">
        <v>5247</v>
      </c>
      <c r="C3519" s="5" t="str">
        <f>IFERROR(__xludf.DUMMYFUNCTION("GOOGLETRANSLATE(D:D,""auto"",""en"")"),"India's new crown burning monster statue")</f>
        <v>India's new crown burning monster statue</v>
      </c>
      <c r="D3519" s="4" t="s">
        <v>5276</v>
      </c>
      <c r="E3519" s="4">
        <v>0.0</v>
      </c>
      <c r="F3519" s="4">
        <v>18.0</v>
      </c>
      <c r="G3519" s="4" t="s">
        <v>5277</v>
      </c>
    </row>
    <row r="3520">
      <c r="A3520" s="1">
        <v>3518.0</v>
      </c>
      <c r="B3520" s="4" t="s">
        <v>5247</v>
      </c>
      <c r="C3520" s="5" t="str">
        <f>IFERROR(__xludf.DUMMYFUNCTION("GOOGLETRANSLATE(D:D,""auto"",""en"")"),"Britain's health minister confirmed")</f>
        <v>Britain's health minister confirmed</v>
      </c>
      <c r="D3520" s="4" t="s">
        <v>5278</v>
      </c>
      <c r="E3520" s="4">
        <v>0.0</v>
      </c>
      <c r="F3520" s="4">
        <v>19.0</v>
      </c>
      <c r="G3520" s="4" t="s">
        <v>5279</v>
      </c>
    </row>
    <row r="3521">
      <c r="A3521" s="1">
        <v>3519.0</v>
      </c>
      <c r="B3521" s="4" t="s">
        <v>5247</v>
      </c>
      <c r="C3521" s="5" t="str">
        <f>IFERROR(__xludf.DUMMYFUNCTION("GOOGLETRANSLATE(D:D,""auto"",""en"")"),"Babe rescue dogs infected limbs")</f>
        <v>Babe rescue dogs infected limbs</v>
      </c>
      <c r="D3521" s="4" t="s">
        <v>5209</v>
      </c>
      <c r="E3521" s="4">
        <v>0.0</v>
      </c>
      <c r="F3521" s="4">
        <v>20.0</v>
      </c>
      <c r="G3521" s="4" t="s">
        <v>5210</v>
      </c>
    </row>
    <row r="3522">
      <c r="A3522" s="1">
        <v>3520.0</v>
      </c>
      <c r="B3522" s="4" t="s">
        <v>5247</v>
      </c>
      <c r="C3522" s="5" t="str">
        <f>IFERROR(__xludf.DUMMYFUNCTION("GOOGLETRANSLATE(D:D,""auto"",""en"")"),"Special cases found in Japan")</f>
        <v>Special cases found in Japan</v>
      </c>
      <c r="D3522" s="4" t="s">
        <v>5280</v>
      </c>
      <c r="E3522" s="4">
        <v>0.0</v>
      </c>
      <c r="F3522" s="4">
        <v>21.0</v>
      </c>
      <c r="G3522" s="4" t="s">
        <v>5281</v>
      </c>
    </row>
    <row r="3523">
      <c r="A3523" s="1">
        <v>3521.0</v>
      </c>
      <c r="B3523" s="4" t="s">
        <v>5247</v>
      </c>
      <c r="C3523" s="5" t="str">
        <f>IFERROR(__xludf.DUMMYFUNCTION("GOOGLETRANSLATE(D:D,""auto"",""en"")"),"Shanxi Jin tomb excavation")</f>
        <v>Shanxi Jin tomb excavation</v>
      </c>
      <c r="D3523" s="4" t="s">
        <v>5282</v>
      </c>
      <c r="E3523" s="4">
        <v>0.0</v>
      </c>
      <c r="F3523" s="4">
        <v>22.0</v>
      </c>
      <c r="G3523" s="4" t="s">
        <v>5283</v>
      </c>
    </row>
    <row r="3524">
      <c r="A3524" s="1">
        <v>3522.0</v>
      </c>
      <c r="B3524" s="4" t="s">
        <v>5247</v>
      </c>
      <c r="C3524" s="5" t="str">
        <f>IFERROR(__xludf.DUMMYFUNCTION("GOOGLETRANSLATE(D:D,""auto"",""en"")"),"Iran to build shelters hospital")</f>
        <v>Iran to build shelters hospital</v>
      </c>
      <c r="D3524" s="4" t="s">
        <v>5284</v>
      </c>
      <c r="E3524" s="4">
        <v>0.0</v>
      </c>
      <c r="F3524" s="4">
        <v>23.0</v>
      </c>
      <c r="G3524" s="4" t="s">
        <v>5285</v>
      </c>
    </row>
    <row r="3525">
      <c r="A3525" s="1">
        <v>3523.0</v>
      </c>
      <c r="B3525" s="4" t="s">
        <v>5247</v>
      </c>
      <c r="C3525" s="5" t="str">
        <f>IFERROR(__xludf.DUMMYFUNCTION("GOOGLETRANSLATE(D:D,""auto"",""en"")"),"Contributions 130 000 120 000 Return")</f>
        <v>Contributions 130 000 120 000 Return</v>
      </c>
      <c r="D3525" s="4" t="s">
        <v>5286</v>
      </c>
      <c r="E3525" s="4">
        <v>0.0</v>
      </c>
      <c r="F3525" s="4">
        <v>24.0</v>
      </c>
      <c r="G3525" s="4" t="s">
        <v>5287</v>
      </c>
    </row>
    <row r="3526">
      <c r="A3526" s="1">
        <v>3524.0</v>
      </c>
      <c r="B3526" s="4" t="s">
        <v>5247</v>
      </c>
      <c r="C3526" s="5" t="str">
        <f>IFERROR(__xludf.DUMMYFUNCTION("GOOGLETRANSLATE(D:D,""auto"",""en"")"),"Warriors refused to cancel the game")</f>
        <v>Warriors refused to cancel the game</v>
      </c>
      <c r="D3526" s="4" t="s">
        <v>5288</v>
      </c>
      <c r="E3526" s="4">
        <v>0.0</v>
      </c>
      <c r="F3526" s="4">
        <v>25.0</v>
      </c>
      <c r="G3526" s="4" t="s">
        <v>5289</v>
      </c>
    </row>
    <row r="3527">
      <c r="A3527" s="1">
        <v>3525.0</v>
      </c>
      <c r="B3527" s="4" t="s">
        <v>5247</v>
      </c>
      <c r="C3527" s="5" t="str">
        <f>IFERROR(__xludf.DUMMYFUNCTION("GOOGLETRANSLATE(D:D,""auto"",""en"")"),"Chen Shen dream was made into a 1 m 1")</f>
        <v>Chen Shen dream was made into a 1 m 1</v>
      </c>
      <c r="D3527" s="4" t="s">
        <v>5290</v>
      </c>
      <c r="E3527" s="4">
        <v>0.0</v>
      </c>
      <c r="F3527" s="4">
        <v>26.0</v>
      </c>
      <c r="G3527" s="4" t="s">
        <v>5291</v>
      </c>
    </row>
    <row r="3528">
      <c r="A3528" s="1">
        <v>3526.0</v>
      </c>
      <c r="B3528" s="4" t="s">
        <v>5247</v>
      </c>
      <c r="C3528" s="5" t="str">
        <f>IFERROR(__xludf.DUMMYFUNCTION("GOOGLETRANSLATE(D:D,""auto"",""en"")"),"Camp officials declared the creation of 2020")</f>
        <v>Camp officials declared the creation of 2020</v>
      </c>
      <c r="D3528" s="4" t="s">
        <v>5292</v>
      </c>
      <c r="E3528" s="4">
        <v>0.0</v>
      </c>
      <c r="F3528" s="4">
        <v>27.0</v>
      </c>
      <c r="G3528" s="4" t="s">
        <v>5293</v>
      </c>
    </row>
    <row r="3529">
      <c r="A3529" s="1">
        <v>3527.0</v>
      </c>
      <c r="B3529" s="4" t="s">
        <v>5247</v>
      </c>
      <c r="C3529" s="5" t="str">
        <f>IFERROR(__xludf.DUMMYFUNCTION("GOOGLETRANSLATE(D:D,""auto"",""en"")"),"Quanzhou hotel list of victims")</f>
        <v>Quanzhou hotel list of victims</v>
      </c>
      <c r="D3529" s="4" t="s">
        <v>5199</v>
      </c>
      <c r="E3529" s="4">
        <v>0.0</v>
      </c>
      <c r="F3529" s="4">
        <v>28.0</v>
      </c>
      <c r="G3529" s="4" t="s">
        <v>5200</v>
      </c>
    </row>
    <row r="3530">
      <c r="A3530" s="1">
        <v>3528.0</v>
      </c>
      <c r="B3530" s="4" t="s">
        <v>5247</v>
      </c>
      <c r="C3530" s="5" t="str">
        <f>IFERROR(__xludf.DUMMYFUNCTION("GOOGLETRANSLATE(D:D,""auto"",""en"")"),"Japan's population infected with the outbreak")</f>
        <v>Japan's population infected with the outbreak</v>
      </c>
      <c r="D3530" s="4" t="s">
        <v>5294</v>
      </c>
      <c r="E3530" s="4">
        <v>0.0</v>
      </c>
      <c r="F3530" s="4">
        <v>29.0</v>
      </c>
      <c r="G3530" s="4" t="s">
        <v>5295</v>
      </c>
    </row>
    <row r="3531">
      <c r="A3531" s="1">
        <v>3529.0</v>
      </c>
      <c r="B3531" s="4" t="s">
        <v>5247</v>
      </c>
      <c r="C3531" s="5" t="str">
        <f>IFERROR(__xludf.DUMMYFUNCTION("GOOGLETRANSLATE(D:D,""auto"",""en"")"),"Wu Yifan quarantined observation")</f>
        <v>Wu Yifan quarantined observation</v>
      </c>
      <c r="D3531" s="4" t="s">
        <v>5296</v>
      </c>
      <c r="E3531" s="4">
        <v>0.0</v>
      </c>
      <c r="F3531" s="4">
        <v>30.0</v>
      </c>
      <c r="G3531" s="4" t="s">
        <v>5297</v>
      </c>
    </row>
    <row r="3532">
      <c r="A3532" s="1">
        <v>3530.0</v>
      </c>
      <c r="B3532" s="4" t="s">
        <v>5247</v>
      </c>
      <c r="C3532" s="5" t="str">
        <f>IFERROR(__xludf.DUMMYFUNCTION("GOOGLETRANSLATE(D:D,""auto"",""en"")"),"Hubei continue to delay school")</f>
        <v>Hubei continue to delay school</v>
      </c>
      <c r="D3532" s="4" t="s">
        <v>5298</v>
      </c>
      <c r="E3532" s="4">
        <v>0.0</v>
      </c>
      <c r="F3532" s="4">
        <v>31.0</v>
      </c>
      <c r="G3532" s="4" t="s">
        <v>5299</v>
      </c>
    </row>
    <row r="3533">
      <c r="A3533" s="1">
        <v>3531.0</v>
      </c>
      <c r="B3533" s="4" t="s">
        <v>5247</v>
      </c>
      <c r="C3533" s="5" t="str">
        <f>IFERROR(__xludf.DUMMYFUNCTION("GOOGLETRANSLATE(D:D,""auto"",""en"")"),"The military expelled the US ship trespass")</f>
        <v>The military expelled the US ship trespass</v>
      </c>
      <c r="D3533" s="4" t="s">
        <v>5300</v>
      </c>
      <c r="E3533" s="4">
        <v>0.0</v>
      </c>
      <c r="F3533" s="4">
        <v>32.0</v>
      </c>
      <c r="G3533" s="4" t="s">
        <v>5301</v>
      </c>
    </row>
    <row r="3534">
      <c r="A3534" s="1">
        <v>3532.0</v>
      </c>
      <c r="B3534" s="4" t="s">
        <v>5247</v>
      </c>
      <c r="C3534" s="5" t="str">
        <f>IFERROR(__xludf.DUMMYFUNCTION("GOOGLETRANSLATE(D:D,""auto"",""en"")"),"US Huawei extended license")</f>
        <v>US Huawei extended license</v>
      </c>
      <c r="D3534" s="4" t="s">
        <v>5302</v>
      </c>
      <c r="E3534" s="4">
        <v>0.0</v>
      </c>
      <c r="F3534" s="4">
        <v>33.0</v>
      </c>
      <c r="G3534" s="4" t="s">
        <v>5303</v>
      </c>
    </row>
    <row r="3535">
      <c r="A3535" s="1">
        <v>3533.0</v>
      </c>
      <c r="B3535" s="4" t="s">
        <v>5247</v>
      </c>
      <c r="C3535" s="5" t="str">
        <f>IFERROR(__xludf.DUMMYFUNCTION("GOOGLETRANSLATE(D:D,""auto"",""en"")"),"French people support the closed city")</f>
        <v>French people support the closed city</v>
      </c>
      <c r="D3535" s="4" t="s">
        <v>5304</v>
      </c>
      <c r="E3535" s="4">
        <v>0.0</v>
      </c>
      <c r="F3535" s="4">
        <v>34.0</v>
      </c>
      <c r="G3535" s="4" t="s">
        <v>5305</v>
      </c>
    </row>
    <row r="3536">
      <c r="A3536" s="1">
        <v>3534.0</v>
      </c>
      <c r="B3536" s="4" t="s">
        <v>5247</v>
      </c>
      <c r="C3536" s="5" t="str">
        <f>IFERROR(__xludf.DUMMYFUNCTION("GOOGLETRANSLATE(D:D,""auto"",""en"")"),"Overseas Chinese diagnosed break 30000")</f>
        <v>Overseas Chinese diagnosed break 30000</v>
      </c>
      <c r="D3536" s="4" t="s">
        <v>5306</v>
      </c>
      <c r="E3536" s="4">
        <v>0.0</v>
      </c>
      <c r="F3536" s="4">
        <v>35.0</v>
      </c>
      <c r="G3536" s="4" t="s">
        <v>5307</v>
      </c>
    </row>
    <row r="3537">
      <c r="A3537" s="1">
        <v>3535.0</v>
      </c>
      <c r="B3537" s="4" t="s">
        <v>5247</v>
      </c>
      <c r="C3537" s="5" t="str">
        <f>IFERROR(__xludf.DUMMYFUNCTION("GOOGLETRANSLATE(D:D,""auto"",""en"")"),"Beijing Beijing strict immigration management")</f>
        <v>Beijing Beijing strict immigration management</v>
      </c>
      <c r="D3537" s="4" t="s">
        <v>5308</v>
      </c>
      <c r="E3537" s="4">
        <v>0.0</v>
      </c>
      <c r="F3537" s="4">
        <v>36.0</v>
      </c>
      <c r="G3537" s="4" t="s">
        <v>5309</v>
      </c>
    </row>
    <row r="3538">
      <c r="A3538" s="1">
        <v>3536.0</v>
      </c>
      <c r="B3538" s="4" t="s">
        <v>5247</v>
      </c>
      <c r="C3538" s="5" t="str">
        <f>IFERROR(__xludf.DUMMYFUNCTION("GOOGLETRANSLATE(D:D,""auto"",""en"")"),"Merkel issued a warning epidemic")</f>
        <v>Merkel issued a warning epidemic</v>
      </c>
      <c r="D3538" s="4" t="s">
        <v>5310</v>
      </c>
      <c r="E3538" s="4">
        <v>0.0</v>
      </c>
      <c r="F3538" s="4">
        <v>37.0</v>
      </c>
      <c r="G3538" s="4" t="s">
        <v>5311</v>
      </c>
    </row>
    <row r="3539">
      <c r="A3539" s="1">
        <v>3537.0</v>
      </c>
      <c r="B3539" s="4" t="s">
        <v>5247</v>
      </c>
      <c r="C3539" s="5" t="str">
        <f>IFERROR(__xludf.DUMMYFUNCTION("GOOGLETRANSLATE(D:D,""auto"",""en"")"),"United States diagnosed more than 900 cases")</f>
        <v>United States diagnosed more than 900 cases</v>
      </c>
      <c r="D3539" s="4" t="s">
        <v>5312</v>
      </c>
      <c r="E3539" s="4">
        <v>0.0</v>
      </c>
      <c r="F3539" s="4">
        <v>38.0</v>
      </c>
      <c r="G3539" s="4" t="s">
        <v>5313</v>
      </c>
    </row>
    <row r="3540">
      <c r="A3540" s="1">
        <v>3538.0</v>
      </c>
      <c r="B3540" s="4" t="s">
        <v>5247</v>
      </c>
      <c r="C3540" s="5" t="str">
        <f>IFERROR(__xludf.DUMMYFUNCTION("GOOGLETRANSLATE(D:D,""auto"",""en"")"),"Man rescued collapsed 68 hours")</f>
        <v>Man rescued collapsed 68 hours</v>
      </c>
      <c r="D3540" s="4" t="s">
        <v>5203</v>
      </c>
      <c r="E3540" s="4">
        <v>0.0</v>
      </c>
      <c r="F3540" s="4">
        <v>39.0</v>
      </c>
      <c r="G3540" s="4" t="s">
        <v>5204</v>
      </c>
    </row>
    <row r="3541">
      <c r="A3541" s="1">
        <v>3539.0</v>
      </c>
      <c r="B3541" s="4" t="s">
        <v>5247</v>
      </c>
      <c r="C3541" s="5" t="str">
        <f>IFERROR(__xludf.DUMMYFUNCTION("GOOGLETRANSLATE(D:D,""auto"",""en"")"),"New features exposed iOS14")</f>
        <v>New features exposed iOS14</v>
      </c>
      <c r="D3541" s="4" t="s">
        <v>5314</v>
      </c>
      <c r="E3541" s="4">
        <v>0.0</v>
      </c>
      <c r="F3541" s="4">
        <v>40.0</v>
      </c>
      <c r="G3541" s="4" t="s">
        <v>5315</v>
      </c>
    </row>
    <row r="3542">
      <c r="A3542" s="1">
        <v>3540.0</v>
      </c>
      <c r="B3542" s="4" t="s">
        <v>5247</v>
      </c>
      <c r="C3542" s="5" t="str">
        <f>IFERROR(__xludf.DUMMYFUNCTION("GOOGLETRANSLATE(D:D,""auto"",""en"")"),"Pakistani fighter crash")</f>
        <v>Pakistani fighter crash</v>
      </c>
      <c r="D3542" s="4" t="s">
        <v>5316</v>
      </c>
      <c r="E3542" s="4">
        <v>0.0</v>
      </c>
      <c r="F3542" s="4">
        <v>41.0</v>
      </c>
      <c r="G3542" s="4" t="s">
        <v>5317</v>
      </c>
    </row>
    <row r="3543">
      <c r="A3543" s="1">
        <v>3541.0</v>
      </c>
      <c r="B3543" s="4" t="s">
        <v>5247</v>
      </c>
      <c r="C3543" s="5" t="str">
        <f>IFERROR(__xludf.DUMMYFUNCTION("GOOGLETRANSLATE(D:D,""auto"",""en"")"),"Trump talk about the US epidemic risk")</f>
        <v>Trump talk about the US epidemic risk</v>
      </c>
      <c r="D3543" s="4" t="s">
        <v>5318</v>
      </c>
      <c r="E3543" s="4">
        <v>0.0</v>
      </c>
      <c r="F3543" s="4">
        <v>42.0</v>
      </c>
      <c r="G3543" s="4" t="s">
        <v>5319</v>
      </c>
    </row>
    <row r="3544">
      <c r="A3544" s="1">
        <v>3542.0</v>
      </c>
      <c r="B3544" s="4" t="s">
        <v>5247</v>
      </c>
      <c r="C3544" s="5" t="str">
        <f>IFERROR(__xludf.DUMMYFUNCTION("GOOGLETRANSLATE(D:D,""auto"",""en"")"),"Zhejiang full implementation of citizens and strokes")</f>
        <v>Zhejiang full implementation of citizens and strokes</v>
      </c>
      <c r="D3544" s="4" t="s">
        <v>5320</v>
      </c>
      <c r="E3544" s="4">
        <v>0.0</v>
      </c>
      <c r="F3544" s="4">
        <v>43.0</v>
      </c>
      <c r="G3544" s="4" t="s">
        <v>5321</v>
      </c>
    </row>
    <row r="3545">
      <c r="A3545" s="1">
        <v>3543.0</v>
      </c>
      <c r="B3545" s="4" t="s">
        <v>5247</v>
      </c>
      <c r="C3545" s="5" t="str">
        <f>IFERROR(__xludf.DUMMYFUNCTION("GOOGLETRANSLATE(D:D,""auto"",""en"")"),"400,000 follow a reward anchor")</f>
        <v>400,000 follow a reward anchor</v>
      </c>
      <c r="D3545" s="4" t="s">
        <v>5322</v>
      </c>
      <c r="E3545" s="4">
        <v>0.0</v>
      </c>
      <c r="F3545" s="4">
        <v>44.0</v>
      </c>
      <c r="G3545" s="4" t="s">
        <v>5323</v>
      </c>
    </row>
    <row r="3546">
      <c r="A3546" s="1">
        <v>3544.0</v>
      </c>
      <c r="B3546" s="4" t="s">
        <v>5247</v>
      </c>
      <c r="C3546" s="5" t="str">
        <f>IFERROR(__xludf.DUMMYFUNCTION("GOOGLETRANSLATE(D:D,""auto"",""en"")"),"Liu Yifei premiere squatting on the ground")</f>
        <v>Liu Yifei premiere squatting on the ground</v>
      </c>
      <c r="D3546" s="4" t="s">
        <v>5324</v>
      </c>
      <c r="E3546" s="4">
        <v>0.0</v>
      </c>
      <c r="F3546" s="4">
        <v>45.0</v>
      </c>
      <c r="G3546" s="4" t="s">
        <v>5325</v>
      </c>
    </row>
    <row r="3547">
      <c r="A3547" s="1">
        <v>3545.0</v>
      </c>
      <c r="B3547" s="4" t="s">
        <v>5247</v>
      </c>
      <c r="C3547" s="5" t="str">
        <f>IFERROR(__xludf.DUMMYFUNCTION("GOOGLETRANSLATE(D:D,""auto"",""en"")"),"The hotel is a large number of cash collapse")</f>
        <v>The hotel is a large number of cash collapse</v>
      </c>
      <c r="D3547" s="4" t="s">
        <v>5326</v>
      </c>
      <c r="E3547" s="4">
        <v>0.0</v>
      </c>
      <c r="F3547" s="4">
        <v>46.0</v>
      </c>
      <c r="G3547" s="4" t="s">
        <v>5327</v>
      </c>
    </row>
    <row r="3548">
      <c r="A3548" s="1">
        <v>3546.0</v>
      </c>
      <c r="B3548" s="4" t="s">
        <v>5247</v>
      </c>
      <c r="C3548" s="5" t="str">
        <f>IFERROR(__xludf.DUMMYFUNCTION("GOOGLETRANSLATE(D:D,""auto"",""en"")"),"Raytheon mountain healthcare write poetry")</f>
        <v>Raytheon mountain healthcare write poetry</v>
      </c>
      <c r="D3548" s="4" t="s">
        <v>5328</v>
      </c>
      <c r="E3548" s="4">
        <v>0.0</v>
      </c>
      <c r="F3548" s="4">
        <v>47.0</v>
      </c>
      <c r="G3548" s="4" t="s">
        <v>5329</v>
      </c>
    </row>
    <row r="3549">
      <c r="A3549" s="1">
        <v>3547.0</v>
      </c>
      <c r="B3549" s="4" t="s">
        <v>5247</v>
      </c>
      <c r="C3549" s="5" t="str">
        <f>IFERROR(__xludf.DUMMYFUNCTION("GOOGLETRANSLATE(D:D,""auto"",""en"")"),"Fujian hotel collapse caused 26 dead")</f>
        <v>Fujian hotel collapse caused 26 dead</v>
      </c>
      <c r="D3549" s="4" t="s">
        <v>5330</v>
      </c>
      <c r="E3549" s="4">
        <v>0.0</v>
      </c>
      <c r="F3549" s="4">
        <v>48.0</v>
      </c>
      <c r="G3549" s="4" t="s">
        <v>5331</v>
      </c>
    </row>
    <row r="3550">
      <c r="A3550" s="1">
        <v>3548.0</v>
      </c>
      <c r="B3550" s="4" t="s">
        <v>5247</v>
      </c>
      <c r="C3550" s="5" t="str">
        <f>IFERROR(__xludf.DUMMYFUNCTION("GOOGLETRANSLATE(D:D,""auto"",""en"")"),"Ma re-board the richest man in Asia")</f>
        <v>Ma re-board the richest man in Asia</v>
      </c>
      <c r="D3550" s="4" t="s">
        <v>5245</v>
      </c>
      <c r="E3550" s="4">
        <v>0.0</v>
      </c>
      <c r="F3550" s="4">
        <v>49.0</v>
      </c>
      <c r="G3550" s="4" t="s">
        <v>5246</v>
      </c>
    </row>
    <row r="3551">
      <c r="A3551" s="1">
        <v>3549.0</v>
      </c>
      <c r="B3551" s="4" t="s">
        <v>5247</v>
      </c>
      <c r="C3551" s="5" t="str">
        <f>IFERROR(__xludf.DUMMYFUNCTION("GOOGLETRANSLATE(D:D,""auto"",""en"")"),"SOHO China announced the suspension of license")</f>
        <v>SOHO China announced the suspension of license</v>
      </c>
      <c r="D3551" s="4" t="s">
        <v>5223</v>
      </c>
      <c r="E3551" s="4">
        <v>0.0</v>
      </c>
      <c r="F3551" s="4">
        <v>50.0</v>
      </c>
      <c r="G3551" s="4" t="s">
        <v>5224</v>
      </c>
    </row>
    <row r="3552">
      <c r="A3552" s="1">
        <v>3550.0</v>
      </c>
      <c r="B3552" s="4" t="s">
        <v>5332</v>
      </c>
      <c r="C3552" s="5" t="str">
        <f>IFERROR(__xludf.DUMMYFUNCTION("GOOGLETRANSLATE(D:D,""auto"",""en"")"),"Zhengzhou diagnosed male mother to apologize")</f>
        <v>Zhengzhou diagnosed male mother to apologize</v>
      </c>
      <c r="D3552" s="4" t="s">
        <v>5270</v>
      </c>
      <c r="E3552" s="4">
        <v>0.0</v>
      </c>
      <c r="F3552" s="4">
        <v>1.0</v>
      </c>
      <c r="G3552" s="4" t="s">
        <v>5271</v>
      </c>
    </row>
    <row r="3553">
      <c r="A3553" s="1">
        <v>3551.0</v>
      </c>
      <c r="B3553" s="4" t="s">
        <v>5332</v>
      </c>
      <c r="C3553" s="5" t="str">
        <f>IFERROR(__xludf.DUMMYFUNCTION("GOOGLETRANSLATE(D:D,""auto"",""en"")"),"Xiamen high school students chopped parents")</f>
        <v>Xiamen high school students chopped parents</v>
      </c>
      <c r="D3553" s="4" t="s">
        <v>5268</v>
      </c>
      <c r="E3553" s="4">
        <v>0.0</v>
      </c>
      <c r="F3553" s="4">
        <v>2.0</v>
      </c>
      <c r="G3553" s="4" t="s">
        <v>5269</v>
      </c>
    </row>
    <row r="3554">
      <c r="A3554" s="1">
        <v>3552.0</v>
      </c>
      <c r="B3554" s="4" t="s">
        <v>5332</v>
      </c>
      <c r="C3554" s="5" t="str">
        <f>IFERROR(__xludf.DUMMYFUNCTION("GOOGLETRANSLATE(D:D,""auto"",""en"")"),"Beijing April school-based rumors")</f>
        <v>Beijing April school-based rumors</v>
      </c>
      <c r="D3554" s="4" t="s">
        <v>5333</v>
      </c>
      <c r="E3554" s="4">
        <v>0.0</v>
      </c>
      <c r="F3554" s="4">
        <v>3.0</v>
      </c>
      <c r="G3554" s="4" t="s">
        <v>5334</v>
      </c>
    </row>
    <row r="3555">
      <c r="A3555" s="1">
        <v>3553.0</v>
      </c>
      <c r="B3555" s="4" t="s">
        <v>5332</v>
      </c>
      <c r="C3555" s="5" t="str">
        <f>IFERROR(__xludf.DUMMYFUNCTION("GOOGLETRANSLATE(D:D,""auto"",""en"")"),"They are exposed to blackmail actress")</f>
        <v>They are exposed to blackmail actress</v>
      </c>
      <c r="D3555" s="4" t="s">
        <v>5335</v>
      </c>
      <c r="E3555" s="4">
        <v>0.0</v>
      </c>
      <c r="F3555" s="4">
        <v>4.0</v>
      </c>
      <c r="G3555" s="4" t="s">
        <v>5336</v>
      </c>
    </row>
    <row r="3556">
      <c r="A3556" s="1">
        <v>3554.0</v>
      </c>
      <c r="B3556" s="4" t="s">
        <v>5332</v>
      </c>
      <c r="C3556" s="5" t="str">
        <f>IFERROR(__xludf.DUMMYFUNCTION("GOOGLETRANSLATE(D:D,""auto"",""en"")"),"Zhang Weili mandatory health two months")</f>
        <v>Zhang Weili mandatory health two months</v>
      </c>
      <c r="D3556" s="4" t="s">
        <v>5337</v>
      </c>
      <c r="E3556" s="4">
        <v>0.0</v>
      </c>
      <c r="F3556" s="4">
        <v>5.0</v>
      </c>
      <c r="G3556" s="4" t="s">
        <v>5338</v>
      </c>
    </row>
    <row r="3557">
      <c r="A3557" s="1">
        <v>3555.0</v>
      </c>
      <c r="B3557" s="4" t="s">
        <v>5332</v>
      </c>
      <c r="C3557" s="5" t="str">
        <f>IFERROR(__xludf.DUMMYFUNCTION("GOOGLETRANSLATE(D:D,""auto"",""en"")"),"Italian Foreign Minister thanked China")</f>
        <v>Italian Foreign Minister thanked China</v>
      </c>
      <c r="D3557" s="4" t="s">
        <v>5339</v>
      </c>
      <c r="E3557" s="4">
        <v>0.0</v>
      </c>
      <c r="F3557" s="4">
        <v>6.0</v>
      </c>
      <c r="G3557" s="4" t="s">
        <v>5340</v>
      </c>
    </row>
    <row r="3558">
      <c r="A3558" s="1">
        <v>3556.0</v>
      </c>
      <c r="B3558" s="4" t="s">
        <v>5332</v>
      </c>
      <c r="C3558" s="5" t="str">
        <f>IFERROR(__xludf.DUMMYFUNCTION("GOOGLETRANSLATE(D:D,""auto"",""en"")"),"New Hubei down to single digits")</f>
        <v>New Hubei down to single digits</v>
      </c>
      <c r="D3558" s="4" t="s">
        <v>5341</v>
      </c>
      <c r="E3558" s="4">
        <v>0.0</v>
      </c>
      <c r="F3558" s="4">
        <v>7.0</v>
      </c>
      <c r="G3558" s="4" t="s">
        <v>5342</v>
      </c>
    </row>
    <row r="3559">
      <c r="A3559" s="1">
        <v>3557.0</v>
      </c>
      <c r="B3559" s="4" t="s">
        <v>5332</v>
      </c>
      <c r="C3559" s="5" t="str">
        <f>IFERROR(__xludf.DUMMYFUNCTION("GOOGLETRANSLATE(D:D,""auto"",""en"")"),"Italian Ambassador Tucao EU")</f>
        <v>Italian Ambassador Tucao EU</v>
      </c>
      <c r="D3559" s="4" t="s">
        <v>5343</v>
      </c>
      <c r="E3559" s="4">
        <v>0.0</v>
      </c>
      <c r="F3559" s="4">
        <v>8.0</v>
      </c>
      <c r="G3559" s="4" t="s">
        <v>5344</v>
      </c>
    </row>
    <row r="3560">
      <c r="A3560" s="1">
        <v>3558.0</v>
      </c>
      <c r="B3560" s="4" t="s">
        <v>5332</v>
      </c>
      <c r="C3560" s="5" t="str">
        <f>IFERROR(__xludf.DUMMYFUNCTION("GOOGLETRANSLATE(D:D,""auto"",""en"")"),"Trump address the nation")</f>
        <v>Trump address the nation</v>
      </c>
      <c r="D3560" s="4" t="s">
        <v>5345</v>
      </c>
      <c r="E3560" s="4">
        <v>0.0</v>
      </c>
      <c r="F3560" s="4">
        <v>9.0</v>
      </c>
      <c r="G3560" s="4" t="s">
        <v>5346</v>
      </c>
    </row>
    <row r="3561">
      <c r="A3561" s="1">
        <v>3559.0</v>
      </c>
      <c r="B3561" s="4" t="s">
        <v>5332</v>
      </c>
      <c r="C3561" s="5" t="str">
        <f>IFERROR(__xludf.DUMMYFUNCTION("GOOGLETRANSLATE(D:D,""auto"",""en"")"),"Tom Hanks son sound")</f>
        <v>Tom Hanks son sound</v>
      </c>
      <c r="D3561" s="4" t="s">
        <v>5347</v>
      </c>
      <c r="E3561" s="4">
        <v>0.0</v>
      </c>
      <c r="F3561" s="4">
        <v>10.0</v>
      </c>
      <c r="G3561" s="4" t="s">
        <v>5348</v>
      </c>
    </row>
    <row r="3562">
      <c r="A3562" s="1">
        <v>3560.0</v>
      </c>
      <c r="B3562" s="4" t="s">
        <v>5332</v>
      </c>
      <c r="C3562" s="5" t="str">
        <f>IFERROR(__xludf.DUMMYFUNCTION("GOOGLETRANSLATE(D:D,""auto"",""en"")"),"Thailand had the accumulation infection")</f>
        <v>Thailand had the accumulation infection</v>
      </c>
      <c r="D3562" s="4" t="s">
        <v>5349</v>
      </c>
      <c r="E3562" s="4">
        <v>0.0</v>
      </c>
      <c r="F3562" s="4">
        <v>11.0</v>
      </c>
      <c r="G3562" s="4" t="s">
        <v>5350</v>
      </c>
    </row>
    <row r="3563">
      <c r="A3563" s="1">
        <v>3561.0</v>
      </c>
      <c r="B3563" s="4" t="s">
        <v>5332</v>
      </c>
      <c r="C3563" s="5" t="str">
        <f>IFERROR(__xludf.DUMMYFUNCTION("GOOGLETRANSLATE(D:D,""auto"",""en"")"),"Nasdaq futures triggered fuse")</f>
        <v>Nasdaq futures triggered fuse</v>
      </c>
      <c r="D3563" s="4" t="s">
        <v>5351</v>
      </c>
      <c r="E3563" s="4">
        <v>0.0</v>
      </c>
      <c r="F3563" s="4">
        <v>12.0</v>
      </c>
      <c r="G3563" s="4" t="s">
        <v>5352</v>
      </c>
    </row>
    <row r="3564">
      <c r="A3564" s="1">
        <v>3562.0</v>
      </c>
      <c r="B3564" s="4" t="s">
        <v>5332</v>
      </c>
      <c r="C3564" s="5" t="str">
        <f>IFERROR(__xludf.DUMMYFUNCTION("GOOGLETRANSLATE(D:D,""auto"",""en"")"),"Sydney words wash over now")</f>
        <v>Sydney words wash over now</v>
      </c>
      <c r="D3564" s="4" t="s">
        <v>5353</v>
      </c>
      <c r="E3564" s="4">
        <v>0.0</v>
      </c>
      <c r="F3564" s="4">
        <v>13.0</v>
      </c>
      <c r="G3564" s="4" t="s">
        <v>5354</v>
      </c>
    </row>
    <row r="3565">
      <c r="A3565" s="1">
        <v>3563.0</v>
      </c>
      <c r="B3565" s="4" t="s">
        <v>5332</v>
      </c>
      <c r="C3565" s="5" t="str">
        <f>IFERROR(__xludf.DUMMYFUNCTION("GOOGLETRANSLATE(D:D,""auto"",""en"")"),"And Hubei to return to work notice")</f>
        <v>And Hubei to return to work notice</v>
      </c>
      <c r="D3565" s="4" t="s">
        <v>5355</v>
      </c>
      <c r="E3565" s="4">
        <v>0.0</v>
      </c>
      <c r="F3565" s="4">
        <v>14.0</v>
      </c>
      <c r="G3565" s="4" t="s">
        <v>5356</v>
      </c>
    </row>
    <row r="3566">
      <c r="A3566" s="1">
        <v>3564.0</v>
      </c>
      <c r="B3566" s="4" t="s">
        <v>5332</v>
      </c>
      <c r="C3566" s="5" t="str">
        <f>IFERROR(__xludf.DUMMYFUNCTION("GOOGLETRANSLATE(D:D,""auto"",""en"")"),"Quanzhou hotel left one person trapped")</f>
        <v>Quanzhou hotel left one person trapped</v>
      </c>
      <c r="D3566" s="4" t="s">
        <v>5357</v>
      </c>
      <c r="E3566" s="4">
        <v>0.0</v>
      </c>
      <c r="F3566" s="4">
        <v>15.0</v>
      </c>
      <c r="G3566" s="4" t="s">
        <v>5358</v>
      </c>
    </row>
    <row r="3567">
      <c r="A3567" s="1">
        <v>3565.0</v>
      </c>
      <c r="B3567" s="4" t="s">
        <v>5332</v>
      </c>
      <c r="C3567" s="5" t="str">
        <f>IFERROR(__xludf.DUMMYFUNCTION("GOOGLETRANSLATE(D:D,""auto"",""en"")"),"Wang Ou was questioned cosmetic")</f>
        <v>Wang Ou was questioned cosmetic</v>
      </c>
      <c r="D3567" s="4" t="s">
        <v>5359</v>
      </c>
      <c r="E3567" s="4">
        <v>0.0</v>
      </c>
      <c r="F3567" s="4">
        <v>16.0</v>
      </c>
      <c r="G3567" s="4" t="s">
        <v>5360</v>
      </c>
    </row>
    <row r="3568">
      <c r="A3568" s="1">
        <v>3566.0</v>
      </c>
      <c r="B3568" s="4" t="s">
        <v>5332</v>
      </c>
      <c r="C3568" s="5" t="str">
        <f>IFERROR(__xludf.DUMMYFUNCTION("GOOGLETRANSLATE(D:D,""auto"",""en"")"),"Shandong most stringent conditions of school")</f>
        <v>Shandong most stringent conditions of school</v>
      </c>
      <c r="D3568" s="4" t="s">
        <v>5264</v>
      </c>
      <c r="E3568" s="4">
        <v>0.0</v>
      </c>
      <c r="F3568" s="4">
        <v>17.0</v>
      </c>
      <c r="G3568" s="4" t="s">
        <v>5265</v>
      </c>
    </row>
    <row r="3569">
      <c r="A3569" s="1">
        <v>3567.0</v>
      </c>
      <c r="B3569" s="4" t="s">
        <v>5332</v>
      </c>
      <c r="C3569" s="5" t="str">
        <f>IFERROR(__xludf.DUMMYFUNCTION("GOOGLETRANSLATE(D:D,""auto"",""en"")"),"Sea fishing will resume operations")</f>
        <v>Sea fishing will resume operations</v>
      </c>
      <c r="D3569" s="4" t="s">
        <v>5361</v>
      </c>
      <c r="E3569" s="4">
        <v>0.0</v>
      </c>
      <c r="F3569" s="4">
        <v>18.0</v>
      </c>
      <c r="G3569" s="4" t="s">
        <v>5362</v>
      </c>
    </row>
    <row r="3570">
      <c r="A3570" s="1">
        <v>3568.0</v>
      </c>
      <c r="B3570" s="4" t="s">
        <v>5332</v>
      </c>
      <c r="C3570" s="5" t="str">
        <f>IFERROR(__xludf.DUMMYFUNCTION("GOOGLETRANSLATE(D:D,""auto"",""en"")"),"Italian nurse to do with linen masks")</f>
        <v>Italian nurse to do with linen masks</v>
      </c>
      <c r="D3570" s="4" t="s">
        <v>5363</v>
      </c>
      <c r="E3570" s="4">
        <v>0.0</v>
      </c>
      <c r="F3570" s="4">
        <v>19.0</v>
      </c>
      <c r="G3570" s="4" t="s">
        <v>5364</v>
      </c>
    </row>
    <row r="3571">
      <c r="A3571" s="1">
        <v>3569.0</v>
      </c>
      <c r="B3571" s="4" t="s">
        <v>5332</v>
      </c>
      <c r="C3571" s="5" t="str">
        <f>IFERROR(__xludf.DUMMYFUNCTION("GOOGLETRANSLATE(D:D,""auto"",""en"")"),"Tom Hanks and his wife infections")</f>
        <v>Tom Hanks and his wife infections</v>
      </c>
      <c r="D3571" s="4" t="s">
        <v>5365</v>
      </c>
      <c r="E3571" s="4">
        <v>0.0</v>
      </c>
      <c r="F3571" s="4">
        <v>20.0</v>
      </c>
      <c r="G3571" s="4" t="s">
        <v>5366</v>
      </c>
    </row>
    <row r="3572">
      <c r="A3572" s="1">
        <v>3570.0</v>
      </c>
      <c r="B3572" s="4" t="s">
        <v>5332</v>
      </c>
      <c r="C3572" s="5" t="str">
        <f>IFERROR(__xludf.DUMMYFUNCTION("GOOGLETRANSLATE(D:D,""auto"",""en"")"),"Zhong Nanshan share China's experience")</f>
        <v>Zhong Nanshan share China's experience</v>
      </c>
      <c r="D3572" s="4" t="s">
        <v>5367</v>
      </c>
      <c r="E3572" s="4">
        <v>0.0</v>
      </c>
      <c r="F3572" s="4">
        <v>21.0</v>
      </c>
      <c r="G3572" s="4" t="s">
        <v>5368</v>
      </c>
    </row>
    <row r="3573">
      <c r="A3573" s="1">
        <v>3571.0</v>
      </c>
      <c r="B3573" s="4" t="s">
        <v>5332</v>
      </c>
      <c r="C3573" s="5" t="str">
        <f>IFERROR(__xludf.DUMMYFUNCTION("GOOGLETRANSLATE(D:D,""auto"",""en"")"),"NBA suspended")</f>
        <v>NBA suspended</v>
      </c>
      <c r="D3573" s="4" t="s">
        <v>5369</v>
      </c>
      <c r="E3573" s="4">
        <v>0.0</v>
      </c>
      <c r="F3573" s="4">
        <v>22.0</v>
      </c>
      <c r="G3573" s="4" t="s">
        <v>5370</v>
      </c>
    </row>
    <row r="3574">
      <c r="A3574" s="1">
        <v>3572.0</v>
      </c>
      <c r="B3574" s="4" t="s">
        <v>5332</v>
      </c>
      <c r="C3574" s="5" t="str">
        <f>IFERROR(__xludf.DUMMYFUNCTION("GOOGLETRANSLATE(D:D,""auto"",""en"")"),"papi sauce sun postpartum family portrait")</f>
        <v>papi sauce sun postpartum family portrait</v>
      </c>
      <c r="D3574" s="4" t="s">
        <v>5371</v>
      </c>
      <c r="E3574" s="4">
        <v>0.0</v>
      </c>
      <c r="F3574" s="4">
        <v>23.0</v>
      </c>
      <c r="G3574" s="4" t="s">
        <v>5372</v>
      </c>
    </row>
    <row r="3575">
      <c r="A3575" s="1">
        <v>3573.0</v>
      </c>
      <c r="B3575" s="4" t="s">
        <v>5332</v>
      </c>
      <c r="C3575" s="5" t="str">
        <f>IFERROR(__xludf.DUMMYFUNCTION("GOOGLETRANSLATE(D:D,""auto"",""en"")"),"Arctic expedition group members infection")</f>
        <v>Arctic expedition group members infection</v>
      </c>
      <c r="D3575" s="4" t="s">
        <v>5373</v>
      </c>
      <c r="E3575" s="4">
        <v>0.0</v>
      </c>
      <c r="F3575" s="4">
        <v>24.0</v>
      </c>
      <c r="G3575" s="4" t="s">
        <v>5374</v>
      </c>
    </row>
    <row r="3576">
      <c r="A3576" s="1">
        <v>3574.0</v>
      </c>
      <c r="B3576" s="4" t="s">
        <v>5332</v>
      </c>
      <c r="C3576" s="5" t="str">
        <f>IFERROR(__xludf.DUMMYFUNCTION("GOOGLETRANSLATE(D:D,""auto"",""en"")"),"Italian nurse tired lie became popular photos")</f>
        <v>Italian nurse tired lie became popular photos</v>
      </c>
      <c r="D3576" s="4" t="s">
        <v>5375</v>
      </c>
      <c r="E3576" s="4">
        <v>0.0</v>
      </c>
      <c r="F3576" s="4">
        <v>25.0</v>
      </c>
      <c r="G3576" s="4" t="s">
        <v>5376</v>
      </c>
    </row>
    <row r="3577">
      <c r="A3577" s="1">
        <v>3575.0</v>
      </c>
      <c r="B3577" s="4" t="s">
        <v>5332</v>
      </c>
      <c r="C3577" s="5" t="str">
        <f>IFERROR(__xludf.DUMMYFUNCTION("GOOGLETRANSLATE(D:D,""auto"",""en"")"),"Zhejiang full implementation of citizens and strokes")</f>
        <v>Zhejiang full implementation of citizens and strokes</v>
      </c>
      <c r="D3577" s="4" t="s">
        <v>5320</v>
      </c>
      <c r="E3577" s="4">
        <v>0.0</v>
      </c>
      <c r="F3577" s="4">
        <v>26.0</v>
      </c>
      <c r="G3577" s="4" t="s">
        <v>5321</v>
      </c>
    </row>
    <row r="3578">
      <c r="A3578" s="1">
        <v>3576.0</v>
      </c>
      <c r="B3578" s="4" t="s">
        <v>5332</v>
      </c>
      <c r="C3578" s="5" t="str">
        <f>IFERROR(__xludf.DUMMYFUNCTION("GOOGLETRANSLATE(D:D,""auto"",""en"")"),"Qiong Yao announced weel hair long article")</f>
        <v>Qiong Yao announced weel hair long article</v>
      </c>
      <c r="D3578" s="4" t="s">
        <v>5377</v>
      </c>
      <c r="E3578" s="4">
        <v>0.0</v>
      </c>
      <c r="F3578" s="4">
        <v>27.0</v>
      </c>
      <c r="G3578" s="4" t="s">
        <v>5378</v>
      </c>
    </row>
    <row r="3579">
      <c r="A3579" s="1">
        <v>3577.0</v>
      </c>
      <c r="B3579" s="4" t="s">
        <v>5332</v>
      </c>
      <c r="C3579" s="5" t="str">
        <f>IFERROR(__xludf.DUMMYFUNCTION("GOOGLETRANSLATE(D:D,""auto"",""en"")"),"Mudi Ai diagnosed with pneumonia new crown")</f>
        <v>Mudi Ai diagnosed with pneumonia new crown</v>
      </c>
      <c r="D3579" s="4" t="s">
        <v>5379</v>
      </c>
      <c r="E3579" s="4">
        <v>0.0</v>
      </c>
      <c r="F3579" s="4">
        <v>28.0</v>
      </c>
      <c r="G3579" s="4" t="s">
        <v>5380</v>
      </c>
    </row>
    <row r="3580">
      <c r="A3580" s="1">
        <v>3578.0</v>
      </c>
      <c r="B3580" s="4" t="s">
        <v>5332</v>
      </c>
      <c r="C3580" s="5" t="str">
        <f>IFERROR(__xludf.DUMMYFUNCTION("GOOGLETRANSLATE(D:D,""auto"",""en"")"),"Merkel issued a warning epidemic")</f>
        <v>Merkel issued a warning epidemic</v>
      </c>
      <c r="D3580" s="4" t="s">
        <v>5310</v>
      </c>
      <c r="E3580" s="4">
        <v>0.0</v>
      </c>
      <c r="F3580" s="4">
        <v>29.0</v>
      </c>
      <c r="G3580" s="4" t="s">
        <v>5311</v>
      </c>
    </row>
    <row r="3581">
      <c r="A3581" s="1">
        <v>3579.0</v>
      </c>
      <c r="B3581" s="4" t="s">
        <v>5332</v>
      </c>
      <c r="C3581" s="5" t="str">
        <f>IFERROR(__xludf.DUMMYFUNCTION("GOOGLETRANSLATE(D:D,""auto"",""en"")"),"US stocks plummeted Buffett talk")</f>
        <v>US stocks plummeted Buffett talk</v>
      </c>
      <c r="D3581" s="4" t="s">
        <v>5381</v>
      </c>
      <c r="E3581" s="4">
        <v>0.0</v>
      </c>
      <c r="F3581" s="4">
        <v>30.0</v>
      </c>
      <c r="G3581" s="4" t="s">
        <v>5382</v>
      </c>
    </row>
    <row r="3582">
      <c r="A3582" s="1">
        <v>3580.0</v>
      </c>
      <c r="B3582" s="4" t="s">
        <v>5332</v>
      </c>
      <c r="C3582" s="5" t="str">
        <f>IFERROR(__xludf.DUMMYFUNCTION("GOOGLETRANSLATE(D:D,""auto"",""en"")"),"C Romania will accept the new crown detection")</f>
        <v>C Romania will accept the new crown detection</v>
      </c>
      <c r="D3582" s="4" t="s">
        <v>5383</v>
      </c>
      <c r="E3582" s="4">
        <v>0.0</v>
      </c>
      <c r="F3582" s="4">
        <v>31.0</v>
      </c>
      <c r="G3582" s="4" t="s">
        <v>5384</v>
      </c>
    </row>
    <row r="3583">
      <c r="A3583" s="1">
        <v>3581.0</v>
      </c>
      <c r="B3583" s="4" t="s">
        <v>5332</v>
      </c>
      <c r="C3583" s="5" t="str">
        <f>IFERROR(__xludf.DUMMYFUNCTION("GOOGLETRANSLATE(D:D,""auto"",""en"")"),"Infectious disease expert warned the United States")</f>
        <v>Infectious disease expert warned the United States</v>
      </c>
      <c r="D3583" s="4" t="s">
        <v>5385</v>
      </c>
      <c r="E3583" s="4">
        <v>0.0</v>
      </c>
      <c r="F3583" s="4">
        <v>32.0</v>
      </c>
      <c r="G3583" s="4" t="s">
        <v>5386</v>
      </c>
    </row>
    <row r="3584">
      <c r="A3584" s="1">
        <v>3582.0</v>
      </c>
      <c r="B3584" s="4" t="s">
        <v>5332</v>
      </c>
      <c r="C3584" s="5" t="str">
        <f>IFERROR(__xludf.DUMMYFUNCTION("GOOGLETRANSLATE(D:D,""auto"",""en"")"),"Soul partner is arrested")</f>
        <v>Soul partner is arrested</v>
      </c>
      <c r="D3584" s="4" t="s">
        <v>5387</v>
      </c>
      <c r="E3584" s="4">
        <v>0.0</v>
      </c>
      <c r="F3584" s="4">
        <v>33.0</v>
      </c>
      <c r="G3584" s="4" t="s">
        <v>5388</v>
      </c>
    </row>
    <row r="3585">
      <c r="A3585" s="1">
        <v>3583.0</v>
      </c>
      <c r="B3585" s="4" t="s">
        <v>5332</v>
      </c>
      <c r="C3585" s="5" t="str">
        <f>IFERROR(__xludf.DUMMYFUNCTION("GOOGLETRANSLATE(D:D,""auto"",""en"")"),"Net exposure Luo Yufeng infect new crown")</f>
        <v>Net exposure Luo Yufeng infect new crown</v>
      </c>
      <c r="D3585" s="4" t="s">
        <v>5389</v>
      </c>
      <c r="E3585" s="4">
        <v>0.0</v>
      </c>
      <c r="F3585" s="4">
        <v>34.0</v>
      </c>
      <c r="G3585" s="4" t="s">
        <v>5390</v>
      </c>
    </row>
    <row r="3586">
      <c r="A3586" s="1">
        <v>3584.0</v>
      </c>
      <c r="B3586" s="4" t="s">
        <v>5332</v>
      </c>
      <c r="C3586" s="5" t="str">
        <f>IFERROR(__xludf.DUMMYFUNCTION("GOOGLETRANSLATE(D:D,""auto"",""en"")"),"Zhong Nanshan, attended the press conference")</f>
        <v>Zhong Nanshan, attended the press conference</v>
      </c>
      <c r="D3586" s="4" t="s">
        <v>5391</v>
      </c>
      <c r="E3586" s="4">
        <v>0.0</v>
      </c>
      <c r="F3586" s="4">
        <v>35.0</v>
      </c>
      <c r="G3586" s="4" t="s">
        <v>5392</v>
      </c>
    </row>
    <row r="3587">
      <c r="A3587" s="1">
        <v>3585.0</v>
      </c>
      <c r="B3587" s="4" t="s">
        <v>5332</v>
      </c>
      <c r="C3587" s="5" t="str">
        <f>IFERROR(__xludf.DUMMYFUNCTION("GOOGLETRANSLATE(D:D,""auto"",""en"")"),"Sir Thunder game was stopped")</f>
        <v>Sir Thunder game was stopped</v>
      </c>
      <c r="D3587" s="4" t="s">
        <v>5393</v>
      </c>
      <c r="E3587" s="4">
        <v>0.0</v>
      </c>
      <c r="F3587" s="4">
        <v>36.0</v>
      </c>
      <c r="G3587" s="4" t="s">
        <v>5394</v>
      </c>
    </row>
    <row r="3588">
      <c r="A3588" s="1">
        <v>3586.0</v>
      </c>
      <c r="B3588" s="4" t="s">
        <v>5332</v>
      </c>
      <c r="C3588" s="5" t="str">
        <f>IFERROR(__xludf.DUMMYFUNCTION("GOOGLETRANSLATE(D:D,""auto"",""en"")"),"One people were killed in the collapse of")</f>
        <v>One people were killed in the collapse of</v>
      </c>
      <c r="D3588" s="4" t="s">
        <v>5266</v>
      </c>
      <c r="E3588" s="4">
        <v>0.0</v>
      </c>
      <c r="F3588" s="4">
        <v>37.0</v>
      </c>
      <c r="G3588" s="4" t="s">
        <v>5267</v>
      </c>
    </row>
    <row r="3589">
      <c r="A3589" s="1">
        <v>3587.0</v>
      </c>
      <c r="B3589" s="4" t="s">
        <v>5332</v>
      </c>
      <c r="C3589" s="5" t="str">
        <f>IFERROR(__xludf.DUMMYFUNCTION("GOOGLETRANSLATE(D:D,""auto"",""en"")"),"States to fly the route postpone the resumption of flights")</f>
        <v>States to fly the route postpone the resumption of flights</v>
      </c>
      <c r="D3589" s="4" t="s">
        <v>5395</v>
      </c>
      <c r="E3589" s="4">
        <v>0.0</v>
      </c>
      <c r="F3589" s="4">
        <v>38.0</v>
      </c>
      <c r="G3589" s="4" t="s">
        <v>5396</v>
      </c>
    </row>
    <row r="3590">
      <c r="A3590" s="1">
        <v>3588.0</v>
      </c>
      <c r="B3590" s="4" t="s">
        <v>5332</v>
      </c>
      <c r="C3590" s="5" t="str">
        <f>IFERROR(__xludf.DUMMYFUNCTION("GOOGLETRANSLATE(D:D,""auto"",""en"")"),"British law to cancel the order masks")</f>
        <v>British law to cancel the order masks</v>
      </c>
      <c r="D3590" s="4" t="s">
        <v>5397</v>
      </c>
      <c r="E3590" s="4">
        <v>0.0</v>
      </c>
      <c r="F3590" s="4">
        <v>39.0</v>
      </c>
      <c r="G3590" s="4" t="s">
        <v>5398</v>
      </c>
    </row>
    <row r="3591">
      <c r="A3591" s="1">
        <v>3589.0</v>
      </c>
      <c r="B3591" s="4" t="s">
        <v>5332</v>
      </c>
      <c r="C3591" s="5" t="str">
        <f>IFERROR(__xludf.DUMMYFUNCTION("GOOGLETRANSLATE(D:D,""auto"",""en"")"),"After starting the sound of James suspension")</f>
        <v>After starting the sound of James suspension</v>
      </c>
      <c r="D3591" s="4" t="s">
        <v>5399</v>
      </c>
      <c r="E3591" s="4">
        <v>0.0</v>
      </c>
      <c r="F3591" s="4">
        <v>40.0</v>
      </c>
      <c r="G3591" s="4" t="s">
        <v>5400</v>
      </c>
    </row>
    <row r="3592">
      <c r="A3592" s="1">
        <v>3590.0</v>
      </c>
      <c r="B3592" s="4" t="s">
        <v>5332</v>
      </c>
      <c r="C3592" s="5" t="str">
        <f>IFERROR(__xludf.DUMMYFUNCTION("GOOGLETRANSLATE(D:D,""auto"",""en"")"),"Swiss medical supplies has been cut")</f>
        <v>Swiss medical supplies has been cut</v>
      </c>
      <c r="D3592" s="4" t="s">
        <v>5401</v>
      </c>
      <c r="E3592" s="4">
        <v>0.0</v>
      </c>
      <c r="F3592" s="4">
        <v>41.0</v>
      </c>
      <c r="G3592" s="4" t="s">
        <v>5402</v>
      </c>
    </row>
    <row r="3593">
      <c r="A3593" s="1">
        <v>3591.0</v>
      </c>
      <c r="B3593" s="4" t="s">
        <v>5332</v>
      </c>
      <c r="C3593" s="5" t="str">
        <f>IFERROR(__xludf.DUMMYFUNCTION("GOOGLETRANSLATE(D:D,""auto"",""en"")"),"The military expelled the US ship trespass")</f>
        <v>The military expelled the US ship trespass</v>
      </c>
      <c r="D3593" s="4" t="s">
        <v>5300</v>
      </c>
      <c r="E3593" s="4">
        <v>0.0</v>
      </c>
      <c r="F3593" s="4">
        <v>42.0</v>
      </c>
      <c r="G3593" s="4" t="s">
        <v>5301</v>
      </c>
    </row>
    <row r="3594">
      <c r="A3594" s="1">
        <v>3592.0</v>
      </c>
      <c r="B3594" s="4" t="s">
        <v>5332</v>
      </c>
      <c r="C3594" s="5" t="str">
        <f>IFERROR(__xludf.DUMMYFUNCTION("GOOGLETRANSLATE(D:D,""auto"",""en"")"),"Trump talk about the US epidemic risk")</f>
        <v>Trump talk about the US epidemic risk</v>
      </c>
      <c r="D3594" s="4" t="s">
        <v>5318</v>
      </c>
      <c r="E3594" s="4">
        <v>0.0</v>
      </c>
      <c r="F3594" s="4">
        <v>43.0</v>
      </c>
      <c r="G3594" s="4" t="s">
        <v>5319</v>
      </c>
    </row>
    <row r="3595">
      <c r="A3595" s="1">
        <v>3593.0</v>
      </c>
      <c r="B3595" s="4" t="s">
        <v>5332</v>
      </c>
      <c r="C3595" s="5" t="str">
        <f>IFERROR(__xludf.DUMMYFUNCTION("GOOGLETRANSLATE(D:D,""auto"",""en"")"),"Aoyama district deputy head examined")</f>
        <v>Aoyama district deputy head examined</v>
      </c>
      <c r="D3595" s="4" t="s">
        <v>5403</v>
      </c>
      <c r="E3595" s="4">
        <v>0.0</v>
      </c>
      <c r="F3595" s="4">
        <v>44.0</v>
      </c>
      <c r="G3595" s="4" t="s">
        <v>5404</v>
      </c>
    </row>
    <row r="3596">
      <c r="A3596" s="1">
        <v>3594.0</v>
      </c>
      <c r="B3596" s="4" t="s">
        <v>5332</v>
      </c>
      <c r="C3596" s="5" t="str">
        <f>IFERROR(__xludf.DUMMYFUNCTION("GOOGLETRANSLATE(D:D,""auto"",""en"")"),"Juve players diagnosed with the new crown")</f>
        <v>Juve players diagnosed with the new crown</v>
      </c>
      <c r="D3596" s="4" t="s">
        <v>5405</v>
      </c>
      <c r="E3596" s="4">
        <v>0.0</v>
      </c>
      <c r="F3596" s="4">
        <v>45.0</v>
      </c>
      <c r="G3596" s="4" t="s">
        <v>5406</v>
      </c>
    </row>
    <row r="3597">
      <c r="A3597" s="1">
        <v>3595.0</v>
      </c>
      <c r="B3597" s="4" t="s">
        <v>5332</v>
      </c>
      <c r="C3597" s="5" t="str">
        <f>IFERROR(__xludf.DUMMYFUNCTION("GOOGLETRANSLATE(D:D,""auto"",""en"")"),"Zhou Yang Qing trumpet thank fans")</f>
        <v>Zhou Yang Qing trumpet thank fans</v>
      </c>
      <c r="D3597" s="4" t="s">
        <v>5407</v>
      </c>
      <c r="E3597" s="4">
        <v>0.0</v>
      </c>
      <c r="F3597" s="4">
        <v>46.0</v>
      </c>
      <c r="G3597" s="4" t="s">
        <v>5408</v>
      </c>
    </row>
    <row r="3598">
      <c r="A3598" s="1">
        <v>3596.0</v>
      </c>
      <c r="B3598" s="4" t="s">
        <v>5332</v>
      </c>
      <c r="C3598" s="5" t="str">
        <f>IFERROR(__xludf.DUMMYFUNCTION("GOOGLETRANSLATE(D:D,""auto"",""en"")"),"Denmark closed city")</f>
        <v>Denmark closed city</v>
      </c>
      <c r="D3598" s="4" t="s">
        <v>5409</v>
      </c>
      <c r="E3598" s="4">
        <v>0.0</v>
      </c>
      <c r="F3598" s="4">
        <v>47.0</v>
      </c>
      <c r="G3598" s="4" t="s">
        <v>5410</v>
      </c>
    </row>
    <row r="3599">
      <c r="A3599" s="1">
        <v>3597.0</v>
      </c>
      <c r="B3599" s="4" t="s">
        <v>5332</v>
      </c>
      <c r="C3599" s="5" t="str">
        <f>IFERROR(__xludf.DUMMYFUNCTION("GOOGLETRANSLATE(D:D,""auto"",""en"")"),"Japan's population infected with the outbreak")</f>
        <v>Japan's population infected with the outbreak</v>
      </c>
      <c r="D3599" s="4" t="s">
        <v>5294</v>
      </c>
      <c r="E3599" s="4">
        <v>0.0</v>
      </c>
      <c r="F3599" s="4">
        <v>48.0</v>
      </c>
      <c r="G3599" s="4" t="s">
        <v>5295</v>
      </c>
    </row>
    <row r="3600">
      <c r="A3600" s="1">
        <v>3598.0</v>
      </c>
      <c r="B3600" s="4" t="s">
        <v>5332</v>
      </c>
      <c r="C3600" s="5" t="str">
        <f>IFERROR(__xludf.DUMMYFUNCTION("GOOGLETRANSLATE(D:D,""auto"",""en"")"),"New features exposed iOS14")</f>
        <v>New features exposed iOS14</v>
      </c>
      <c r="D3600" s="4" t="s">
        <v>5314</v>
      </c>
      <c r="E3600" s="4">
        <v>0.0</v>
      </c>
      <c r="F3600" s="4">
        <v>49.0</v>
      </c>
      <c r="G3600" s="4" t="s">
        <v>5315</v>
      </c>
    </row>
    <row r="3601">
      <c r="A3601" s="1">
        <v>3599.0</v>
      </c>
      <c r="B3601" s="4" t="s">
        <v>5332</v>
      </c>
      <c r="C3601" s="5" t="str">
        <f>IFERROR(__xludf.DUMMYFUNCTION("GOOGLETRANSLATE(D:D,""auto"",""en"")"),"Blue Moon, president of the recording outflows")</f>
        <v>Blue Moon, president of the recording outflows</v>
      </c>
      <c r="D3601" s="4" t="s">
        <v>5411</v>
      </c>
      <c r="E3601" s="4">
        <v>0.0</v>
      </c>
      <c r="F3601" s="4">
        <v>50.0</v>
      </c>
      <c r="G3601" s="4" t="s">
        <v>5412</v>
      </c>
    </row>
    <row r="3602">
      <c r="A3602" s="1">
        <v>3600.0</v>
      </c>
      <c r="B3602" s="4" t="s">
        <v>5413</v>
      </c>
      <c r="C3602" s="5" t="str">
        <f>IFERROR(__xludf.DUMMYFUNCTION("GOOGLETRANSLATE(D:D,""auto"",""en"")"),"Zhong Nanshan talk about the end of the epidemic")</f>
        <v>Zhong Nanshan talk about the end of the epidemic</v>
      </c>
      <c r="D3602" s="4" t="s">
        <v>5414</v>
      </c>
      <c r="E3602" s="4">
        <v>0.0</v>
      </c>
      <c r="F3602" s="4">
        <v>1.0</v>
      </c>
      <c r="G3602" s="4" t="s">
        <v>5415</v>
      </c>
    </row>
    <row r="3603">
      <c r="A3603" s="1">
        <v>3601.0</v>
      </c>
      <c r="B3603" s="4" t="s">
        <v>5413</v>
      </c>
      <c r="C3603" s="5" t="str">
        <f>IFERROR(__xludf.DUMMYFUNCTION("GOOGLETRANSLATE(D:D,""auto"",""en"")"),"European Cup postponed to 2021")</f>
        <v>European Cup postponed to 2021</v>
      </c>
      <c r="D3603" s="4" t="s">
        <v>5416</v>
      </c>
      <c r="E3603" s="4">
        <v>0.0</v>
      </c>
      <c r="F3603" s="4">
        <v>2.0</v>
      </c>
      <c r="G3603" s="4" t="s">
        <v>5417</v>
      </c>
    </row>
    <row r="3604">
      <c r="A3604" s="1">
        <v>3602.0</v>
      </c>
      <c r="B3604" s="4" t="s">
        <v>5413</v>
      </c>
      <c r="C3604" s="5" t="str">
        <f>IFERROR(__xludf.DUMMYFUNCTION("GOOGLETRANSLATE(D:D,""auto"",""en"")"),"Italian nurse tired lie became popular photos")</f>
        <v>Italian nurse tired lie became popular photos</v>
      </c>
      <c r="D3604" s="4" t="s">
        <v>5375</v>
      </c>
      <c r="E3604" s="4">
        <v>0.0</v>
      </c>
      <c r="F3604" s="4">
        <v>3.0</v>
      </c>
      <c r="G3604" s="4" t="s">
        <v>5376</v>
      </c>
    </row>
    <row r="3605">
      <c r="A3605" s="1">
        <v>3603.0</v>
      </c>
      <c r="B3605" s="4" t="s">
        <v>5413</v>
      </c>
      <c r="C3605" s="5" t="str">
        <f>IFERROR(__xludf.DUMMYFUNCTION("GOOGLETRANSLATE(D:D,""auto"",""en"")"),"Wang Ou was questioned cosmetic")</f>
        <v>Wang Ou was questioned cosmetic</v>
      </c>
      <c r="D3605" s="4" t="s">
        <v>5359</v>
      </c>
      <c r="E3605" s="4">
        <v>0.0</v>
      </c>
      <c r="F3605" s="4">
        <v>4.0</v>
      </c>
      <c r="G3605" s="4" t="s">
        <v>5360</v>
      </c>
    </row>
    <row r="3606">
      <c r="A3606" s="1">
        <v>3604.0</v>
      </c>
      <c r="B3606" s="4" t="s">
        <v>5413</v>
      </c>
      <c r="C3606" s="5" t="str">
        <f>IFERROR(__xludf.DUMMYFUNCTION("GOOGLETRANSLATE(D:D,""auto"",""en"")"),"Jiang grandmother after the death of the testator")</f>
        <v>Jiang grandmother after the death of the testator</v>
      </c>
      <c r="D3606" s="4" t="s">
        <v>5418</v>
      </c>
      <c r="E3606" s="4">
        <v>0.0</v>
      </c>
      <c r="F3606" s="4">
        <v>5.0</v>
      </c>
      <c r="G3606" s="4" t="s">
        <v>5419</v>
      </c>
    </row>
    <row r="3607">
      <c r="A3607" s="1">
        <v>3605.0</v>
      </c>
      <c r="B3607" s="4" t="s">
        <v>5413</v>
      </c>
      <c r="C3607" s="5" t="str">
        <f>IFERROR(__xludf.DUMMYFUNCTION("GOOGLETRANSLATE(D:D,""auto"",""en"")"),"And Hubei to return to work notice")</f>
        <v>And Hubei to return to work notice</v>
      </c>
      <c r="D3607" s="4" t="s">
        <v>5355</v>
      </c>
      <c r="E3607" s="4">
        <v>0.0</v>
      </c>
      <c r="F3607" s="4">
        <v>6.0</v>
      </c>
      <c r="G3607" s="4" t="s">
        <v>5356</v>
      </c>
    </row>
    <row r="3608">
      <c r="A3608" s="1">
        <v>3606.0</v>
      </c>
      <c r="B3608" s="4" t="s">
        <v>5413</v>
      </c>
      <c r="C3608" s="5" t="str">
        <f>IFERROR(__xludf.DUMMYFUNCTION("GOOGLETRANSLATE(D:D,""auto"",""en"")"),"Americans invited Zhong Nanshan")</f>
        <v>Americans invited Zhong Nanshan</v>
      </c>
      <c r="D3608" s="4" t="s">
        <v>5420</v>
      </c>
      <c r="E3608" s="4">
        <v>0.0</v>
      </c>
      <c r="F3608" s="4">
        <v>7.0</v>
      </c>
      <c r="G3608" s="4" t="s">
        <v>5421</v>
      </c>
    </row>
    <row r="3609">
      <c r="A3609" s="1">
        <v>3607.0</v>
      </c>
      <c r="B3609" s="4" t="s">
        <v>5413</v>
      </c>
      <c r="C3609" s="5" t="str">
        <f>IFERROR(__xludf.DUMMYFUNCTION("GOOGLETRANSLATE(D:D,""auto"",""en"")"),"European stock markets plunged across the board")</f>
        <v>European stock markets plunged across the board</v>
      </c>
      <c r="D3609" s="4" t="s">
        <v>5422</v>
      </c>
      <c r="E3609" s="4">
        <v>0.0</v>
      </c>
      <c r="F3609" s="4">
        <v>8.0</v>
      </c>
      <c r="G3609" s="4" t="s">
        <v>5423</v>
      </c>
    </row>
    <row r="3610">
      <c r="A3610" s="1">
        <v>3608.0</v>
      </c>
      <c r="B3610" s="4" t="s">
        <v>5413</v>
      </c>
      <c r="C3610" s="5" t="str">
        <f>IFERROR(__xludf.DUMMYFUNCTION("GOOGLETRANSLATE(D:D,""auto"",""en"")"),"National new cases of 8 cases")</f>
        <v>National new cases of 8 cases</v>
      </c>
      <c r="D3610" s="4" t="s">
        <v>5424</v>
      </c>
      <c r="E3610" s="4">
        <v>0.0</v>
      </c>
      <c r="F3610" s="4">
        <v>9.0</v>
      </c>
      <c r="G3610" s="4" t="s">
        <v>5425</v>
      </c>
    </row>
    <row r="3611">
      <c r="A3611" s="1">
        <v>3609.0</v>
      </c>
      <c r="B3611" s="4" t="s">
        <v>5413</v>
      </c>
      <c r="C3611" s="5" t="str">
        <f>IFERROR(__xludf.DUMMYFUNCTION("GOOGLETRANSLATE(D:D,""auto"",""en"")"),"Lin Dan lost to Chen Long")</f>
        <v>Lin Dan lost to Chen Long</v>
      </c>
      <c r="D3611" s="4" t="s">
        <v>5426</v>
      </c>
      <c r="E3611" s="4">
        <v>0.0</v>
      </c>
      <c r="F3611" s="4">
        <v>10.0</v>
      </c>
      <c r="G3611" s="4" t="s">
        <v>5427</v>
      </c>
    </row>
    <row r="3612">
      <c r="A3612" s="1">
        <v>3610.0</v>
      </c>
      <c r="B3612" s="4" t="s">
        <v>5413</v>
      </c>
      <c r="C3612" s="5" t="str">
        <f>IFERROR(__xludf.DUMMYFUNCTION("GOOGLETRANSLATE(D:D,""auto"",""en"")"),"Labor Day holiday five days")</f>
        <v>Labor Day holiday five days</v>
      </c>
      <c r="D3612" s="4" t="s">
        <v>5428</v>
      </c>
      <c r="E3612" s="4">
        <v>0.0</v>
      </c>
      <c r="F3612" s="4">
        <v>11.0</v>
      </c>
      <c r="G3612" s="4" t="s">
        <v>5429</v>
      </c>
    </row>
    <row r="3613">
      <c r="A3613" s="1">
        <v>3611.0</v>
      </c>
      <c r="B3613" s="4" t="s">
        <v>5413</v>
      </c>
      <c r="C3613" s="5" t="str">
        <f>IFERROR(__xludf.DUMMYFUNCTION("GOOGLETRANSLATE(D:D,""auto"",""en"")"),"Trump worry about being infected exposure")</f>
        <v>Trump worry about being infected exposure</v>
      </c>
      <c r="D3613" s="4" t="s">
        <v>5430</v>
      </c>
      <c r="E3613" s="4">
        <v>0.0</v>
      </c>
      <c r="F3613" s="4">
        <v>12.0</v>
      </c>
      <c r="G3613" s="4" t="s">
        <v>5431</v>
      </c>
    </row>
    <row r="3614">
      <c r="A3614" s="1">
        <v>3612.0</v>
      </c>
      <c r="B3614" s="4" t="s">
        <v>5413</v>
      </c>
      <c r="C3614" s="5" t="str">
        <f>IFERROR(__xludf.DUMMYFUNCTION("GOOGLETRANSLATE(D:D,""auto"",""en"")"),"Peng Guanying party denies new romance")</f>
        <v>Peng Guanying party denies new romance</v>
      </c>
      <c r="D3614" s="4" t="s">
        <v>5432</v>
      </c>
      <c r="E3614" s="4">
        <v>0.0</v>
      </c>
      <c r="F3614" s="4">
        <v>13.0</v>
      </c>
      <c r="G3614" s="4" t="s">
        <v>5433</v>
      </c>
    </row>
    <row r="3615">
      <c r="A3615" s="1">
        <v>3613.0</v>
      </c>
      <c r="B3615" s="4" t="s">
        <v>5413</v>
      </c>
      <c r="C3615" s="5" t="str">
        <f>IFERROR(__xludf.DUMMYFUNCTION("GOOGLETRANSLATE(D:D,""auto"",""en"")"),"Italy outbreak strikes")</f>
        <v>Italy outbreak strikes</v>
      </c>
      <c r="D3615" s="4" t="s">
        <v>5434</v>
      </c>
      <c r="E3615" s="4">
        <v>0.0</v>
      </c>
      <c r="F3615" s="4">
        <v>14.0</v>
      </c>
      <c r="G3615" s="4" t="s">
        <v>5435</v>
      </c>
    </row>
    <row r="3616">
      <c r="A3616" s="1">
        <v>3614.0</v>
      </c>
      <c r="B3616" s="4" t="s">
        <v>5413</v>
      </c>
      <c r="C3616" s="5" t="str">
        <f>IFERROR(__xludf.DUMMYFUNCTION("GOOGLETRANSLATE(D:D,""auto"",""en"")"),"China confirmed more than 40,000 overseas")</f>
        <v>China confirmed more than 40,000 overseas</v>
      </c>
      <c r="D3616" s="4" t="s">
        <v>5436</v>
      </c>
      <c r="E3616" s="4">
        <v>0.0</v>
      </c>
      <c r="F3616" s="4">
        <v>15.0</v>
      </c>
      <c r="G3616" s="4" t="s">
        <v>5437</v>
      </c>
    </row>
    <row r="3617">
      <c r="A3617" s="1">
        <v>3615.0</v>
      </c>
      <c r="B3617" s="4" t="s">
        <v>5413</v>
      </c>
      <c r="C3617" s="5" t="str">
        <f>IFERROR(__xludf.DUMMYFUNCTION("GOOGLETRANSLATE(D:D,""auto"",""en"")"),"US retaliatory air strike")</f>
        <v>US retaliatory air strike</v>
      </c>
      <c r="D3617" s="4" t="s">
        <v>5438</v>
      </c>
      <c r="E3617" s="4">
        <v>0.0</v>
      </c>
      <c r="F3617" s="4">
        <v>16.0</v>
      </c>
      <c r="G3617" s="4" t="s">
        <v>5439</v>
      </c>
    </row>
    <row r="3618">
      <c r="A3618" s="1">
        <v>3616.0</v>
      </c>
      <c r="B3618" s="4" t="s">
        <v>5413</v>
      </c>
      <c r="C3618" s="5" t="str">
        <f>IFERROR(__xludf.DUMMYFUNCTION("GOOGLETRANSLATE(D:D,""auto"",""en"")"),"Ma donations to the United States")</f>
        <v>Ma donations to the United States</v>
      </c>
      <c r="D3618" s="4" t="s">
        <v>5440</v>
      </c>
      <c r="E3618" s="4">
        <v>0.0</v>
      </c>
      <c r="F3618" s="4">
        <v>17.0</v>
      </c>
      <c r="G3618" s="4" t="s">
        <v>5441</v>
      </c>
    </row>
    <row r="3619">
      <c r="A3619" s="1">
        <v>3617.0</v>
      </c>
      <c r="B3619" s="4" t="s">
        <v>5413</v>
      </c>
      <c r="C3619" s="5" t="str">
        <f>IFERROR(__xludf.DUMMYFUNCTION("GOOGLETRANSLATE(D:D,""auto"",""en"")"),"ZHANG Wen-hong talk about the epidemic Italy")</f>
        <v>ZHANG Wen-hong talk about the epidemic Italy</v>
      </c>
      <c r="D3619" s="4" t="s">
        <v>5442</v>
      </c>
      <c r="E3619" s="4">
        <v>0.0</v>
      </c>
      <c r="F3619" s="4">
        <v>18.0</v>
      </c>
      <c r="G3619" s="4" t="s">
        <v>5443</v>
      </c>
    </row>
    <row r="3620">
      <c r="A3620" s="1">
        <v>3618.0</v>
      </c>
      <c r="B3620" s="4" t="s">
        <v>5413</v>
      </c>
      <c r="C3620" s="5" t="str">
        <f>IFERROR(__xludf.DUMMYFUNCTION("GOOGLETRANSLATE(D:D,""auto"",""en"")"),"Alan Tam Live mainland debut")</f>
        <v>Alan Tam Live mainland debut</v>
      </c>
      <c r="D3620" s="4" t="s">
        <v>5444</v>
      </c>
      <c r="E3620" s="4">
        <v>0.0</v>
      </c>
      <c r="F3620" s="4">
        <v>19.0</v>
      </c>
      <c r="G3620" s="4" t="s">
        <v>5445</v>
      </c>
    </row>
    <row r="3621">
      <c r="A3621" s="1">
        <v>3619.0</v>
      </c>
      <c r="B3621" s="4" t="s">
        <v>5413</v>
      </c>
      <c r="C3621" s="5" t="str">
        <f>IFERROR(__xludf.DUMMYFUNCTION("GOOGLETRANSLATE(D:D,""auto"",""en"")"),"Joanna will do plastic surgery")</f>
        <v>Joanna will do plastic surgery</v>
      </c>
      <c r="D3621" s="4" t="s">
        <v>5446</v>
      </c>
      <c r="E3621" s="4">
        <v>0.0</v>
      </c>
      <c r="F3621" s="4">
        <v>20.0</v>
      </c>
      <c r="G3621" s="4" t="s">
        <v>5447</v>
      </c>
    </row>
    <row r="3622">
      <c r="A3622" s="1">
        <v>3620.0</v>
      </c>
      <c r="B3622" s="4" t="s">
        <v>5413</v>
      </c>
      <c r="C3622" s="5" t="str">
        <f>IFERROR(__xludf.DUMMYFUNCTION("GOOGLETRANSLATE(D:D,""auto"",""en"")"),"Bertrand Puan times emergency call")</f>
        <v>Bertrand Puan times emergency call</v>
      </c>
      <c r="D3622" s="4" t="s">
        <v>5448</v>
      </c>
      <c r="E3622" s="4">
        <v>0.0</v>
      </c>
      <c r="F3622" s="4">
        <v>21.0</v>
      </c>
      <c r="G3622" s="4" t="s">
        <v>5449</v>
      </c>
    </row>
    <row r="3623">
      <c r="A3623" s="1">
        <v>3621.0</v>
      </c>
      <c r="B3623" s="4" t="s">
        <v>5413</v>
      </c>
      <c r="C3623" s="5" t="str">
        <f>IFERROR(__xludf.DUMMYFUNCTION("GOOGLETRANSLATE(D:D,""auto"",""en"")"),"Brazilian President confirmed")</f>
        <v>Brazilian President confirmed</v>
      </c>
      <c r="D3623" s="4" t="s">
        <v>5450</v>
      </c>
      <c r="E3623" s="4">
        <v>0.0</v>
      </c>
      <c r="F3623" s="4">
        <v>22.0</v>
      </c>
      <c r="G3623" s="4" t="s">
        <v>5451</v>
      </c>
    </row>
    <row r="3624">
      <c r="A3624" s="1">
        <v>3622.0</v>
      </c>
      <c r="B3624" s="4" t="s">
        <v>5413</v>
      </c>
      <c r="C3624" s="5" t="str">
        <f>IFERROR(__xludf.DUMMYFUNCTION("GOOGLETRANSLATE(D:D,""auto"",""en"")"),"Britain intends to make people infected")</f>
        <v>Britain intends to make people infected</v>
      </c>
      <c r="D3624" s="4" t="s">
        <v>5452</v>
      </c>
      <c r="E3624" s="4">
        <v>0.0</v>
      </c>
      <c r="F3624" s="4">
        <v>23.0</v>
      </c>
      <c r="G3624" s="4" t="s">
        <v>5453</v>
      </c>
    </row>
    <row r="3625">
      <c r="A3625" s="1">
        <v>3623.0</v>
      </c>
      <c r="B3625" s="4" t="s">
        <v>5413</v>
      </c>
      <c r="C3625" s="5" t="str">
        <f>IFERROR(__xludf.DUMMYFUNCTION("GOOGLETRANSLATE(D:D,""auto"",""en"")"),"Sydney words wash over now")</f>
        <v>Sydney words wash over now</v>
      </c>
      <c r="D3625" s="4" t="s">
        <v>5353</v>
      </c>
      <c r="E3625" s="4">
        <v>0.0</v>
      </c>
      <c r="F3625" s="4">
        <v>24.0</v>
      </c>
      <c r="G3625" s="4" t="s">
        <v>5354</v>
      </c>
    </row>
    <row r="3626">
      <c r="A3626" s="1">
        <v>3624.0</v>
      </c>
      <c r="B3626" s="4" t="s">
        <v>5413</v>
      </c>
      <c r="C3626" s="5" t="str">
        <f>IFERROR(__xludf.DUMMYFUNCTION("GOOGLETRANSLATE(D:D,""auto"",""en"")"),"Trump address the nation")</f>
        <v>Trump address the nation</v>
      </c>
      <c r="D3626" s="4" t="s">
        <v>5345</v>
      </c>
      <c r="E3626" s="4">
        <v>0.0</v>
      </c>
      <c r="F3626" s="4">
        <v>25.0</v>
      </c>
      <c r="G3626" s="4" t="s">
        <v>5346</v>
      </c>
    </row>
    <row r="3627">
      <c r="A3627" s="1">
        <v>3625.0</v>
      </c>
      <c r="B3627" s="4" t="s">
        <v>5413</v>
      </c>
      <c r="C3627" s="5" t="str">
        <f>IFERROR(__xludf.DUMMYFUNCTION("GOOGLETRANSLATE(D:D,""auto"",""en"")"),"Xifeng respond to infect new crown")</f>
        <v>Xifeng respond to infect new crown</v>
      </c>
      <c r="D3627" s="4" t="s">
        <v>5454</v>
      </c>
      <c r="E3627" s="4">
        <v>0.0</v>
      </c>
      <c r="F3627" s="4">
        <v>26.0</v>
      </c>
      <c r="G3627" s="4" t="s">
        <v>5455</v>
      </c>
    </row>
    <row r="3628">
      <c r="A3628" s="1">
        <v>3626.0</v>
      </c>
      <c r="B3628" s="4" t="s">
        <v>5413</v>
      </c>
      <c r="C3628" s="5" t="str">
        <f>IFERROR(__xludf.DUMMYFUNCTION("GOOGLETRANSLATE(D:D,""auto"",""en"")"),"Mulan withdrawal global file")</f>
        <v>Mulan withdrawal global file</v>
      </c>
      <c r="D3628" s="4" t="s">
        <v>5456</v>
      </c>
      <c r="E3628" s="4">
        <v>0.0</v>
      </c>
      <c r="F3628" s="4">
        <v>27.0</v>
      </c>
      <c r="G3628" s="4" t="s">
        <v>5457</v>
      </c>
    </row>
    <row r="3629">
      <c r="A3629" s="1">
        <v>3627.0</v>
      </c>
      <c r="B3629" s="4" t="s">
        <v>5413</v>
      </c>
      <c r="C3629" s="5" t="str">
        <f>IFERROR(__xludf.DUMMYFUNCTION("GOOGLETRANSLATE(D:D,""auto"",""en"")"),"India's stock market plunge")</f>
        <v>India's stock market plunge</v>
      </c>
      <c r="D3629" s="4" t="s">
        <v>5458</v>
      </c>
      <c r="E3629" s="4">
        <v>0.0</v>
      </c>
      <c r="F3629" s="4">
        <v>28.0</v>
      </c>
      <c r="G3629" s="4" t="s">
        <v>5459</v>
      </c>
    </row>
    <row r="3630">
      <c r="A3630" s="1">
        <v>3628.0</v>
      </c>
      <c r="B3630" s="4" t="s">
        <v>5413</v>
      </c>
      <c r="C3630" s="5" t="str">
        <f>IFERROR(__xludf.DUMMYFUNCTION("GOOGLETRANSLATE(D:D,""auto"",""en"")"),"Trump and CNN and tear open")</f>
        <v>Trump and CNN and tear open</v>
      </c>
      <c r="D3630" s="4" t="s">
        <v>5460</v>
      </c>
      <c r="E3630" s="4">
        <v>0.0</v>
      </c>
      <c r="F3630" s="4">
        <v>29.0</v>
      </c>
      <c r="G3630" s="4" t="s">
        <v>5461</v>
      </c>
    </row>
    <row r="3631">
      <c r="A3631" s="1">
        <v>3629.0</v>
      </c>
      <c r="B3631" s="4" t="s">
        <v>5413</v>
      </c>
      <c r="C3631" s="5" t="str">
        <f>IFERROR(__xludf.DUMMYFUNCTION("GOOGLETRANSLATE(D:D,""auto"",""en"")"),"2020 Ching Ming Festival holiday arrangements")</f>
        <v>2020 Ching Ming Festival holiday arrangements</v>
      </c>
      <c r="D3631" s="4" t="s">
        <v>5462</v>
      </c>
      <c r="E3631" s="4">
        <v>0.0</v>
      </c>
      <c r="F3631" s="4">
        <v>30.0</v>
      </c>
      <c r="G3631" s="4" t="s">
        <v>5463</v>
      </c>
    </row>
    <row r="3632">
      <c r="A3632" s="1">
        <v>3630.0</v>
      </c>
      <c r="B3632" s="4" t="s">
        <v>5413</v>
      </c>
      <c r="C3632" s="5" t="str">
        <f>IFERROR(__xludf.DUMMYFUNCTION("GOOGLETRANSLATE(D:D,""auto"",""en"")"),"Song Zhongji want to tear down the marriage room")</f>
        <v>Song Zhongji want to tear down the marriage room</v>
      </c>
      <c r="D3632" s="4" t="s">
        <v>5464</v>
      </c>
      <c r="E3632" s="4">
        <v>0.0</v>
      </c>
      <c r="F3632" s="4">
        <v>31.0</v>
      </c>
      <c r="G3632" s="4" t="s">
        <v>5465</v>
      </c>
    </row>
    <row r="3633">
      <c r="A3633" s="1">
        <v>3631.0</v>
      </c>
      <c r="B3633" s="4" t="s">
        <v>5413</v>
      </c>
      <c r="C3633" s="5" t="str">
        <f>IFERROR(__xludf.DUMMYFUNCTION("GOOGLETRANSLATE(D:D,""auto"",""en"")"),"Goebbels issued an apology")</f>
        <v>Goebbels issued an apology</v>
      </c>
      <c r="D3633" s="4" t="s">
        <v>5466</v>
      </c>
      <c r="E3633" s="4">
        <v>0.0</v>
      </c>
      <c r="F3633" s="4">
        <v>32.0</v>
      </c>
      <c r="G3633" s="4" t="s">
        <v>5467</v>
      </c>
    </row>
    <row r="3634">
      <c r="A3634" s="1">
        <v>3632.0</v>
      </c>
      <c r="B3634" s="4" t="s">
        <v>5413</v>
      </c>
      <c r="C3634" s="5" t="str">
        <f>IFERROR(__xludf.DUMMYFUNCTION("GOOGLETRANSLATE(D:D,""auto"",""en"")"),"The Fed bailout measures")</f>
        <v>The Fed bailout measures</v>
      </c>
      <c r="D3634" s="4" t="s">
        <v>5468</v>
      </c>
      <c r="E3634" s="4">
        <v>0.0</v>
      </c>
      <c r="F3634" s="4">
        <v>33.0</v>
      </c>
      <c r="G3634" s="4" t="s">
        <v>5469</v>
      </c>
    </row>
    <row r="3635">
      <c r="A3635" s="1">
        <v>3633.0</v>
      </c>
      <c r="B3635" s="4" t="s">
        <v>5413</v>
      </c>
      <c r="C3635" s="5" t="str">
        <f>IFERROR(__xludf.DUMMYFUNCTION("GOOGLETRANSLATE(D:D,""auto"",""en"")"),"Students access courses abusive teacher")</f>
        <v>Students access courses abusive teacher</v>
      </c>
      <c r="D3635" s="4" t="s">
        <v>5470</v>
      </c>
      <c r="E3635" s="4">
        <v>0.0</v>
      </c>
      <c r="F3635" s="4">
        <v>34.0</v>
      </c>
      <c r="G3635" s="4" t="s">
        <v>5471</v>
      </c>
    </row>
    <row r="3636">
      <c r="A3636" s="1">
        <v>3634.0</v>
      </c>
      <c r="B3636" s="4" t="s">
        <v>5413</v>
      </c>
      <c r="C3636" s="5" t="str">
        <f>IFERROR(__xludf.DUMMYFUNCTION("GOOGLETRANSLATE(D:D,""auto"",""en"")"),"Parents hiding after the 13-country tour fever")</f>
        <v>Parents hiding after the 13-country tour fever</v>
      </c>
      <c r="D3636" s="4" t="s">
        <v>5472</v>
      </c>
      <c r="E3636" s="4">
        <v>0.0</v>
      </c>
      <c r="F3636" s="4">
        <v>35.0</v>
      </c>
      <c r="G3636" s="4" t="s">
        <v>5473</v>
      </c>
    </row>
    <row r="3637">
      <c r="A3637" s="1">
        <v>3635.0</v>
      </c>
      <c r="B3637" s="4" t="s">
        <v>5413</v>
      </c>
      <c r="C3637" s="5" t="str">
        <f>IFERROR(__xludf.DUMMYFUNCTION("GOOGLETRANSLATE(D:D,""auto"",""en"")"),"A provincial rescue a country")</f>
        <v>A provincial rescue a country</v>
      </c>
      <c r="D3637" s="4" t="s">
        <v>5474</v>
      </c>
      <c r="E3637" s="4">
        <v>0.0</v>
      </c>
      <c r="F3637" s="4">
        <v>36.0</v>
      </c>
      <c r="G3637" s="4" t="s">
        <v>5475</v>
      </c>
    </row>
    <row r="3638">
      <c r="A3638" s="1">
        <v>3636.0</v>
      </c>
      <c r="B3638" s="4" t="s">
        <v>5413</v>
      </c>
      <c r="C3638" s="5" t="str">
        <f>IFERROR(__xludf.DUMMYFUNCTION("GOOGLETRANSLATE(D:D,""auto"",""en"")"),"Hubei Jingzhou a runaway SUV")</f>
        <v>Hubei Jingzhou a runaway SUV</v>
      </c>
      <c r="D3638" s="4" t="s">
        <v>5476</v>
      </c>
      <c r="E3638" s="4">
        <v>0.0</v>
      </c>
      <c r="F3638" s="4">
        <v>37.0</v>
      </c>
      <c r="G3638" s="4" t="s">
        <v>5477</v>
      </c>
    </row>
    <row r="3639">
      <c r="A3639" s="1">
        <v>3637.0</v>
      </c>
      <c r="B3639" s="4" t="s">
        <v>5413</v>
      </c>
      <c r="C3639" s="5" t="str">
        <f>IFERROR(__xludf.DUMMYFUNCTION("GOOGLETRANSLATE(D:D,""auto"",""en"")"),"papi sauce sun postpartum family portrait")</f>
        <v>papi sauce sun postpartum family portrait</v>
      </c>
      <c r="D3639" s="4" t="s">
        <v>5371</v>
      </c>
      <c r="E3639" s="4">
        <v>0.0</v>
      </c>
      <c r="F3639" s="4">
        <v>38.0</v>
      </c>
      <c r="G3639" s="4" t="s">
        <v>5372</v>
      </c>
    </row>
    <row r="3640">
      <c r="A3640" s="1">
        <v>3638.0</v>
      </c>
      <c r="B3640" s="4" t="s">
        <v>5413</v>
      </c>
      <c r="C3640" s="5" t="str">
        <f>IFERROR(__xludf.DUMMYFUNCTION("GOOGLETRANSLATE(D:D,""auto"",""en"")"),"Marbury contributions to the United States")</f>
        <v>Marbury contributions to the United States</v>
      </c>
      <c r="D3640" s="4" t="s">
        <v>5478</v>
      </c>
      <c r="E3640" s="4">
        <v>0.0</v>
      </c>
      <c r="F3640" s="4">
        <v>39.0</v>
      </c>
      <c r="G3640" s="4" t="s">
        <v>5479</v>
      </c>
    </row>
    <row r="3641">
      <c r="A3641" s="1">
        <v>3639.0</v>
      </c>
      <c r="B3641" s="4" t="s">
        <v>5413</v>
      </c>
      <c r="C3641" s="5" t="str">
        <f>IFERROR(__xludf.DUMMYFUNCTION("GOOGLETRANSLATE(D:D,""auto"",""en"")"),"Hui Lau Shan respond collapse")</f>
        <v>Hui Lau Shan respond collapse</v>
      </c>
      <c r="D3641" s="4" t="s">
        <v>5480</v>
      </c>
      <c r="E3641" s="4">
        <v>0.0</v>
      </c>
      <c r="F3641" s="4">
        <v>40.0</v>
      </c>
      <c r="G3641" s="4" t="s">
        <v>5481</v>
      </c>
    </row>
    <row r="3642">
      <c r="A3642" s="1">
        <v>3640.0</v>
      </c>
      <c r="B3642" s="4" t="s">
        <v>5413</v>
      </c>
      <c r="C3642" s="5" t="str">
        <f>IFERROR(__xludf.DUMMYFUNCTION("GOOGLETRANSLATE(D:D,""auto"",""en"")"),"US bases shut down chemical and biological weapons")</f>
        <v>US bases shut down chemical and biological weapons</v>
      </c>
      <c r="D3642" s="4" t="s">
        <v>5482</v>
      </c>
      <c r="E3642" s="4">
        <v>0.0</v>
      </c>
      <c r="F3642" s="4">
        <v>41.0</v>
      </c>
      <c r="G3642" s="4" t="s">
        <v>5483</v>
      </c>
    </row>
    <row r="3643">
      <c r="A3643" s="1">
        <v>3641.0</v>
      </c>
      <c r="B3643" s="4" t="s">
        <v>5413</v>
      </c>
      <c r="C3643" s="5" t="str">
        <f>IFERROR(__xludf.DUMMYFUNCTION("GOOGLETRANSLATE(D:D,""auto"",""en"")"),"US physicians predict the number of infections")</f>
        <v>US physicians predict the number of infections</v>
      </c>
      <c r="D3643" s="4" t="s">
        <v>5484</v>
      </c>
      <c r="E3643" s="4">
        <v>0.0</v>
      </c>
      <c r="F3643" s="4">
        <v>42.0</v>
      </c>
      <c r="G3643" s="4" t="s">
        <v>5485</v>
      </c>
    </row>
    <row r="3644">
      <c r="A3644" s="1">
        <v>3642.0</v>
      </c>
      <c r="B3644" s="4" t="s">
        <v>5413</v>
      </c>
      <c r="C3644" s="5" t="str">
        <f>IFERROR(__xludf.DUMMYFUNCTION("GOOGLETRANSLATE(D:D,""auto"",""en"")"),"Musgrave recent photograph of his ex-wife exposed")</f>
        <v>Musgrave recent photograph of his ex-wife exposed</v>
      </c>
      <c r="D3644" s="4" t="s">
        <v>5486</v>
      </c>
      <c r="E3644" s="4">
        <v>0.0</v>
      </c>
      <c r="F3644" s="4">
        <v>43.0</v>
      </c>
      <c r="G3644" s="4" t="s">
        <v>5487</v>
      </c>
    </row>
    <row r="3645">
      <c r="A3645" s="1">
        <v>3643.0</v>
      </c>
      <c r="B3645" s="4" t="s">
        <v>5413</v>
      </c>
      <c r="C3645" s="5" t="str">
        <f>IFERROR(__xludf.DUMMYFUNCTION("GOOGLETRANSLATE(D:D,""auto"",""en"")"),"Henan informed Guo Moupeng case")</f>
        <v>Henan informed Guo Moupeng case</v>
      </c>
      <c r="D3645" s="4" t="s">
        <v>5488</v>
      </c>
      <c r="E3645" s="4">
        <v>0.0</v>
      </c>
      <c r="F3645" s="4">
        <v>44.0</v>
      </c>
      <c r="G3645" s="4" t="s">
        <v>5489</v>
      </c>
    </row>
    <row r="3646">
      <c r="A3646" s="1">
        <v>3644.0</v>
      </c>
      <c r="B3646" s="4" t="s">
        <v>5413</v>
      </c>
      <c r="C3646" s="5" t="str">
        <f>IFERROR(__xludf.DUMMYFUNCTION("GOOGLETRANSLATE(D:D,""auto"",""en"")"),"Han returned to Beijing from South Korea")</f>
        <v>Han returned to Beijing from South Korea</v>
      </c>
      <c r="D3646" s="4" t="s">
        <v>5490</v>
      </c>
      <c r="E3646" s="4">
        <v>0.0</v>
      </c>
      <c r="F3646" s="4">
        <v>45.0</v>
      </c>
      <c r="G3646" s="4" t="s">
        <v>5491</v>
      </c>
    </row>
    <row r="3647">
      <c r="A3647" s="1">
        <v>3645.0</v>
      </c>
      <c r="B3647" s="4" t="s">
        <v>5413</v>
      </c>
      <c r="C3647" s="5" t="str">
        <f>IFERROR(__xludf.DUMMYFUNCTION("GOOGLETRANSLATE(D:D,""auto"",""en"")"),"Henan briefing involving crime epidemic")</f>
        <v>Henan briefing involving crime epidemic</v>
      </c>
      <c r="D3647" s="4" t="s">
        <v>5492</v>
      </c>
      <c r="E3647" s="4">
        <v>0.0</v>
      </c>
      <c r="F3647" s="4">
        <v>46.0</v>
      </c>
      <c r="G3647" s="4" t="s">
        <v>5493</v>
      </c>
    </row>
    <row r="3648">
      <c r="A3648" s="1">
        <v>3646.0</v>
      </c>
      <c r="B3648" s="4" t="s">
        <v>5413</v>
      </c>
      <c r="C3648" s="5" t="str">
        <f>IFERROR(__xludf.DUMMYFUNCTION("GOOGLETRANSLATE(D:D,""auto"",""en"")"),"Zhong Nanshan, urged the public to donate blood")</f>
        <v>Zhong Nanshan, urged the public to donate blood</v>
      </c>
      <c r="D3648" s="4" t="s">
        <v>5494</v>
      </c>
      <c r="E3648" s="4">
        <v>0.0</v>
      </c>
      <c r="F3648" s="4">
        <v>47.0</v>
      </c>
      <c r="G3648" s="4" t="s">
        <v>5495</v>
      </c>
    </row>
    <row r="3649">
      <c r="A3649" s="1">
        <v>3647.0</v>
      </c>
      <c r="B3649" s="4" t="s">
        <v>5413</v>
      </c>
      <c r="C3649" s="5" t="str">
        <f>IFERROR(__xludf.DUMMYFUNCTION("GOOGLETRANSLATE(D:D,""auto"",""en"")"),"Arctic expedition group members infection")</f>
        <v>Arctic expedition group members infection</v>
      </c>
      <c r="D3649" s="4" t="s">
        <v>5373</v>
      </c>
      <c r="E3649" s="4">
        <v>0.0</v>
      </c>
      <c r="F3649" s="4">
        <v>48.0</v>
      </c>
      <c r="G3649" s="4" t="s">
        <v>5374</v>
      </c>
    </row>
    <row r="3650">
      <c r="A3650" s="1">
        <v>3648.0</v>
      </c>
      <c r="B3650" s="4" t="s">
        <v>5413</v>
      </c>
      <c r="C3650" s="5" t="str">
        <f>IFERROR(__xludf.DUMMYFUNCTION("GOOGLETRANSLATE(D:D,""auto"",""en"")"),"Canadian Prime Minister self-segregation")</f>
        <v>Canadian Prime Minister self-segregation</v>
      </c>
      <c r="D3650" s="4" t="s">
        <v>5496</v>
      </c>
      <c r="E3650" s="4">
        <v>0.0</v>
      </c>
      <c r="F3650" s="4">
        <v>49.0</v>
      </c>
      <c r="G3650" s="4" t="s">
        <v>5497</v>
      </c>
    </row>
    <row r="3651">
      <c r="A3651" s="1">
        <v>3649.0</v>
      </c>
      <c r="B3651" s="4" t="s">
        <v>5413</v>
      </c>
      <c r="C3651" s="5" t="str">
        <f>IFERROR(__xludf.DUMMYFUNCTION("GOOGLETRANSLATE(D:D,""auto"",""en"")"),"ZHANG Wen-hong talk about the end of the epidemic")</f>
        <v>ZHANG Wen-hong talk about the end of the epidemic</v>
      </c>
      <c r="D3651" s="4" t="s">
        <v>5498</v>
      </c>
      <c r="E3651" s="4">
        <v>0.0</v>
      </c>
      <c r="F3651" s="4">
        <v>50.0</v>
      </c>
      <c r="G3651" s="4" t="s">
        <v>5499</v>
      </c>
    </row>
    <row r="3652">
      <c r="A3652" s="1">
        <v>3650.0</v>
      </c>
      <c r="B3652" s="4" t="s">
        <v>5500</v>
      </c>
      <c r="C3652" s="5" t="str">
        <f>IFERROR(__xludf.DUMMYFUNCTION("GOOGLETRANSLATE(D:D,""auto"",""en"")"),"US new crown in burst out of control")</f>
        <v>US new crown in burst out of control</v>
      </c>
      <c r="D3652" s="4" t="s">
        <v>5501</v>
      </c>
      <c r="E3652" s="4">
        <v>0.0</v>
      </c>
      <c r="F3652" s="4">
        <v>1.0</v>
      </c>
      <c r="G3652" s="4" t="s">
        <v>5502</v>
      </c>
    </row>
    <row r="3653">
      <c r="A3653" s="1">
        <v>3651.0</v>
      </c>
      <c r="B3653" s="4" t="s">
        <v>5500</v>
      </c>
      <c r="C3653" s="5" t="str">
        <f>IFERROR(__xludf.DUMMYFUNCTION("GOOGLETRANSLATE(D:D,""auto"",""en"")"),"Wuhan woman killed at home")</f>
        <v>Wuhan woman killed at home</v>
      </c>
      <c r="D3653" s="4" t="s">
        <v>5503</v>
      </c>
      <c r="E3653" s="4">
        <v>0.0</v>
      </c>
      <c r="F3653" s="4">
        <v>2.0</v>
      </c>
      <c r="G3653" s="4" t="s">
        <v>5504</v>
      </c>
    </row>
    <row r="3654">
      <c r="A3654" s="1">
        <v>3652.0</v>
      </c>
      <c r="B3654" s="4" t="s">
        <v>5500</v>
      </c>
      <c r="C3654" s="5" t="str">
        <f>IFERROR(__xludf.DUMMYFUNCTION("GOOGLETRANSLATE(D:D,""auto"",""en"")"),"Zhang take the children take the father announced")</f>
        <v>Zhang take the children take the father announced</v>
      </c>
      <c r="D3654" s="4" t="s">
        <v>5505</v>
      </c>
      <c r="E3654" s="4">
        <v>0.0</v>
      </c>
      <c r="F3654" s="4">
        <v>3.0</v>
      </c>
      <c r="G3654" s="4" t="s">
        <v>5506</v>
      </c>
    </row>
    <row r="3655">
      <c r="A3655" s="1">
        <v>3653.0</v>
      </c>
      <c r="B3655" s="4" t="s">
        <v>5500</v>
      </c>
      <c r="C3655" s="5" t="str">
        <f>IFERROR(__xludf.DUMMYFUNCTION("GOOGLETRANSLATE(D:D,""auto"",""en"")"),"Vietnam's richest man diagnosed with daughter")</f>
        <v>Vietnam's richest man diagnosed with daughter</v>
      </c>
      <c r="D3655" s="4" t="s">
        <v>5507</v>
      </c>
      <c r="E3655" s="4">
        <v>0.0</v>
      </c>
      <c r="F3655" s="4">
        <v>4.0</v>
      </c>
      <c r="G3655" s="4" t="s">
        <v>5508</v>
      </c>
    </row>
    <row r="3656">
      <c r="A3656" s="1">
        <v>3654.0</v>
      </c>
      <c r="B3656" s="4" t="s">
        <v>5500</v>
      </c>
      <c r="C3656" s="5" t="str">
        <f>IFERROR(__xludf.DUMMYFUNCTION("GOOGLETRANSLATE(D:D,""auto"",""en"")"),"Zhong Nanshan smile")</f>
        <v>Zhong Nanshan smile</v>
      </c>
      <c r="D3656" s="4" t="s">
        <v>5509</v>
      </c>
      <c r="E3656" s="4">
        <v>0.0</v>
      </c>
      <c r="F3656" s="4">
        <v>5.0</v>
      </c>
      <c r="G3656" s="4" t="s">
        <v>5510</v>
      </c>
    </row>
    <row r="3657">
      <c r="A3657" s="1">
        <v>3655.0</v>
      </c>
      <c r="B3657" s="4" t="s">
        <v>5500</v>
      </c>
      <c r="C3657" s="5" t="str">
        <f>IFERROR(__xludf.DUMMYFUNCTION("GOOGLETRANSLATE(D:D,""auto"",""en"")"),"Iran $ 5 billion in loans the fight against SARS")</f>
        <v>Iran $ 5 billion in loans the fight against SARS</v>
      </c>
      <c r="D3657" s="4" t="s">
        <v>5511</v>
      </c>
      <c r="E3657" s="4">
        <v>0.0</v>
      </c>
      <c r="F3657" s="4">
        <v>6.0</v>
      </c>
      <c r="G3657" s="4" t="s">
        <v>5512</v>
      </c>
    </row>
    <row r="3658">
      <c r="A3658" s="1">
        <v>3656.0</v>
      </c>
      <c r="B3658" s="4" t="s">
        <v>5500</v>
      </c>
      <c r="C3658" s="5" t="str">
        <f>IFERROR(__xludf.DUMMYFUNCTION("GOOGLETRANSLATE(D:D,""auto"",""en"")"),"On the Chinese side of US sanctions committee")</f>
        <v>On the Chinese side of US sanctions committee</v>
      </c>
      <c r="D3658" s="4" t="s">
        <v>5513</v>
      </c>
      <c r="E3658" s="4">
        <v>0.0</v>
      </c>
      <c r="F3658" s="4">
        <v>7.0</v>
      </c>
      <c r="G3658" s="4" t="s">
        <v>5514</v>
      </c>
    </row>
    <row r="3659">
      <c r="A3659" s="1">
        <v>3657.0</v>
      </c>
      <c r="B3659" s="4" t="s">
        <v>5500</v>
      </c>
      <c r="C3659" s="5" t="str">
        <f>IFERROR(__xludf.DUMMYFUNCTION("GOOGLETRANSLATE(D:D,""auto"",""en"")"),"US stocks rose")</f>
        <v>US stocks rose</v>
      </c>
      <c r="D3659" s="4" t="s">
        <v>5515</v>
      </c>
      <c r="E3659" s="4">
        <v>0.0</v>
      </c>
      <c r="F3659" s="4">
        <v>8.0</v>
      </c>
      <c r="G3659" s="4" t="s">
        <v>5516</v>
      </c>
    </row>
    <row r="3660">
      <c r="A3660" s="1">
        <v>3658.0</v>
      </c>
      <c r="B3660" s="4" t="s">
        <v>5500</v>
      </c>
      <c r="C3660" s="5" t="str">
        <f>IFERROR(__xludf.DUMMYFUNCTION("GOOGLETRANSLATE(D:D,""auto"",""en"")"),"Britain recognized to make people infected")</f>
        <v>Britain recognized to make people infected</v>
      </c>
      <c r="D3660" s="4" t="s">
        <v>5517</v>
      </c>
      <c r="E3660" s="4">
        <v>0.0</v>
      </c>
      <c r="F3660" s="4">
        <v>9.0</v>
      </c>
      <c r="G3660" s="4" t="s">
        <v>5518</v>
      </c>
    </row>
    <row r="3661">
      <c r="A3661" s="1">
        <v>3659.0</v>
      </c>
      <c r="B3661" s="4" t="s">
        <v>5500</v>
      </c>
      <c r="C3661" s="5" t="str">
        <f>IFERROR(__xludf.DUMMYFUNCTION("GOOGLETRANSLATE(D:D,""auto"",""en"")"),"Official notification Guomou Peng disease")</f>
        <v>Official notification Guomou Peng disease</v>
      </c>
      <c r="D3661" s="4" t="s">
        <v>5519</v>
      </c>
      <c r="E3661" s="4">
        <v>0.0</v>
      </c>
      <c r="F3661" s="4">
        <v>10.0</v>
      </c>
      <c r="G3661" s="4" t="s">
        <v>5520</v>
      </c>
    </row>
    <row r="3662">
      <c r="A3662" s="1">
        <v>3660.0</v>
      </c>
      <c r="B3662" s="4" t="s">
        <v>5500</v>
      </c>
      <c r="C3662" s="5" t="str">
        <f>IFERROR(__xludf.DUMMYFUNCTION("GOOGLETRANSLATE(D:D,""auto"",""en"")"),"University school to continue after the extension")</f>
        <v>University school to continue after the extension</v>
      </c>
      <c r="D3662" s="4" t="s">
        <v>5521</v>
      </c>
      <c r="E3662" s="4">
        <v>0.0</v>
      </c>
      <c r="F3662" s="4">
        <v>11.0</v>
      </c>
      <c r="G3662" s="4" t="s">
        <v>5522</v>
      </c>
    </row>
    <row r="3663">
      <c r="A3663" s="1">
        <v>3661.0</v>
      </c>
      <c r="B3663" s="4" t="s">
        <v>5500</v>
      </c>
      <c r="C3663" s="5" t="str">
        <f>IFERROR(__xludf.DUMMYFUNCTION("GOOGLETRANSLATE(D:D,""auto"",""en"")"),"Nanjing will be issuing coupons")</f>
        <v>Nanjing will be issuing coupons</v>
      </c>
      <c r="D3663" s="4" t="s">
        <v>5523</v>
      </c>
      <c r="E3663" s="4">
        <v>0.0</v>
      </c>
      <c r="F3663" s="4">
        <v>12.0</v>
      </c>
      <c r="G3663" s="4" t="s">
        <v>5524</v>
      </c>
    </row>
    <row r="3664">
      <c r="A3664" s="1">
        <v>3662.0</v>
      </c>
      <c r="B3664" s="4" t="s">
        <v>5500</v>
      </c>
      <c r="C3664" s="5" t="str">
        <f>IFERROR(__xludf.DUMMYFUNCTION("GOOGLETRANSLATE(D:D,""auto"",""en"")"),"39-year-old Fan Bingbing sun photograph")</f>
        <v>39-year-old Fan Bingbing sun photograph</v>
      </c>
      <c r="D3664" s="4" t="s">
        <v>5525</v>
      </c>
      <c r="E3664" s="4">
        <v>0.0</v>
      </c>
      <c r="F3664" s="4">
        <v>13.0</v>
      </c>
      <c r="G3664" s="4" t="s">
        <v>5526</v>
      </c>
    </row>
    <row r="3665">
      <c r="A3665" s="1">
        <v>3663.0</v>
      </c>
      <c r="B3665" s="4" t="s">
        <v>5500</v>
      </c>
      <c r="C3665" s="5" t="str">
        <f>IFERROR(__xludf.DUMMYFUNCTION("GOOGLETRANSLATE(D:D,""auto"",""en"")"),"Luo exposed reasons for breaking up")</f>
        <v>Luo exposed reasons for breaking up</v>
      </c>
      <c r="D3665" s="4" t="s">
        <v>5527</v>
      </c>
      <c r="E3665" s="4">
        <v>0.0</v>
      </c>
      <c r="F3665" s="4">
        <v>14.0</v>
      </c>
      <c r="G3665" s="4" t="s">
        <v>5528</v>
      </c>
    </row>
    <row r="3666">
      <c r="A3666" s="1">
        <v>3664.0</v>
      </c>
      <c r="B3666" s="4" t="s">
        <v>5500</v>
      </c>
      <c r="C3666" s="5" t="str">
        <f>IFERROR(__xludf.DUMMYFUNCTION("GOOGLETRANSLATE(D:D,""auto"",""en"")"),"Ronaldinho jail Cup win")</f>
        <v>Ronaldinho jail Cup win</v>
      </c>
      <c r="D3666" s="4" t="s">
        <v>5529</v>
      </c>
      <c r="E3666" s="4">
        <v>0.0</v>
      </c>
      <c r="F3666" s="4">
        <v>15.0</v>
      </c>
      <c r="G3666" s="4" t="s">
        <v>5530</v>
      </c>
    </row>
    <row r="3667">
      <c r="A3667" s="1">
        <v>3665.0</v>
      </c>
      <c r="B3667" s="4" t="s">
        <v>5500</v>
      </c>
      <c r="C3667" s="5" t="str">
        <f>IFERROR(__xludf.DUMMYFUNCTION("GOOGLETRANSLATE(D:D,""auto"",""en"")"),"Wuhan public found the car long grass")</f>
        <v>Wuhan public found the car long grass</v>
      </c>
      <c r="D3667" s="4" t="s">
        <v>5531</v>
      </c>
      <c r="E3667" s="4">
        <v>0.0</v>
      </c>
      <c r="F3667" s="4">
        <v>16.0</v>
      </c>
      <c r="G3667" s="4" t="s">
        <v>5532</v>
      </c>
    </row>
    <row r="3668">
      <c r="A3668" s="1">
        <v>3666.0</v>
      </c>
      <c r="B3668" s="4" t="s">
        <v>5500</v>
      </c>
      <c r="C3668" s="5" t="str">
        <f>IFERROR(__xludf.DUMMYFUNCTION("GOOGLETRANSLATE(D:D,""auto"",""en"")"),"Trump praised China prevention and control")</f>
        <v>Trump praised China prevention and control</v>
      </c>
      <c r="D3668" s="4" t="s">
        <v>5533</v>
      </c>
      <c r="E3668" s="4">
        <v>0.0</v>
      </c>
      <c r="F3668" s="4">
        <v>17.0</v>
      </c>
      <c r="G3668" s="4" t="s">
        <v>5534</v>
      </c>
    </row>
    <row r="3669">
      <c r="A3669" s="1">
        <v>3667.0</v>
      </c>
      <c r="B3669" s="4" t="s">
        <v>5500</v>
      </c>
      <c r="C3669" s="5" t="str">
        <f>IFERROR(__xludf.DUMMYFUNCTION("GOOGLETRANSLATE(D:D,""auto"",""en"")"),"Italian medical officer's death")</f>
        <v>Italian medical officer's death</v>
      </c>
      <c r="D3669" s="4" t="s">
        <v>5535</v>
      </c>
      <c r="E3669" s="4">
        <v>0.0</v>
      </c>
      <c r="F3669" s="4">
        <v>18.0</v>
      </c>
      <c r="G3669" s="4" t="s">
        <v>5536</v>
      </c>
    </row>
    <row r="3670">
      <c r="A3670" s="1">
        <v>3668.0</v>
      </c>
      <c r="B3670" s="4" t="s">
        <v>5500</v>
      </c>
      <c r="C3670" s="5" t="str">
        <f>IFERROR(__xludf.DUMMYFUNCTION("GOOGLETRANSLATE(D:D,""auto"",""en"")"),"Hunan confirmed all clear")</f>
        <v>Hunan confirmed all clear</v>
      </c>
      <c r="D3670" s="4" t="s">
        <v>5537</v>
      </c>
      <c r="E3670" s="4">
        <v>0.0</v>
      </c>
      <c r="F3670" s="4">
        <v>19.0</v>
      </c>
      <c r="G3670" s="4" t="s">
        <v>5538</v>
      </c>
    </row>
    <row r="3671">
      <c r="A3671" s="1">
        <v>3669.0</v>
      </c>
      <c r="B3671" s="4" t="s">
        <v>5500</v>
      </c>
      <c r="C3671" s="5" t="str">
        <f>IFERROR(__xludf.DUMMYFUNCTION("GOOGLETRANSLATE(D:D,""auto"",""en"")"),"Guo Moupeng colleagues isolated")</f>
        <v>Guo Moupeng colleagues isolated</v>
      </c>
      <c r="D3671" s="4" t="s">
        <v>5539</v>
      </c>
      <c r="E3671" s="4">
        <v>0.0</v>
      </c>
      <c r="F3671" s="4">
        <v>20.0</v>
      </c>
      <c r="G3671" s="4" t="s">
        <v>5540</v>
      </c>
    </row>
    <row r="3672">
      <c r="A3672" s="1">
        <v>3670.0</v>
      </c>
      <c r="B3672" s="4" t="s">
        <v>5500</v>
      </c>
      <c r="C3672" s="5" t="str">
        <f>IFERROR(__xludf.DUMMYFUNCTION("GOOGLETRANSLATE(D:D,""auto"",""en"")"),"Guangdong, Hubei aid the physician who died in a car accident")</f>
        <v>Guangdong, Hubei aid the physician who died in a car accident</v>
      </c>
      <c r="D3672" s="4" t="s">
        <v>5541</v>
      </c>
      <c r="E3672" s="4">
        <v>0.0</v>
      </c>
      <c r="F3672" s="4">
        <v>21.0</v>
      </c>
      <c r="G3672" s="4" t="s">
        <v>5542</v>
      </c>
    </row>
    <row r="3673">
      <c r="A3673" s="1">
        <v>3671.0</v>
      </c>
      <c r="B3673" s="4" t="s">
        <v>5500</v>
      </c>
      <c r="C3673" s="5" t="str">
        <f>IFERROR(__xludf.DUMMYFUNCTION("GOOGLETRANSLATE(D:D,""auto"",""en"")"),"Ningbo, a tower crane collapsed real estate")</f>
        <v>Ningbo, a tower crane collapsed real estate</v>
      </c>
      <c r="D3673" s="4" t="s">
        <v>5543</v>
      </c>
      <c r="E3673" s="4">
        <v>0.0</v>
      </c>
      <c r="F3673" s="4">
        <v>22.0</v>
      </c>
      <c r="G3673" s="4" t="s">
        <v>5544</v>
      </c>
    </row>
    <row r="3674">
      <c r="A3674" s="1">
        <v>3672.0</v>
      </c>
      <c r="B3674" s="4" t="s">
        <v>5500</v>
      </c>
      <c r="C3674" s="5" t="str">
        <f>IFERROR(__xludf.DUMMYFUNCTION("GOOGLETRANSLATE(D:D,""auto"",""en"")"),"Bertrand Puan times emergency call")</f>
        <v>Bertrand Puan times emergency call</v>
      </c>
      <c r="D3674" s="4" t="s">
        <v>5448</v>
      </c>
      <c r="E3674" s="4">
        <v>0.0</v>
      </c>
      <c r="F3674" s="4">
        <v>23.0</v>
      </c>
      <c r="G3674" s="4" t="s">
        <v>5449</v>
      </c>
    </row>
    <row r="3675">
      <c r="A3675" s="1">
        <v>3673.0</v>
      </c>
      <c r="B3675" s="4" t="s">
        <v>5500</v>
      </c>
      <c r="C3675" s="5" t="str">
        <f>IFERROR(__xludf.DUMMYFUNCTION("GOOGLETRANSLATE(D:D,""auto"",""en"")"),"Tiffany fined")</f>
        <v>Tiffany fined</v>
      </c>
      <c r="D3675" s="4" t="s">
        <v>5545</v>
      </c>
      <c r="E3675" s="4">
        <v>0.0</v>
      </c>
      <c r="F3675" s="4">
        <v>24.0</v>
      </c>
      <c r="G3675" s="4" t="s">
        <v>5546</v>
      </c>
    </row>
    <row r="3676">
      <c r="A3676" s="1">
        <v>3674.0</v>
      </c>
      <c r="B3676" s="4" t="s">
        <v>5500</v>
      </c>
      <c r="C3676" s="5" t="str">
        <f>IFERROR(__xludf.DUMMYFUNCTION("GOOGLETRANSLATE(D:D,""auto"",""en"")"),"Nanjing issuing 300 million coupons")</f>
        <v>Nanjing issuing 300 million coupons</v>
      </c>
      <c r="D3676" s="4" t="s">
        <v>5547</v>
      </c>
      <c r="E3676" s="4">
        <v>0.0</v>
      </c>
      <c r="F3676" s="4">
        <v>25.0</v>
      </c>
      <c r="G3676" s="4" t="s">
        <v>5548</v>
      </c>
    </row>
    <row r="3677">
      <c r="A3677" s="1">
        <v>3675.0</v>
      </c>
      <c r="B3677" s="4" t="s">
        <v>5500</v>
      </c>
      <c r="C3677" s="5" t="str">
        <f>IFERROR(__xludf.DUMMYFUNCTION("GOOGLETRANSLATE(D:D,""auto"",""en"")"),"Zhao daughter donated 2.7 million")</f>
        <v>Zhao daughter donated 2.7 million</v>
      </c>
      <c r="D3677" s="4" t="s">
        <v>5549</v>
      </c>
      <c r="E3677" s="4">
        <v>0.0</v>
      </c>
      <c r="F3677" s="4">
        <v>26.0</v>
      </c>
      <c r="G3677" s="4" t="s">
        <v>5550</v>
      </c>
    </row>
    <row r="3678">
      <c r="A3678" s="1">
        <v>3676.0</v>
      </c>
      <c r="B3678" s="4" t="s">
        <v>5500</v>
      </c>
      <c r="C3678" s="5" t="str">
        <f>IFERROR(__xludf.DUMMYFUNCTION("GOOGLETRANSLATE(D:D,""auto"",""en"")"),"Tangshan concealed by treatment at their own expense")</f>
        <v>Tangshan concealed by treatment at their own expense</v>
      </c>
      <c r="D3678" s="4" t="s">
        <v>5551</v>
      </c>
      <c r="E3678" s="4">
        <v>0.0</v>
      </c>
      <c r="F3678" s="4">
        <v>27.0</v>
      </c>
      <c r="G3678" s="4" t="s">
        <v>5552</v>
      </c>
    </row>
    <row r="3679">
      <c r="A3679" s="1">
        <v>3677.0</v>
      </c>
      <c r="B3679" s="4" t="s">
        <v>5500</v>
      </c>
      <c r="C3679" s="5" t="str">
        <f>IFERROR(__xludf.DUMMYFUNCTION("GOOGLETRANSLATE(D:D,""auto"",""en"")"),"Sichuan, a primary school tuition reminders")</f>
        <v>Sichuan, a primary school tuition reminders</v>
      </c>
      <c r="D3679" s="4" t="s">
        <v>5553</v>
      </c>
      <c r="E3679" s="4">
        <v>0.0</v>
      </c>
      <c r="F3679" s="4">
        <v>28.0</v>
      </c>
      <c r="G3679" s="4" t="s">
        <v>5554</v>
      </c>
    </row>
    <row r="3680">
      <c r="A3680" s="1">
        <v>3678.0</v>
      </c>
      <c r="B3680" s="4" t="s">
        <v>5500</v>
      </c>
      <c r="C3680" s="5" t="str">
        <f>IFERROR(__xludf.DUMMYFUNCTION("GOOGLETRANSLATE(D:D,""auto"",""en"")"),"Kathy Chow was traced to her husband derailment")</f>
        <v>Kathy Chow was traced to her husband derailment</v>
      </c>
      <c r="D3680" s="4" t="s">
        <v>5555</v>
      </c>
      <c r="E3680" s="4">
        <v>0.0</v>
      </c>
      <c r="F3680" s="4">
        <v>29.0</v>
      </c>
      <c r="G3680" s="4" t="s">
        <v>5556</v>
      </c>
    </row>
    <row r="3681">
      <c r="A3681" s="1">
        <v>3679.0</v>
      </c>
      <c r="B3681" s="4" t="s">
        <v>5500</v>
      </c>
      <c r="C3681" s="5" t="str">
        <f>IFERROR(__xludf.DUMMYFUNCTION("GOOGLETRANSLATE(D:D,""auto"",""en"")"),"Joanna will do plastic surgery")</f>
        <v>Joanna will do plastic surgery</v>
      </c>
      <c r="D3681" s="4" t="s">
        <v>5446</v>
      </c>
      <c r="E3681" s="4">
        <v>0.0</v>
      </c>
      <c r="F3681" s="4">
        <v>30.0</v>
      </c>
      <c r="G3681" s="4" t="s">
        <v>5447</v>
      </c>
    </row>
    <row r="3682">
      <c r="A3682" s="1">
        <v>3680.0</v>
      </c>
      <c r="B3682" s="4" t="s">
        <v>5500</v>
      </c>
      <c r="C3682" s="5" t="str">
        <f>IFERROR(__xludf.DUMMYFUNCTION("GOOGLETRANSLATE(D:D,""auto"",""en"")"),"Musgrave recent photograph of his ex-wife exposed")</f>
        <v>Musgrave recent photograph of his ex-wife exposed</v>
      </c>
      <c r="D3682" s="4" t="s">
        <v>5486</v>
      </c>
      <c r="E3682" s="4">
        <v>0.0</v>
      </c>
      <c r="F3682" s="4">
        <v>31.0</v>
      </c>
      <c r="G3682" s="4" t="s">
        <v>5487</v>
      </c>
    </row>
    <row r="3683">
      <c r="A3683" s="1">
        <v>3681.0</v>
      </c>
      <c r="B3683" s="4" t="s">
        <v>5500</v>
      </c>
      <c r="C3683" s="5" t="str">
        <f>IFERROR(__xludf.DUMMYFUNCTION("GOOGLETRANSLATE(D:D,""auto"",""en"")"),"Outside China over 60,000 infected")</f>
        <v>Outside China over 60,000 infected</v>
      </c>
      <c r="D3683" s="4" t="s">
        <v>5557</v>
      </c>
      <c r="E3683" s="4">
        <v>0.0</v>
      </c>
      <c r="F3683" s="4">
        <v>32.0</v>
      </c>
      <c r="G3683" s="4" t="s">
        <v>5558</v>
      </c>
    </row>
    <row r="3684">
      <c r="A3684" s="1">
        <v>3682.0</v>
      </c>
      <c r="B3684" s="4" t="s">
        <v>5500</v>
      </c>
      <c r="C3684" s="5" t="str">
        <f>IFERROR(__xludf.DUMMYFUNCTION("GOOGLETRANSLATE(D:D,""auto"",""en"")"),"Green code passenger embodiment Hubei")</f>
        <v>Green code passenger embodiment Hubei</v>
      </c>
      <c r="D3684" s="4" t="s">
        <v>5559</v>
      </c>
      <c r="E3684" s="4">
        <v>0.0</v>
      </c>
      <c r="F3684" s="4">
        <v>33.0</v>
      </c>
      <c r="G3684" s="4" t="s">
        <v>5560</v>
      </c>
    </row>
    <row r="3685">
      <c r="A3685" s="1">
        <v>3683.0</v>
      </c>
      <c r="B3685" s="4" t="s">
        <v>5500</v>
      </c>
      <c r="C3685" s="5" t="str">
        <f>IFERROR(__xludf.DUMMYFUNCTION("GOOGLETRANSLATE(D:D,""auto"",""en"")"),"Brazilian President confirmed")</f>
        <v>Brazilian President confirmed</v>
      </c>
      <c r="D3685" s="4" t="s">
        <v>5450</v>
      </c>
      <c r="E3685" s="4">
        <v>0.0</v>
      </c>
      <c r="F3685" s="4">
        <v>34.0</v>
      </c>
      <c r="G3685" s="4" t="s">
        <v>5451</v>
      </c>
    </row>
    <row r="3686">
      <c r="A3686" s="1">
        <v>3684.0</v>
      </c>
      <c r="B3686" s="4" t="s">
        <v>5500</v>
      </c>
      <c r="C3686" s="5" t="str">
        <f>IFERROR(__xludf.DUMMYFUNCTION("GOOGLETRANSLATE(D:D,""auto"",""en"")"),"ZHANG Wen-hong talk about the epidemic Italy")</f>
        <v>ZHANG Wen-hong talk about the epidemic Italy</v>
      </c>
      <c r="D3686" s="4" t="s">
        <v>5442</v>
      </c>
      <c r="E3686" s="4">
        <v>0.0</v>
      </c>
      <c r="F3686" s="4">
        <v>35.0</v>
      </c>
      <c r="G3686" s="4" t="s">
        <v>5443</v>
      </c>
    </row>
    <row r="3687">
      <c r="A3687" s="1">
        <v>3685.0</v>
      </c>
      <c r="B3687" s="4" t="s">
        <v>5500</v>
      </c>
      <c r="C3687" s="5" t="str">
        <f>IFERROR(__xludf.DUMMYFUNCTION("GOOGLETRANSLATE(D:D,""auto"",""en"")"),"Multi-national Olympic Committee give up to Japan")</f>
        <v>Multi-national Olympic Committee give up to Japan</v>
      </c>
      <c r="D3687" s="4" t="s">
        <v>5561</v>
      </c>
      <c r="E3687" s="4">
        <v>0.0</v>
      </c>
      <c r="F3687" s="4">
        <v>36.0</v>
      </c>
      <c r="G3687" s="4" t="s">
        <v>5562</v>
      </c>
    </row>
    <row r="3688">
      <c r="A3688" s="1">
        <v>3686.0</v>
      </c>
      <c r="B3688" s="4" t="s">
        <v>5500</v>
      </c>
      <c r="C3688" s="5" t="str">
        <f>IFERROR(__xludf.DUMMYFUNCTION("GOOGLETRANSLATE(D:D,""auto"",""en"")"),"Qing Zhou Yang back to hate friends")</f>
        <v>Qing Zhou Yang back to hate friends</v>
      </c>
      <c r="D3688" s="4" t="s">
        <v>5563</v>
      </c>
      <c r="E3688" s="4">
        <v>0.0</v>
      </c>
      <c r="F3688" s="4">
        <v>37.0</v>
      </c>
      <c r="G3688" s="4" t="s">
        <v>5564</v>
      </c>
    </row>
    <row r="3689">
      <c r="A3689" s="1">
        <v>3687.0</v>
      </c>
      <c r="B3689" s="4" t="s">
        <v>5500</v>
      </c>
      <c r="C3689" s="5" t="str">
        <f>IFERROR(__xludf.DUMMYFUNCTION("GOOGLETRANSLATE(D:D,""auto"",""en"")"),"Ma donations to the United States")</f>
        <v>Ma donations to the United States</v>
      </c>
      <c r="D3689" s="4" t="s">
        <v>5440</v>
      </c>
      <c r="E3689" s="4">
        <v>0.0</v>
      </c>
      <c r="F3689" s="4">
        <v>38.0</v>
      </c>
      <c r="G3689" s="4" t="s">
        <v>5441</v>
      </c>
    </row>
    <row r="3690">
      <c r="A3690" s="1">
        <v>3688.0</v>
      </c>
      <c r="B3690" s="4" t="s">
        <v>5500</v>
      </c>
      <c r="C3690" s="5" t="str">
        <f>IFERROR(__xludf.DUMMYFUNCTION("GOOGLETRANSLATE(D:D,""auto"",""en"")"),"More pause Qingming sweep")</f>
        <v>More pause Qingming sweep</v>
      </c>
      <c r="D3690" s="4" t="s">
        <v>5565</v>
      </c>
      <c r="E3690" s="4">
        <v>0.0</v>
      </c>
      <c r="F3690" s="4">
        <v>39.0</v>
      </c>
      <c r="G3690" s="4" t="s">
        <v>5566</v>
      </c>
    </row>
    <row r="3691">
      <c r="A3691" s="1">
        <v>3689.0</v>
      </c>
      <c r="B3691" s="4" t="s">
        <v>5500</v>
      </c>
      <c r="C3691" s="5" t="str">
        <f>IFERROR(__xludf.DUMMYFUNCTION("GOOGLETRANSLATE(D:D,""auto"",""en"")"),"Britain intends to make people infected")</f>
        <v>Britain intends to make people infected</v>
      </c>
      <c r="D3691" s="4" t="s">
        <v>5452</v>
      </c>
      <c r="E3691" s="4">
        <v>0.0</v>
      </c>
      <c r="F3691" s="4">
        <v>40.0</v>
      </c>
      <c r="G3691" s="4" t="s">
        <v>5453</v>
      </c>
    </row>
    <row r="3692">
      <c r="A3692" s="1">
        <v>3690.0</v>
      </c>
      <c r="B3692" s="4" t="s">
        <v>5500</v>
      </c>
      <c r="C3692" s="5" t="str">
        <f>IFERROR(__xludf.DUMMYFUNCTION("GOOGLETRANSLATE(D:D,""auto"",""en"")"),"US retaliatory air strike")</f>
        <v>US retaliatory air strike</v>
      </c>
      <c r="D3692" s="4" t="s">
        <v>5438</v>
      </c>
      <c r="E3692" s="4">
        <v>0.0</v>
      </c>
      <c r="F3692" s="4">
        <v>41.0</v>
      </c>
      <c r="G3692" s="4" t="s">
        <v>5439</v>
      </c>
    </row>
    <row r="3693">
      <c r="A3693" s="1">
        <v>3691.0</v>
      </c>
      <c r="B3693" s="4" t="s">
        <v>5500</v>
      </c>
      <c r="C3693" s="5" t="str">
        <f>IFERROR(__xludf.DUMMYFUNCTION("GOOGLETRANSLATE(D:D,""auto"",""en"")"),"A provincial rescue a country")</f>
        <v>A provincial rescue a country</v>
      </c>
      <c r="D3693" s="4" t="s">
        <v>5474</v>
      </c>
      <c r="E3693" s="4">
        <v>0.0</v>
      </c>
      <c r="F3693" s="4">
        <v>42.0</v>
      </c>
      <c r="G3693" s="4" t="s">
        <v>5475</v>
      </c>
    </row>
    <row r="3694">
      <c r="A3694" s="1">
        <v>3692.0</v>
      </c>
      <c r="B3694" s="4" t="s">
        <v>5500</v>
      </c>
      <c r="C3694" s="5" t="str">
        <f>IFERROR(__xludf.DUMMYFUNCTION("GOOGLETRANSLATE(D:D,""auto"",""en"")"),"Italy outbreak strikes")</f>
        <v>Italy outbreak strikes</v>
      </c>
      <c r="D3694" s="4" t="s">
        <v>5434</v>
      </c>
      <c r="E3694" s="4">
        <v>0.0</v>
      </c>
      <c r="F3694" s="4">
        <v>43.0</v>
      </c>
      <c r="G3694" s="4" t="s">
        <v>5435</v>
      </c>
    </row>
    <row r="3695">
      <c r="A3695" s="1">
        <v>3693.0</v>
      </c>
      <c r="B3695" s="4" t="s">
        <v>5500</v>
      </c>
      <c r="C3695" s="5" t="str">
        <f>IFERROR(__xludf.DUMMYFUNCTION("GOOGLETRANSLATE(D:D,""auto"",""en"")"),"Yang Ying and son dialogue")</f>
        <v>Yang Ying and son dialogue</v>
      </c>
      <c r="D3695" s="4" t="s">
        <v>5567</v>
      </c>
      <c r="E3695" s="4">
        <v>0.0</v>
      </c>
      <c r="F3695" s="4">
        <v>44.0</v>
      </c>
      <c r="G3695" s="4" t="s">
        <v>5568</v>
      </c>
    </row>
    <row r="3696">
      <c r="A3696" s="1">
        <v>3694.0</v>
      </c>
      <c r="B3696" s="4" t="s">
        <v>5500</v>
      </c>
      <c r="C3696" s="5" t="str">
        <f>IFERROR(__xludf.DUMMYFUNCTION("GOOGLETRANSLATE(D:D,""auto"",""en"")"),"Trump worry about being infected exposure")</f>
        <v>Trump worry about being infected exposure</v>
      </c>
      <c r="D3696" s="4" t="s">
        <v>5430</v>
      </c>
      <c r="E3696" s="4">
        <v>0.0</v>
      </c>
      <c r="F3696" s="4">
        <v>45.0</v>
      </c>
      <c r="G3696" s="4" t="s">
        <v>5431</v>
      </c>
    </row>
    <row r="3697">
      <c r="A3697" s="1">
        <v>3695.0</v>
      </c>
      <c r="B3697" s="4" t="s">
        <v>5500</v>
      </c>
      <c r="C3697" s="5" t="str">
        <f>IFERROR(__xludf.DUMMYFUNCTION("GOOGLETRANSLATE(D:D,""auto"",""en"")"),"Americans invited Zhong Nanshan")</f>
        <v>Americans invited Zhong Nanshan</v>
      </c>
      <c r="D3697" s="4" t="s">
        <v>5420</v>
      </c>
      <c r="E3697" s="4">
        <v>0.0</v>
      </c>
      <c r="F3697" s="4">
        <v>46.0</v>
      </c>
      <c r="G3697" s="4" t="s">
        <v>5421</v>
      </c>
    </row>
    <row r="3698">
      <c r="A3698" s="1">
        <v>3696.0</v>
      </c>
      <c r="B3698" s="4" t="s">
        <v>5500</v>
      </c>
      <c r="C3698" s="5" t="str">
        <f>IFERROR(__xludf.DUMMYFUNCTION("GOOGLETRANSLATE(D:D,""auto"",""en"")"),"Zhong Nanshan, urged the public to donate blood")</f>
        <v>Zhong Nanshan, urged the public to donate blood</v>
      </c>
      <c r="D3698" s="4" t="s">
        <v>5494</v>
      </c>
      <c r="E3698" s="4">
        <v>0.0</v>
      </c>
      <c r="F3698" s="4">
        <v>47.0</v>
      </c>
      <c r="G3698" s="4" t="s">
        <v>5495</v>
      </c>
    </row>
    <row r="3699">
      <c r="A3699" s="1">
        <v>3697.0</v>
      </c>
      <c r="B3699" s="4" t="s">
        <v>5500</v>
      </c>
      <c r="C3699" s="5" t="str">
        <f>IFERROR(__xludf.DUMMYFUNCTION("GOOGLETRANSLATE(D:D,""auto"",""en"")"),"United States state of emergency")</f>
        <v>United States state of emergency</v>
      </c>
      <c r="D3699" s="4" t="s">
        <v>5569</v>
      </c>
      <c r="E3699" s="4">
        <v>0.0</v>
      </c>
      <c r="F3699" s="4">
        <v>48.0</v>
      </c>
      <c r="G3699" s="4" t="s">
        <v>5570</v>
      </c>
    </row>
    <row r="3700">
      <c r="A3700" s="1">
        <v>3698.0</v>
      </c>
      <c r="B3700" s="4" t="s">
        <v>5500</v>
      </c>
      <c r="C3700" s="5" t="str">
        <f>IFERROR(__xludf.DUMMYFUNCTION("GOOGLETRANSLATE(D:D,""auto"",""en"")"),"US bases shut down chemical and biological weapons")</f>
        <v>US bases shut down chemical and biological weapons</v>
      </c>
      <c r="D3700" s="4" t="s">
        <v>5482</v>
      </c>
      <c r="E3700" s="4">
        <v>0.0</v>
      </c>
      <c r="F3700" s="4">
        <v>49.0</v>
      </c>
      <c r="G3700" s="4" t="s">
        <v>5483</v>
      </c>
    </row>
    <row r="3701">
      <c r="A3701" s="1">
        <v>3699.0</v>
      </c>
      <c r="B3701" s="4" t="s">
        <v>5500</v>
      </c>
      <c r="C3701" s="5" t="str">
        <f>IFERROR(__xludf.DUMMYFUNCTION("GOOGLETRANSLATE(D:D,""auto"",""en"")"),"Gates, Microsoft's director resigned")</f>
        <v>Gates, Microsoft's director resigned</v>
      </c>
      <c r="D3701" s="4" t="s">
        <v>5571</v>
      </c>
      <c r="E3701" s="4">
        <v>0.0</v>
      </c>
      <c r="F3701" s="4">
        <v>50.0</v>
      </c>
      <c r="G3701" s="4" t="s">
        <v>5572</v>
      </c>
    </row>
    <row r="3702">
      <c r="A3702" s="1">
        <v>3700.0</v>
      </c>
      <c r="B3702" s="4" t="s">
        <v>5573</v>
      </c>
      <c r="C3702" s="5" t="str">
        <f>IFERROR(__xludf.DUMMYFUNCTION("GOOGLETRANSLATE(D:D,""auto"",""en"")"),"Ningbo, a tower crane collapsed real estate")</f>
        <v>Ningbo, a tower crane collapsed real estate</v>
      </c>
      <c r="D3702" s="4" t="s">
        <v>5543</v>
      </c>
      <c r="E3702" s="4">
        <v>0.0</v>
      </c>
      <c r="F3702" s="4">
        <v>1.0</v>
      </c>
      <c r="G3702" s="4" t="s">
        <v>5544</v>
      </c>
    </row>
    <row r="3703">
      <c r="A3703" s="1">
        <v>3701.0</v>
      </c>
      <c r="B3703" s="4" t="s">
        <v>5573</v>
      </c>
      <c r="C3703" s="5" t="str">
        <f>IFERROR(__xludf.DUMMYFUNCTION("GOOGLETRANSLATE(D:D,""auto"",""en"")"),"After returning to the United States refused detection")</f>
        <v>After returning to the United States refused detection</v>
      </c>
      <c r="D3703" s="4" t="s">
        <v>5574</v>
      </c>
      <c r="E3703" s="4">
        <v>0.0</v>
      </c>
      <c r="F3703" s="4">
        <v>2.0</v>
      </c>
      <c r="G3703" s="4" t="s">
        <v>5575</v>
      </c>
    </row>
    <row r="3704">
      <c r="A3704" s="1">
        <v>3702.0</v>
      </c>
      <c r="B3704" s="4" t="s">
        <v>5573</v>
      </c>
      <c r="C3704" s="5" t="str">
        <f>IFERROR(__xludf.DUMMYFUNCTION("GOOGLETRANSLATE(D:D,""auto"",""en"")"),"Newly diagnosed 20 cases in 31 provinces")</f>
        <v>Newly diagnosed 20 cases in 31 provinces</v>
      </c>
      <c r="D3704" s="4" t="s">
        <v>5576</v>
      </c>
      <c r="E3704" s="4">
        <v>0.0</v>
      </c>
      <c r="F3704" s="4">
        <v>3.0</v>
      </c>
      <c r="G3704" s="4" t="s">
        <v>5577</v>
      </c>
    </row>
    <row r="3705">
      <c r="A3705" s="1">
        <v>3703.0</v>
      </c>
      <c r="B3705" s="4" t="s">
        <v>5573</v>
      </c>
      <c r="C3705" s="5" t="str">
        <f>IFERROR(__xludf.DUMMYFUNCTION("GOOGLETRANSLATE(D:D,""auto"",""en"")"),"China and the US to buy a lot of cheap oil")</f>
        <v>China and the US to buy a lot of cheap oil</v>
      </c>
      <c r="D3705" s="4" t="s">
        <v>5578</v>
      </c>
      <c r="E3705" s="4">
        <v>0.0</v>
      </c>
      <c r="F3705" s="4">
        <v>4.0</v>
      </c>
      <c r="G3705" s="4" t="s">
        <v>5579</v>
      </c>
    </row>
    <row r="3706">
      <c r="A3706" s="1">
        <v>3704.0</v>
      </c>
      <c r="B3706" s="4" t="s">
        <v>5573</v>
      </c>
      <c r="C3706" s="5" t="str">
        <f>IFERROR(__xludf.DUMMYFUNCTION("GOOGLETRANSLATE(D:D,""auto"",""en"")"),"Nurses across the US protest")</f>
        <v>Nurses across the US protest</v>
      </c>
      <c r="D3706" s="4" t="s">
        <v>5580</v>
      </c>
      <c r="E3706" s="4">
        <v>0.0</v>
      </c>
      <c r="F3706" s="4">
        <v>5.0</v>
      </c>
      <c r="G3706" s="4" t="s">
        <v>5581</v>
      </c>
    </row>
    <row r="3707">
      <c r="A3707" s="1">
        <v>3705.0</v>
      </c>
      <c r="B3707" s="4" t="s">
        <v>5573</v>
      </c>
      <c r="C3707" s="5" t="str">
        <f>IFERROR(__xludf.DUMMYFUNCTION("GOOGLETRANSLATE(D:D,""auto"",""en"")"),"Over 2600 cases diagnosed United States")</f>
        <v>Over 2600 cases diagnosed United States</v>
      </c>
      <c r="D3707" s="4" t="s">
        <v>5582</v>
      </c>
      <c r="E3707" s="4">
        <v>0.0</v>
      </c>
      <c r="F3707" s="4">
        <v>6.0</v>
      </c>
      <c r="G3707" s="4" t="s">
        <v>5583</v>
      </c>
    </row>
    <row r="3708">
      <c r="A3708" s="1">
        <v>3706.0</v>
      </c>
      <c r="B3708" s="4" t="s">
        <v>5573</v>
      </c>
      <c r="C3708" s="5" t="str">
        <f>IFERROR(__xludf.DUMMYFUNCTION("GOOGLETRANSLATE(D:D,""auto"",""en"")"),"Thousands of tourists into Disney")</f>
        <v>Thousands of tourists into Disney</v>
      </c>
      <c r="D3708" s="4" t="s">
        <v>5584</v>
      </c>
      <c r="E3708" s="4">
        <v>0.0</v>
      </c>
      <c r="F3708" s="4">
        <v>7.0</v>
      </c>
      <c r="G3708" s="4" t="s">
        <v>5585</v>
      </c>
    </row>
    <row r="3709">
      <c r="A3709" s="1">
        <v>3707.0</v>
      </c>
      <c r="B3709" s="4" t="s">
        <v>5573</v>
      </c>
      <c r="C3709" s="5" t="str">
        <f>IFERROR(__xludf.DUMMYFUNCTION("GOOGLETRANSLATE(D:D,""auto"",""en"")"),"Trump announcement of results")</f>
        <v>Trump announcement of results</v>
      </c>
      <c r="D3709" s="4" t="s">
        <v>5586</v>
      </c>
      <c r="E3709" s="4">
        <v>0.0</v>
      </c>
      <c r="F3709" s="4">
        <v>8.0</v>
      </c>
      <c r="G3709" s="4" t="s">
        <v>5587</v>
      </c>
    </row>
    <row r="3710">
      <c r="A3710" s="1">
        <v>3708.0</v>
      </c>
      <c r="B3710" s="4" t="s">
        <v>5573</v>
      </c>
      <c r="C3710" s="5" t="str">
        <f>IFERROR(__xludf.DUMMYFUNCTION("GOOGLETRANSLATE(D:D,""auto"",""en"")"),"Italy or worse than Hubei")</f>
        <v>Italy or worse than Hubei</v>
      </c>
      <c r="D3710" s="4" t="s">
        <v>5588</v>
      </c>
      <c r="E3710" s="4">
        <v>0.0</v>
      </c>
      <c r="F3710" s="4">
        <v>9.0</v>
      </c>
      <c r="G3710" s="4" t="s">
        <v>5589</v>
      </c>
    </row>
    <row r="3711">
      <c r="A3711" s="1">
        <v>3709.0</v>
      </c>
      <c r="B3711" s="4" t="s">
        <v>5573</v>
      </c>
      <c r="C3711" s="5" t="str">
        <f>IFERROR(__xludf.DUMMYFUNCTION("GOOGLETRANSLATE(D:D,""auto"",""en"")"),"European mutual material trapped")</f>
        <v>European mutual material trapped</v>
      </c>
      <c r="D3711" s="4" t="s">
        <v>5590</v>
      </c>
      <c r="E3711" s="4">
        <v>0.0</v>
      </c>
      <c r="F3711" s="4">
        <v>10.0</v>
      </c>
      <c r="G3711" s="4" t="s">
        <v>5591</v>
      </c>
    </row>
    <row r="3712">
      <c r="A3712" s="1">
        <v>3710.0</v>
      </c>
      <c r="B3712" s="4" t="s">
        <v>5573</v>
      </c>
      <c r="C3712" s="5" t="str">
        <f>IFERROR(__xludf.DUMMYFUNCTION("GOOGLETRANSLATE(D:D,""auto"",""en"")"),"Liu Zhen Xin Long exposure condition")</f>
        <v>Liu Zhen Xin Long exposure condition</v>
      </c>
      <c r="D3712" s="4" t="s">
        <v>5592</v>
      </c>
      <c r="E3712" s="4">
        <v>0.0</v>
      </c>
      <c r="F3712" s="4">
        <v>11.0</v>
      </c>
      <c r="G3712" s="4" t="s">
        <v>5593</v>
      </c>
    </row>
    <row r="3713">
      <c r="A3713" s="1">
        <v>3711.0</v>
      </c>
      <c r="B3713" s="4" t="s">
        <v>5573</v>
      </c>
      <c r="C3713" s="5" t="str">
        <f>IFERROR(__xludf.DUMMYFUNCTION("GOOGLETRANSLATE(D:D,""auto"",""en"")"),"C Luo donated under the name of two hotels")</f>
        <v>C Luo donated under the name of two hotels</v>
      </c>
      <c r="D3713" s="4" t="s">
        <v>5594</v>
      </c>
      <c r="E3713" s="4">
        <v>0.0</v>
      </c>
      <c r="F3713" s="4">
        <v>12.0</v>
      </c>
      <c r="G3713" s="4" t="s">
        <v>5595</v>
      </c>
    </row>
    <row r="3714">
      <c r="A3714" s="1">
        <v>3712.0</v>
      </c>
      <c r="B3714" s="4" t="s">
        <v>5573</v>
      </c>
      <c r="C3714" s="5" t="str">
        <f>IFERROR(__xludf.DUMMYFUNCTION("GOOGLETRANSLATE(D:D,""auto"",""en"")"),"US citizens praised China")</f>
        <v>US citizens praised China</v>
      </c>
      <c r="D3714" s="4" t="s">
        <v>5596</v>
      </c>
      <c r="E3714" s="4">
        <v>0.0</v>
      </c>
      <c r="F3714" s="4">
        <v>13.0</v>
      </c>
      <c r="G3714" s="4" t="s">
        <v>5597</v>
      </c>
    </row>
    <row r="3715">
      <c r="A3715" s="1">
        <v>3713.0</v>
      </c>
      <c r="B3715" s="4" t="s">
        <v>5573</v>
      </c>
      <c r="C3715" s="5" t="str">
        <f>IFERROR(__xludf.DUMMYFUNCTION("GOOGLETRANSLATE(D:D,""auto"",""en"")"),"Endo-mayor died in Italy")</f>
        <v>Endo-mayor died in Italy</v>
      </c>
      <c r="D3715" s="4" t="s">
        <v>5598</v>
      </c>
      <c r="E3715" s="4">
        <v>0.0</v>
      </c>
      <c r="F3715" s="4">
        <v>14.0</v>
      </c>
      <c r="G3715" s="4" t="s">
        <v>5599</v>
      </c>
    </row>
    <row r="3716">
      <c r="A3716" s="1">
        <v>3714.0</v>
      </c>
      <c r="B3716" s="4" t="s">
        <v>5573</v>
      </c>
      <c r="C3716" s="5" t="str">
        <f>IFERROR(__xludf.DUMMYFUNCTION("GOOGLETRANSLATE(D:D,""auto"",""en"")"),"Sweden renounce resistance")</f>
        <v>Sweden renounce resistance</v>
      </c>
      <c r="D3716" s="4" t="s">
        <v>5600</v>
      </c>
      <c r="E3716" s="4">
        <v>0.0</v>
      </c>
      <c r="F3716" s="4">
        <v>15.0</v>
      </c>
      <c r="G3716" s="4" t="s">
        <v>5601</v>
      </c>
    </row>
    <row r="3717">
      <c r="A3717" s="1">
        <v>3715.0</v>
      </c>
      <c r="B3717" s="4" t="s">
        <v>5573</v>
      </c>
      <c r="C3717" s="5" t="str">
        <f>IFERROR(__xludf.DUMMYFUNCTION("GOOGLETRANSLATE(D:D,""auto"",""en"")"),"UAE re-lit for the Chinese")</f>
        <v>UAE re-lit for the Chinese</v>
      </c>
      <c r="D3717" s="4" t="s">
        <v>5602</v>
      </c>
      <c r="E3717" s="4">
        <v>0.0</v>
      </c>
      <c r="F3717" s="4">
        <v>16.0</v>
      </c>
      <c r="G3717" s="4" t="s">
        <v>5603</v>
      </c>
    </row>
    <row r="3718">
      <c r="A3718" s="1">
        <v>3716.0</v>
      </c>
      <c r="B3718" s="4" t="s">
        <v>5573</v>
      </c>
      <c r="C3718" s="5" t="str">
        <f>IFERROR(__xludf.DUMMYFUNCTION("GOOGLETRANSLATE(D:D,""auto"",""en"")"),"Chinese guard to board the Italian newspaper")</f>
        <v>Chinese guard to board the Italian newspaper</v>
      </c>
      <c r="D3718" s="4" t="s">
        <v>5604</v>
      </c>
      <c r="E3718" s="4">
        <v>0.0</v>
      </c>
      <c r="F3718" s="4">
        <v>17.0</v>
      </c>
      <c r="G3718" s="4" t="s">
        <v>5605</v>
      </c>
    </row>
    <row r="3719">
      <c r="A3719" s="1">
        <v>3717.0</v>
      </c>
      <c r="B3719" s="4" t="s">
        <v>5573</v>
      </c>
      <c r="C3719" s="5" t="str">
        <f>IFERROR(__xludf.DUMMYFUNCTION("GOOGLETRANSLATE(D:D,""auto"",""en"")"),"Jinxin crown confirmed cases cleared")</f>
        <v>Jinxin crown confirmed cases cleared</v>
      </c>
      <c r="D3719" s="4" t="s">
        <v>5606</v>
      </c>
      <c r="E3719" s="4">
        <v>0.0</v>
      </c>
      <c r="F3719" s="4">
        <v>18.0</v>
      </c>
      <c r="G3719" s="4" t="s">
        <v>5607</v>
      </c>
    </row>
    <row r="3720">
      <c r="A3720" s="1">
        <v>3718.0</v>
      </c>
      <c r="B3720" s="4" t="s">
        <v>5573</v>
      </c>
      <c r="C3720" s="5" t="str">
        <f>IFERROR(__xludf.DUMMYFUNCTION("GOOGLETRANSLATE(D:D,""auto"",""en"")"),"US airport large number of passengers stranded")</f>
        <v>US airport large number of passengers stranded</v>
      </c>
      <c r="D3720" s="4" t="s">
        <v>5608</v>
      </c>
      <c r="E3720" s="4">
        <v>0.0</v>
      </c>
      <c r="F3720" s="4">
        <v>19.0</v>
      </c>
      <c r="G3720" s="4" t="s">
        <v>5609</v>
      </c>
    </row>
    <row r="3721">
      <c r="A3721" s="1">
        <v>3719.0</v>
      </c>
      <c r="B3721" s="4" t="s">
        <v>5573</v>
      </c>
      <c r="C3721" s="5" t="str">
        <f>IFERROR(__xludf.DUMMYFUNCTION("GOOGLETRANSLATE(D:D,""auto"",""en"")"),"Ning Jinsheng academician death")</f>
        <v>Ning Jinsheng academician death</v>
      </c>
      <c r="D3721" s="4" t="s">
        <v>5610</v>
      </c>
      <c r="E3721" s="4">
        <v>0.0</v>
      </c>
      <c r="F3721" s="4">
        <v>20.0</v>
      </c>
      <c r="G3721" s="4" t="s">
        <v>5611</v>
      </c>
    </row>
    <row r="3722">
      <c r="A3722" s="1">
        <v>3720.0</v>
      </c>
      <c r="B3722" s="4" t="s">
        <v>5573</v>
      </c>
      <c r="C3722" s="5" t="str">
        <f>IFERROR(__xludf.DUMMYFUNCTION("GOOGLETRANSLATE(D:D,""auto"",""en"")"),"Sichuan, a primary school tuition reminders")</f>
        <v>Sichuan, a primary school tuition reminders</v>
      </c>
      <c r="D3722" s="4" t="s">
        <v>5553</v>
      </c>
      <c r="E3722" s="4">
        <v>0.0</v>
      </c>
      <c r="F3722" s="4">
        <v>21.0</v>
      </c>
      <c r="G3722" s="4" t="s">
        <v>5554</v>
      </c>
    </row>
    <row r="3723">
      <c r="A3723" s="1">
        <v>3721.0</v>
      </c>
      <c r="B3723" s="4" t="s">
        <v>5573</v>
      </c>
      <c r="C3723" s="5" t="str">
        <f>IFERROR(__xludf.DUMMYFUNCTION("GOOGLETRANSLATE(D:D,""auto"",""en"")"),"Chinese national anthem sounded Rome")</f>
        <v>Chinese national anthem sounded Rome</v>
      </c>
      <c r="D3723" s="4" t="s">
        <v>5612</v>
      </c>
      <c r="E3723" s="4">
        <v>0.0</v>
      </c>
      <c r="F3723" s="4">
        <v>22.0</v>
      </c>
      <c r="G3723" s="4" t="s">
        <v>5613</v>
      </c>
    </row>
    <row r="3724">
      <c r="A3724" s="1">
        <v>3722.0</v>
      </c>
      <c r="B3724" s="4" t="s">
        <v>5573</v>
      </c>
      <c r="C3724" s="5" t="str">
        <f>IFERROR(__xludf.DUMMYFUNCTION("GOOGLETRANSLATE(D:D,""auto"",""en"")"),"United States men on death flights")</f>
        <v>United States men on death flights</v>
      </c>
      <c r="D3724" s="4" t="s">
        <v>5614</v>
      </c>
      <c r="E3724" s="4">
        <v>0.0</v>
      </c>
      <c r="F3724" s="4">
        <v>23.0</v>
      </c>
      <c r="G3724" s="4" t="s">
        <v>5615</v>
      </c>
    </row>
    <row r="3725">
      <c r="A3725" s="1">
        <v>3723.0</v>
      </c>
      <c r="B3725" s="4" t="s">
        <v>5573</v>
      </c>
      <c r="C3725" s="5" t="str">
        <f>IFERROR(__xludf.DUMMYFUNCTION("GOOGLETRANSLATE(D:D,""auto"",""en"")"),"Cooperation is the key to terminate the epidemic")</f>
        <v>Cooperation is the key to terminate the epidemic</v>
      </c>
      <c r="D3725" s="4" t="s">
        <v>5616</v>
      </c>
      <c r="E3725" s="4">
        <v>0.0</v>
      </c>
      <c r="F3725" s="4">
        <v>24.0</v>
      </c>
      <c r="G3725" s="4" t="s">
        <v>5617</v>
      </c>
    </row>
    <row r="3726">
      <c r="A3726" s="1">
        <v>3724.0</v>
      </c>
      <c r="B3726" s="4" t="s">
        <v>5573</v>
      </c>
      <c r="C3726" s="5" t="str">
        <f>IFERROR(__xludf.DUMMYFUNCTION("GOOGLETRANSLATE(D:D,""auto"",""en"")"),"Queen leaving Buckingham Palace")</f>
        <v>Queen leaving Buckingham Palace</v>
      </c>
      <c r="D3726" s="4" t="s">
        <v>5618</v>
      </c>
      <c r="E3726" s="4">
        <v>0.0</v>
      </c>
      <c r="F3726" s="4">
        <v>25.0</v>
      </c>
      <c r="G3726" s="4" t="s">
        <v>5619</v>
      </c>
    </row>
    <row r="3727">
      <c r="A3727" s="1">
        <v>3725.0</v>
      </c>
      <c r="B3727" s="4" t="s">
        <v>5573</v>
      </c>
      <c r="C3727" s="5" t="str">
        <f>IFERROR(__xludf.DUMMYFUNCTION("GOOGLETRANSLATE(D:D,""auto"",""en"")"),"Iran's president accused the US")</f>
        <v>Iran's president accused the US</v>
      </c>
      <c r="D3727" s="4" t="s">
        <v>5620</v>
      </c>
      <c r="E3727" s="4">
        <v>0.0</v>
      </c>
      <c r="F3727" s="4">
        <v>26.0</v>
      </c>
      <c r="G3727" s="4" t="s">
        <v>5621</v>
      </c>
    </row>
    <row r="3728">
      <c r="A3728" s="1">
        <v>3726.0</v>
      </c>
      <c r="B3728" s="4" t="s">
        <v>5573</v>
      </c>
      <c r="C3728" s="5" t="str">
        <f>IFERROR(__xludf.DUMMYFUNCTION("GOOGLETRANSLATE(D:D,""auto"",""en"")"),"Luo exposed reasons for breaking up")</f>
        <v>Luo exposed reasons for breaking up</v>
      </c>
      <c r="D3728" s="4" t="s">
        <v>5527</v>
      </c>
      <c r="E3728" s="4">
        <v>0.0</v>
      </c>
      <c r="F3728" s="4">
        <v>27.0</v>
      </c>
      <c r="G3728" s="4" t="s">
        <v>5528</v>
      </c>
    </row>
    <row r="3729">
      <c r="A3729" s="1">
        <v>3727.0</v>
      </c>
      <c r="B3729" s="4" t="s">
        <v>5573</v>
      </c>
      <c r="C3729" s="5" t="str">
        <f>IFERROR(__xludf.DUMMYFUNCTION("GOOGLETRANSLATE(D:D,""auto"",""en"")"),"Kathy Chow was traced to her husband derailment")</f>
        <v>Kathy Chow was traced to her husband derailment</v>
      </c>
      <c r="D3729" s="4" t="s">
        <v>5555</v>
      </c>
      <c r="E3729" s="4">
        <v>0.0</v>
      </c>
      <c r="F3729" s="4">
        <v>28.0</v>
      </c>
      <c r="G3729" s="4" t="s">
        <v>5556</v>
      </c>
    </row>
    <row r="3730">
      <c r="A3730" s="1">
        <v>3728.0</v>
      </c>
      <c r="B3730" s="4" t="s">
        <v>5573</v>
      </c>
      <c r="C3730" s="5" t="str">
        <f>IFERROR(__xludf.DUMMYFUNCTION("GOOGLETRANSLATE(D:D,""auto"",""en"")"),"39-year-old Fan Bingbing sun photograph")</f>
        <v>39-year-old Fan Bingbing sun photograph</v>
      </c>
      <c r="D3730" s="4" t="s">
        <v>5525</v>
      </c>
      <c r="E3730" s="4">
        <v>0.0</v>
      </c>
      <c r="F3730" s="4">
        <v>29.0</v>
      </c>
      <c r="G3730" s="4" t="s">
        <v>5526</v>
      </c>
    </row>
    <row r="3731">
      <c r="A3731" s="1">
        <v>3729.0</v>
      </c>
      <c r="B3731" s="4" t="s">
        <v>5573</v>
      </c>
      <c r="C3731" s="5" t="str">
        <f>IFERROR(__xludf.DUMMYFUNCTION("GOOGLETRANSLATE(D:D,""auto"",""en"")"),"Tangshan concealed by treatment at their own expense")</f>
        <v>Tangshan concealed by treatment at their own expense</v>
      </c>
      <c r="D3731" s="4" t="s">
        <v>5551</v>
      </c>
      <c r="E3731" s="4">
        <v>0.0</v>
      </c>
      <c r="F3731" s="4">
        <v>30.0</v>
      </c>
      <c r="G3731" s="4" t="s">
        <v>5552</v>
      </c>
    </row>
    <row r="3732">
      <c r="A3732" s="1">
        <v>3730.0</v>
      </c>
      <c r="B3732" s="4" t="s">
        <v>5573</v>
      </c>
      <c r="C3732" s="5" t="str">
        <f>IFERROR(__xludf.DUMMYFUNCTION("GOOGLETRANSLATE(D:D,""auto"",""en"")"),"Outside China over 60,000 infected")</f>
        <v>Outside China over 60,000 infected</v>
      </c>
      <c r="D3732" s="4" t="s">
        <v>5557</v>
      </c>
      <c r="E3732" s="4">
        <v>0.0</v>
      </c>
      <c r="F3732" s="4">
        <v>31.0</v>
      </c>
      <c r="G3732" s="4" t="s">
        <v>5558</v>
      </c>
    </row>
    <row r="3733">
      <c r="A3733" s="1">
        <v>3731.0</v>
      </c>
      <c r="B3733" s="4" t="s">
        <v>5573</v>
      </c>
      <c r="C3733" s="5" t="str">
        <f>IFERROR(__xludf.DUMMYFUNCTION("GOOGLETRANSLATE(D:D,""auto"",""en"")"),"The United States will be free to detect the new crown")</f>
        <v>The United States will be free to detect the new crown</v>
      </c>
      <c r="D3733" s="4" t="s">
        <v>5622</v>
      </c>
      <c r="E3733" s="4">
        <v>0.0</v>
      </c>
      <c r="F3733" s="4">
        <v>32.0</v>
      </c>
      <c r="G3733" s="4" t="s">
        <v>5623</v>
      </c>
    </row>
    <row r="3734">
      <c r="A3734" s="1">
        <v>3732.0</v>
      </c>
      <c r="B3734" s="4" t="s">
        <v>5573</v>
      </c>
      <c r="C3734" s="5" t="str">
        <f>IFERROR(__xludf.DUMMYFUNCTION("GOOGLETRANSLATE(D:D,""auto"",""en"")"),"Tiffany fined")</f>
        <v>Tiffany fined</v>
      </c>
      <c r="D3734" s="4" t="s">
        <v>5545</v>
      </c>
      <c r="E3734" s="4">
        <v>0.0</v>
      </c>
      <c r="F3734" s="4">
        <v>33.0</v>
      </c>
      <c r="G3734" s="4" t="s">
        <v>5546</v>
      </c>
    </row>
    <row r="3735">
      <c r="A3735" s="1">
        <v>3733.0</v>
      </c>
      <c r="B3735" s="4" t="s">
        <v>5573</v>
      </c>
      <c r="C3735" s="5" t="str">
        <f>IFERROR(__xludf.DUMMYFUNCTION("GOOGLETRANSLATE(D:D,""auto"",""en"")"),"Spain closed city at any time force")</f>
        <v>Spain closed city at any time force</v>
      </c>
      <c r="D3735" s="4" t="s">
        <v>5624</v>
      </c>
      <c r="E3735" s="4">
        <v>0.0</v>
      </c>
      <c r="F3735" s="4">
        <v>34.0</v>
      </c>
      <c r="G3735" s="4" t="s">
        <v>5625</v>
      </c>
    </row>
    <row r="3736">
      <c r="A3736" s="1">
        <v>3734.0</v>
      </c>
      <c r="B3736" s="4" t="s">
        <v>5573</v>
      </c>
      <c r="C3736" s="5" t="str">
        <f>IFERROR(__xludf.DUMMYFUNCTION("GOOGLETRANSLATE(D:D,""auto"",""en"")"),"No one dared to wear a mask fainted help")</f>
        <v>No one dared to wear a mask fainted help</v>
      </c>
      <c r="D3736" s="4" t="s">
        <v>5626</v>
      </c>
      <c r="E3736" s="4">
        <v>0.0</v>
      </c>
      <c r="F3736" s="4">
        <v>35.0</v>
      </c>
      <c r="G3736" s="4" t="s">
        <v>5627</v>
      </c>
    </row>
    <row r="3737">
      <c r="A3737" s="1">
        <v>3735.0</v>
      </c>
      <c r="B3737" s="4" t="s">
        <v>5573</v>
      </c>
      <c r="C3737" s="5" t="str">
        <f>IFERROR(__xludf.DUMMYFUNCTION("GOOGLETRANSLATE(D:D,""auto"",""en"")"),"Zhao daughter donated 2.7 million")</f>
        <v>Zhao daughter donated 2.7 million</v>
      </c>
      <c r="D3737" s="4" t="s">
        <v>5549</v>
      </c>
      <c r="E3737" s="4">
        <v>0.0</v>
      </c>
      <c r="F3737" s="4">
        <v>36.0</v>
      </c>
      <c r="G3737" s="4" t="s">
        <v>5550</v>
      </c>
    </row>
    <row r="3738">
      <c r="A3738" s="1">
        <v>3736.0</v>
      </c>
      <c r="B3738" s="4" t="s">
        <v>5573</v>
      </c>
      <c r="C3738" s="5" t="str">
        <f>IFERROR(__xludf.DUMMYFUNCTION("GOOGLETRANSLATE(D:D,""auto"",""en"")"),"Guo Moupeng colleagues isolated")</f>
        <v>Guo Moupeng colleagues isolated</v>
      </c>
      <c r="D3738" s="4" t="s">
        <v>5539</v>
      </c>
      <c r="E3738" s="4">
        <v>0.0</v>
      </c>
      <c r="F3738" s="4">
        <v>37.0</v>
      </c>
      <c r="G3738" s="4" t="s">
        <v>5540</v>
      </c>
    </row>
    <row r="3739">
      <c r="A3739" s="1">
        <v>3737.0</v>
      </c>
      <c r="B3739" s="4" t="s">
        <v>5573</v>
      </c>
      <c r="C3739" s="5" t="str">
        <f>IFERROR(__xludf.DUMMYFUNCTION("GOOGLETRANSLATE(D:D,""auto"",""en"")"),"Jolin black skirt shape")</f>
        <v>Jolin black skirt shape</v>
      </c>
      <c r="D3739" s="4" t="s">
        <v>5628</v>
      </c>
      <c r="E3739" s="4">
        <v>0.0</v>
      </c>
      <c r="F3739" s="4">
        <v>38.0</v>
      </c>
      <c r="G3739" s="4" t="s">
        <v>5629</v>
      </c>
    </row>
    <row r="3740">
      <c r="A3740" s="1">
        <v>3738.0</v>
      </c>
      <c r="B3740" s="4" t="s">
        <v>5573</v>
      </c>
      <c r="C3740" s="5" t="str">
        <f>IFERROR(__xludf.DUMMYFUNCTION("GOOGLETRANSLATE(D:D,""auto"",""en"")"),"Spanish Prime Minister confirmed his wife")</f>
        <v>Spanish Prime Minister confirmed his wife</v>
      </c>
      <c r="D3740" s="4" t="s">
        <v>5630</v>
      </c>
      <c r="E3740" s="4">
        <v>0.0</v>
      </c>
      <c r="F3740" s="4">
        <v>39.0</v>
      </c>
      <c r="G3740" s="4" t="s">
        <v>5631</v>
      </c>
    </row>
    <row r="3741">
      <c r="A3741" s="1">
        <v>3739.0</v>
      </c>
      <c r="B3741" s="4" t="s">
        <v>5573</v>
      </c>
      <c r="C3741" s="5" t="str">
        <f>IFERROR(__xludf.DUMMYFUNCTION("GOOGLETRANSLATE(D:D,""auto"",""en"")"),"FAW Xiali renamed")</f>
        <v>FAW Xiali renamed</v>
      </c>
      <c r="D3741" s="4" t="s">
        <v>5632</v>
      </c>
      <c r="E3741" s="4">
        <v>0.0</v>
      </c>
      <c r="F3741" s="4">
        <v>40.0</v>
      </c>
      <c r="G3741" s="4" t="s">
        <v>5633</v>
      </c>
    </row>
    <row r="3742">
      <c r="A3742" s="1">
        <v>3740.0</v>
      </c>
      <c r="B3742" s="4" t="s">
        <v>5573</v>
      </c>
      <c r="C3742" s="5" t="str">
        <f>IFERROR(__xludf.DUMMYFUNCTION("GOOGLETRANSLATE(D:D,""auto"",""en"")"),"University school to continue after the extension")</f>
        <v>University school to continue after the extension</v>
      </c>
      <c r="D3742" s="4" t="s">
        <v>5521</v>
      </c>
      <c r="E3742" s="4">
        <v>0.0</v>
      </c>
      <c r="F3742" s="4">
        <v>41.0</v>
      </c>
      <c r="G3742" s="4" t="s">
        <v>5522</v>
      </c>
    </row>
    <row r="3743">
      <c r="A3743" s="1">
        <v>3741.0</v>
      </c>
      <c r="B3743" s="4" t="s">
        <v>5573</v>
      </c>
      <c r="C3743" s="5" t="str">
        <f>IFERROR(__xludf.DUMMYFUNCTION("GOOGLETRANSLATE(D:D,""auto"",""en"")"),"Enter the cases the cost of treatment abroad")</f>
        <v>Enter the cases the cost of treatment abroad</v>
      </c>
      <c r="D3743" s="4" t="s">
        <v>5634</v>
      </c>
      <c r="E3743" s="4">
        <v>0.0</v>
      </c>
      <c r="F3743" s="4">
        <v>42.0</v>
      </c>
      <c r="G3743" s="4" t="s">
        <v>5635</v>
      </c>
    </row>
    <row r="3744">
      <c r="A3744" s="1">
        <v>3742.0</v>
      </c>
      <c r="B3744" s="4" t="s">
        <v>5573</v>
      </c>
      <c r="C3744" s="5" t="str">
        <f>IFERROR(__xludf.DUMMYFUNCTION("GOOGLETRANSLATE(D:D,""auto"",""en"")"),"New screening to detect lung cancer crown")</f>
        <v>New screening to detect lung cancer crown</v>
      </c>
      <c r="D3744" s="4" t="s">
        <v>5636</v>
      </c>
      <c r="E3744" s="4">
        <v>0.0</v>
      </c>
      <c r="F3744" s="4">
        <v>43.0</v>
      </c>
      <c r="G3744" s="4" t="s">
        <v>5637</v>
      </c>
    </row>
    <row r="3745">
      <c r="A3745" s="1">
        <v>3743.0</v>
      </c>
      <c r="B3745" s="4" t="s">
        <v>5573</v>
      </c>
      <c r="C3745" s="5" t="str">
        <f>IFERROR(__xludf.DUMMYFUNCTION("GOOGLETRANSLATE(D:D,""auto"",""en"")"),"Official notification Guomou Peng disease")</f>
        <v>Official notification Guomou Peng disease</v>
      </c>
      <c r="D3745" s="4" t="s">
        <v>5519</v>
      </c>
      <c r="E3745" s="4">
        <v>0.0</v>
      </c>
      <c r="F3745" s="4">
        <v>44.0</v>
      </c>
      <c r="G3745" s="4" t="s">
        <v>5520</v>
      </c>
    </row>
    <row r="3746">
      <c r="A3746" s="1">
        <v>3744.0</v>
      </c>
      <c r="B3746" s="4" t="s">
        <v>5573</v>
      </c>
      <c r="C3746" s="5" t="str">
        <f>IFERROR(__xludf.DUMMYFUNCTION("GOOGLETRANSLATE(D:D,""auto"",""en"")"),"The second son of Sammo Hung appeared on the streets")</f>
        <v>The second son of Sammo Hung appeared on the streets</v>
      </c>
      <c r="D3746" s="4" t="s">
        <v>5638</v>
      </c>
      <c r="E3746" s="4">
        <v>0.0</v>
      </c>
      <c r="F3746" s="4">
        <v>45.0</v>
      </c>
      <c r="G3746" s="4" t="s">
        <v>5639</v>
      </c>
    </row>
    <row r="3747">
      <c r="A3747" s="1">
        <v>3745.0</v>
      </c>
      <c r="B3747" s="4" t="s">
        <v>5573</v>
      </c>
      <c r="C3747" s="5" t="str">
        <f>IFERROR(__xludf.DUMMYFUNCTION("GOOGLETRANSLATE(D:D,""auto"",""en"")"),"Germany declared a state of suspension of classes")</f>
        <v>Germany declared a state of suspension of classes</v>
      </c>
      <c r="D3747" s="4" t="s">
        <v>5640</v>
      </c>
      <c r="E3747" s="4">
        <v>0.0</v>
      </c>
      <c r="F3747" s="4">
        <v>46.0</v>
      </c>
      <c r="G3747" s="4" t="s">
        <v>5641</v>
      </c>
    </row>
    <row r="3748">
      <c r="A3748" s="1">
        <v>3746.0</v>
      </c>
      <c r="B3748" s="4" t="s">
        <v>5573</v>
      </c>
      <c r="C3748" s="5" t="str">
        <f>IFERROR(__xludf.DUMMYFUNCTION("GOOGLETRANSLATE(D:D,""auto"",""en"")"),"US new crown in burst out of control")</f>
        <v>US new crown in burst out of control</v>
      </c>
      <c r="D3748" s="4" t="s">
        <v>5501</v>
      </c>
      <c r="E3748" s="4">
        <v>0.0</v>
      </c>
      <c r="F3748" s="4">
        <v>47.0</v>
      </c>
      <c r="G3748" s="4" t="s">
        <v>5502</v>
      </c>
    </row>
    <row r="3749">
      <c r="A3749" s="1">
        <v>3747.0</v>
      </c>
      <c r="B3749" s="4" t="s">
        <v>5573</v>
      </c>
      <c r="C3749" s="5" t="str">
        <f>IFERROR(__xludf.DUMMYFUNCTION("GOOGLETRANSLATE(D:D,""auto"",""en"")"),"Roman version of the Raytheon-made mountains are jumping")</f>
        <v>Roman version of the Raytheon-made mountains are jumping</v>
      </c>
      <c r="D3749" s="4" t="s">
        <v>5642</v>
      </c>
      <c r="E3749" s="4">
        <v>0.0</v>
      </c>
      <c r="F3749" s="4">
        <v>48.0</v>
      </c>
      <c r="G3749" s="4" t="s">
        <v>5643</v>
      </c>
    </row>
    <row r="3750">
      <c r="A3750" s="1">
        <v>3748.0</v>
      </c>
      <c r="B3750" s="4" t="s">
        <v>5573</v>
      </c>
      <c r="C3750" s="5" t="str">
        <f>IFERROR(__xludf.DUMMYFUNCTION("GOOGLETRANSLATE(D:D,""auto"",""en"")"),"Green code passenger embodiment Hubei")</f>
        <v>Green code passenger embodiment Hubei</v>
      </c>
      <c r="D3750" s="4" t="s">
        <v>5559</v>
      </c>
      <c r="E3750" s="4">
        <v>0.0</v>
      </c>
      <c r="F3750" s="4">
        <v>49.0</v>
      </c>
      <c r="G3750" s="4" t="s">
        <v>5560</v>
      </c>
    </row>
    <row r="3751">
      <c r="A3751" s="1">
        <v>3749.0</v>
      </c>
      <c r="B3751" s="4" t="s">
        <v>5573</v>
      </c>
      <c r="C3751" s="5" t="str">
        <f>IFERROR(__xludf.DUMMYFUNCTION("GOOGLETRANSLATE(D:D,""auto"",""en"")"),"Italian medical officer's death")</f>
        <v>Italian medical officer's death</v>
      </c>
      <c r="D3751" s="4" t="s">
        <v>5535</v>
      </c>
      <c r="E3751" s="4">
        <v>0.0</v>
      </c>
      <c r="F3751" s="4">
        <v>50.0</v>
      </c>
      <c r="G3751" s="4" t="s">
        <v>5536</v>
      </c>
    </row>
    <row r="3752">
      <c r="A3752" s="1">
        <v>3750.0</v>
      </c>
      <c r="B3752" s="4" t="s">
        <v>5644</v>
      </c>
      <c r="C3752" s="5" t="str">
        <f>IFERROR(__xludf.DUMMYFUNCTION("GOOGLETRANSLATE(D:D,""auto"",""en"")"),"Endo-mayor died in Italy")</f>
        <v>Endo-mayor died in Italy</v>
      </c>
      <c r="D3752" s="4" t="s">
        <v>5598</v>
      </c>
      <c r="E3752" s="4">
        <v>0.0</v>
      </c>
      <c r="F3752" s="4">
        <v>1.0</v>
      </c>
      <c r="G3752" s="4" t="s">
        <v>5599</v>
      </c>
    </row>
    <row r="3753">
      <c r="A3753" s="1">
        <v>3751.0</v>
      </c>
      <c r="B3753" s="4" t="s">
        <v>5644</v>
      </c>
      <c r="C3753" s="5" t="str">
        <f>IFERROR(__xludf.DUMMYFUNCTION("GOOGLETRANSLATE(D:D,""auto"",""en"")"),"US airport large number of passengers stranded")</f>
        <v>US airport large number of passengers stranded</v>
      </c>
      <c r="D3753" s="4" t="s">
        <v>5608</v>
      </c>
      <c r="E3753" s="4">
        <v>0.0</v>
      </c>
      <c r="F3753" s="4">
        <v>2.0</v>
      </c>
      <c r="G3753" s="4" t="s">
        <v>5609</v>
      </c>
    </row>
    <row r="3754">
      <c r="A3754" s="1">
        <v>3752.0</v>
      </c>
      <c r="B3754" s="4" t="s">
        <v>5644</v>
      </c>
      <c r="C3754" s="5" t="str">
        <f>IFERROR(__xludf.DUMMYFUNCTION("GOOGLETRANSLATE(D:D,""auto"",""en"")"),"Ning Jinsheng academician death")</f>
        <v>Ning Jinsheng academician death</v>
      </c>
      <c r="D3754" s="4" t="s">
        <v>5610</v>
      </c>
      <c r="E3754" s="4">
        <v>0.0</v>
      </c>
      <c r="F3754" s="4">
        <v>3.0</v>
      </c>
      <c r="G3754" s="4" t="s">
        <v>5611</v>
      </c>
    </row>
    <row r="3755">
      <c r="A3755" s="1">
        <v>3753.0</v>
      </c>
      <c r="B3755" s="4" t="s">
        <v>5644</v>
      </c>
      <c r="C3755" s="5" t="str">
        <f>IFERROR(__xludf.DUMMYFUNCTION("GOOGLETRANSLATE(D:D,""auto"",""en"")"),"There are more than three thousand patients with severe")</f>
        <v>There are more than three thousand patients with severe</v>
      </c>
      <c r="D3755" s="4" t="s">
        <v>5645</v>
      </c>
      <c r="E3755" s="4">
        <v>0.0</v>
      </c>
      <c r="F3755" s="4">
        <v>4.0</v>
      </c>
      <c r="G3755" s="4" t="s">
        <v>5646</v>
      </c>
    </row>
    <row r="3756">
      <c r="A3756" s="1">
        <v>3754.0</v>
      </c>
      <c r="B3756" s="4" t="s">
        <v>5644</v>
      </c>
      <c r="C3756" s="5" t="str">
        <f>IFERROR(__xludf.DUMMYFUNCTION("GOOGLETRANSLATE(D:D,""auto"",""en"")"),"Jilin confirmed cases cleared")</f>
        <v>Jilin confirmed cases cleared</v>
      </c>
      <c r="D3756" s="4" t="s">
        <v>5647</v>
      </c>
      <c r="E3756" s="4">
        <v>0.0</v>
      </c>
      <c r="F3756" s="4">
        <v>5.0</v>
      </c>
      <c r="G3756" s="4" t="s">
        <v>5648</v>
      </c>
    </row>
    <row r="3757">
      <c r="A3757" s="1">
        <v>3755.0</v>
      </c>
      <c r="B3757" s="4" t="s">
        <v>5644</v>
      </c>
      <c r="C3757" s="5" t="str">
        <f>IFERROR(__xludf.DUMMYFUNCTION("GOOGLETRANSLATE(D:D,""auto"",""en"")"),"Leo announced a father")</f>
        <v>Leo announced a father</v>
      </c>
      <c r="D3757" s="4" t="s">
        <v>5649</v>
      </c>
      <c r="E3757" s="4">
        <v>0.0</v>
      </c>
      <c r="F3757" s="4">
        <v>6.0</v>
      </c>
      <c r="G3757" s="4" t="s">
        <v>5650</v>
      </c>
    </row>
    <row r="3758">
      <c r="A3758" s="1">
        <v>3756.0</v>
      </c>
      <c r="B3758" s="4" t="s">
        <v>5644</v>
      </c>
      <c r="C3758" s="5" t="str">
        <f>IFERROR(__xludf.DUMMYFUNCTION("GOOGLETRANSLATE(D:D,""auto"",""en"")"),"British prison hundred symptoms")</f>
        <v>British prison hundred symptoms</v>
      </c>
      <c r="D3758" s="4" t="s">
        <v>5651</v>
      </c>
      <c r="E3758" s="4">
        <v>0.0</v>
      </c>
      <c r="F3758" s="4">
        <v>7.0</v>
      </c>
      <c r="G3758" s="4" t="s">
        <v>5652</v>
      </c>
    </row>
    <row r="3759">
      <c r="A3759" s="1">
        <v>3757.0</v>
      </c>
      <c r="B3759" s="4" t="s">
        <v>5644</v>
      </c>
      <c r="C3759" s="5" t="str">
        <f>IFERROR(__xludf.DUMMYFUNCTION("GOOGLETRANSLATE(D:D,""auto"",""en"")"),"Spanish one-day gain two thousand cases")</f>
        <v>Spanish one-day gain two thousand cases</v>
      </c>
      <c r="D3759" s="4" t="s">
        <v>5653</v>
      </c>
      <c r="E3759" s="4">
        <v>0.0</v>
      </c>
      <c r="F3759" s="4">
        <v>8.0</v>
      </c>
      <c r="G3759" s="4" t="s">
        <v>5654</v>
      </c>
    </row>
    <row r="3760">
      <c r="A3760" s="1">
        <v>3758.0</v>
      </c>
      <c r="B3760" s="4" t="s">
        <v>5644</v>
      </c>
      <c r="C3760" s="5" t="str">
        <f>IFERROR(__xludf.DUMMYFUNCTION("GOOGLETRANSLATE(D:D,""auto"",""en"")"),"3.5 earthquake occurred in Xinjiang")</f>
        <v>3.5 earthquake occurred in Xinjiang</v>
      </c>
      <c r="D3760" s="4" t="s">
        <v>5655</v>
      </c>
      <c r="E3760" s="4">
        <v>0.0</v>
      </c>
      <c r="F3760" s="4">
        <v>9.0</v>
      </c>
      <c r="G3760" s="4" t="s">
        <v>5656</v>
      </c>
    </row>
    <row r="3761">
      <c r="A3761" s="1">
        <v>3759.0</v>
      </c>
      <c r="B3761" s="4" t="s">
        <v>5644</v>
      </c>
      <c r="C3761" s="5" t="str">
        <f>IFERROR(__xludf.DUMMYFUNCTION("GOOGLETRANSLATE(D:D,""auto"",""en"")"),"MLF 100 billion central bank operations")</f>
        <v>MLF 100 billion central bank operations</v>
      </c>
      <c r="D3761" s="4" t="s">
        <v>5657</v>
      </c>
      <c r="E3761" s="4">
        <v>0.0</v>
      </c>
      <c r="F3761" s="4">
        <v>10.0</v>
      </c>
      <c r="G3761" s="4" t="s">
        <v>5658</v>
      </c>
    </row>
    <row r="3762">
      <c r="A3762" s="1">
        <v>3760.0</v>
      </c>
      <c r="B3762" s="4" t="s">
        <v>5644</v>
      </c>
      <c r="C3762" s="5" t="str">
        <f>IFERROR(__xludf.DUMMYFUNCTION("GOOGLETRANSLATE(D:D,""auto"",""en"")"),"Beijing intermediary rent new rules")</f>
        <v>Beijing intermediary rent new rules</v>
      </c>
      <c r="D3762" s="4" t="s">
        <v>5659</v>
      </c>
      <c r="E3762" s="4">
        <v>0.0</v>
      </c>
      <c r="F3762" s="4">
        <v>11.0</v>
      </c>
      <c r="G3762" s="4" t="s">
        <v>5660</v>
      </c>
    </row>
    <row r="3763">
      <c r="A3763" s="1">
        <v>3761.0</v>
      </c>
      <c r="B3763" s="4" t="s">
        <v>5644</v>
      </c>
      <c r="C3763" s="5" t="str">
        <f>IFERROR(__xludf.DUMMYFUNCTION("GOOGLETRANSLATE(D:D,""auto"",""en"")"),"US vaccine clinical trials begin")</f>
        <v>US vaccine clinical trials begin</v>
      </c>
      <c r="D3763" s="4" t="s">
        <v>5661</v>
      </c>
      <c r="E3763" s="4">
        <v>0.0</v>
      </c>
      <c r="F3763" s="4">
        <v>12.0</v>
      </c>
      <c r="G3763" s="4" t="s">
        <v>5662</v>
      </c>
    </row>
    <row r="3764">
      <c r="A3764" s="1">
        <v>3762.0</v>
      </c>
      <c r="B3764" s="4" t="s">
        <v>5644</v>
      </c>
      <c r="C3764" s="5" t="str">
        <f>IFERROR(__xludf.DUMMYFUNCTION("GOOGLETRANSLATE(D:D,""auto"",""en"")"),"The United States or a million people infected")</f>
        <v>The United States or a million people infected</v>
      </c>
      <c r="D3764" s="4" t="s">
        <v>5663</v>
      </c>
      <c r="E3764" s="4">
        <v>0.0</v>
      </c>
      <c r="F3764" s="4">
        <v>13.0</v>
      </c>
      <c r="G3764" s="4" t="s">
        <v>5664</v>
      </c>
    </row>
    <row r="3765">
      <c r="A3765" s="1">
        <v>3763.0</v>
      </c>
      <c r="B3765" s="4" t="s">
        <v>5644</v>
      </c>
      <c r="C3765" s="5" t="str">
        <f>IFERROR(__xludf.DUMMYFUNCTION("GOOGLETRANSLATE(D:D,""auto"",""en"")"),"Italian newspaper obituary increase")</f>
        <v>Italian newspaper obituary increase</v>
      </c>
      <c r="D3765" s="4" t="s">
        <v>5665</v>
      </c>
      <c r="E3765" s="4">
        <v>0.0</v>
      </c>
      <c r="F3765" s="4">
        <v>14.0</v>
      </c>
      <c r="G3765" s="4" t="s">
        <v>5666</v>
      </c>
    </row>
    <row r="3766">
      <c r="A3766" s="1">
        <v>3764.0</v>
      </c>
      <c r="B3766" s="4" t="s">
        <v>5644</v>
      </c>
      <c r="C3766" s="5" t="str">
        <f>IFERROR(__xludf.DUMMYFUNCTION("GOOGLETRANSLATE(D:D,""auto"",""en"")"),"Tang Xin Yi admits good news of pregnancy")</f>
        <v>Tang Xin Yi admits good news of pregnancy</v>
      </c>
      <c r="D3766" s="4" t="s">
        <v>5667</v>
      </c>
      <c r="E3766" s="4">
        <v>0.0</v>
      </c>
      <c r="F3766" s="4">
        <v>15.0</v>
      </c>
      <c r="G3766" s="4" t="s">
        <v>5668</v>
      </c>
    </row>
    <row r="3767">
      <c r="A3767" s="1">
        <v>3765.0</v>
      </c>
      <c r="B3767" s="4" t="s">
        <v>5644</v>
      </c>
      <c r="C3767" s="5" t="str">
        <f>IFERROR(__xludf.DUMMYFUNCTION("GOOGLETRANSLATE(D:D,""auto"",""en"")"),"Hubei Ji vessels collective appearance")</f>
        <v>Hubei Ji vessels collective appearance</v>
      </c>
      <c r="D3767" s="4" t="s">
        <v>5669</v>
      </c>
      <c r="E3767" s="4">
        <v>0.0</v>
      </c>
      <c r="F3767" s="4">
        <v>16.0</v>
      </c>
      <c r="G3767" s="4" t="s">
        <v>5670</v>
      </c>
    </row>
    <row r="3768">
      <c r="A3768" s="1">
        <v>3766.0</v>
      </c>
      <c r="B3768" s="4" t="s">
        <v>5644</v>
      </c>
      <c r="C3768" s="5" t="str">
        <f>IFERROR(__xludf.DUMMYFUNCTION("GOOGLETRANSLATE(D:D,""auto"",""en"")"),"Korea reproduction collective infection")</f>
        <v>Korea reproduction collective infection</v>
      </c>
      <c r="D3768" s="4" t="s">
        <v>5671</v>
      </c>
      <c r="E3768" s="4">
        <v>0.0</v>
      </c>
      <c r="F3768" s="4">
        <v>17.0</v>
      </c>
      <c r="G3768" s="4" t="s">
        <v>5672</v>
      </c>
    </row>
    <row r="3769">
      <c r="A3769" s="1">
        <v>3767.0</v>
      </c>
      <c r="B3769" s="4" t="s">
        <v>5644</v>
      </c>
      <c r="C3769" s="5" t="str">
        <f>IFERROR(__xludf.DUMMYFUNCTION("GOOGLETRANSLATE(D:D,""auto"",""en"")"),"Three countries to China for help")</f>
        <v>Three countries to China for help</v>
      </c>
      <c r="D3769" s="4" t="s">
        <v>5673</v>
      </c>
      <c r="E3769" s="4">
        <v>0.0</v>
      </c>
      <c r="F3769" s="4">
        <v>18.0</v>
      </c>
      <c r="G3769" s="4" t="s">
        <v>5674</v>
      </c>
    </row>
    <row r="3770">
      <c r="A3770" s="1">
        <v>3768.0</v>
      </c>
      <c r="B3770" s="4" t="s">
        <v>5644</v>
      </c>
      <c r="C3770" s="5" t="str">
        <f>IFERROR(__xludf.DUMMYFUNCTION("GOOGLETRANSLATE(D:D,""auto"",""en"")"),"Beijing by foreign input 6 cases")</f>
        <v>Beijing by foreign input 6 cases</v>
      </c>
      <c r="D3770" s="4" t="s">
        <v>5675</v>
      </c>
      <c r="E3770" s="4">
        <v>0.0</v>
      </c>
      <c r="F3770" s="4">
        <v>19.0</v>
      </c>
      <c r="G3770" s="4" t="s">
        <v>5676</v>
      </c>
    </row>
    <row r="3771">
      <c r="A3771" s="1">
        <v>3769.0</v>
      </c>
      <c r="B3771" s="4" t="s">
        <v>5644</v>
      </c>
      <c r="C3771" s="5" t="str">
        <f>IFERROR(__xludf.DUMMYFUNCTION("GOOGLETRANSLATE(D:D,""auto"",""en"")"),"12 million people nationwide daily entry")</f>
        <v>12 million people nationwide daily entry</v>
      </c>
      <c r="D3771" s="4" t="s">
        <v>5677</v>
      </c>
      <c r="E3771" s="4">
        <v>0.0</v>
      </c>
      <c r="F3771" s="4">
        <v>20.0</v>
      </c>
      <c r="G3771" s="4" t="s">
        <v>5678</v>
      </c>
    </row>
    <row r="3772">
      <c r="A3772" s="1">
        <v>3770.0</v>
      </c>
      <c r="B3772" s="4" t="s">
        <v>5644</v>
      </c>
      <c r="C3772" s="5" t="str">
        <f>IFERROR(__xludf.DUMMYFUNCTION("GOOGLETRANSLATE(D:D,""auto"",""en"")"),"The boy bear hug mother care")</f>
        <v>The boy bear hug mother care</v>
      </c>
      <c r="D3772" s="4" t="s">
        <v>5679</v>
      </c>
      <c r="E3772" s="4">
        <v>0.0</v>
      </c>
      <c r="F3772" s="4">
        <v>21.0</v>
      </c>
      <c r="G3772" s="4" t="s">
        <v>5680</v>
      </c>
    </row>
    <row r="3773">
      <c r="A3773" s="1">
        <v>3771.0</v>
      </c>
      <c r="B3773" s="4" t="s">
        <v>5644</v>
      </c>
      <c r="C3773" s="5" t="str">
        <f>IFERROR(__xludf.DUMMYFUNCTION("GOOGLETRANSLATE(D:D,""auto"",""en"")"),"US stocks opened fuse")</f>
        <v>US stocks opened fuse</v>
      </c>
      <c r="D3773" s="4" t="s">
        <v>5681</v>
      </c>
      <c r="E3773" s="4">
        <v>0.0</v>
      </c>
      <c r="F3773" s="4">
        <v>22.0</v>
      </c>
      <c r="G3773" s="4" t="s">
        <v>5682</v>
      </c>
    </row>
    <row r="3774">
      <c r="A3774" s="1">
        <v>3772.0</v>
      </c>
      <c r="B3774" s="4" t="s">
        <v>5644</v>
      </c>
      <c r="C3774" s="5" t="str">
        <f>IFERROR(__xludf.DUMMYFUNCTION("GOOGLETRANSLATE(D:D,""auto"",""en"")"),"Sweden renounce resistance")</f>
        <v>Sweden renounce resistance</v>
      </c>
      <c r="D3774" s="4" t="s">
        <v>5600</v>
      </c>
      <c r="E3774" s="4">
        <v>0.0</v>
      </c>
      <c r="F3774" s="4">
        <v>23.0</v>
      </c>
      <c r="G3774" s="4" t="s">
        <v>5601</v>
      </c>
    </row>
    <row r="3775">
      <c r="A3775" s="1">
        <v>3773.0</v>
      </c>
      <c r="B3775" s="4" t="s">
        <v>5644</v>
      </c>
      <c r="C3775" s="5" t="str">
        <f>IFERROR(__xludf.DUMMYFUNCTION("GOOGLETRANSLATE(D:D,""auto"",""en"")"),"Chinese guard to board the Italian newspaper")</f>
        <v>Chinese guard to board the Italian newspaper</v>
      </c>
      <c r="D3775" s="4" t="s">
        <v>5604</v>
      </c>
      <c r="E3775" s="4">
        <v>0.0</v>
      </c>
      <c r="F3775" s="4">
        <v>24.0</v>
      </c>
      <c r="G3775" s="4" t="s">
        <v>5605</v>
      </c>
    </row>
    <row r="3776">
      <c r="A3776" s="1">
        <v>3774.0</v>
      </c>
      <c r="B3776" s="4" t="s">
        <v>5644</v>
      </c>
      <c r="C3776" s="5" t="str">
        <f>IFERROR(__xludf.DUMMYFUNCTION("GOOGLETRANSLATE(D:D,""auto"",""en"")"),"Iran's president accused the US")</f>
        <v>Iran's president accused the US</v>
      </c>
      <c r="D3776" s="4" t="s">
        <v>5620</v>
      </c>
      <c r="E3776" s="4">
        <v>0.0</v>
      </c>
      <c r="F3776" s="4">
        <v>25.0</v>
      </c>
      <c r="G3776" s="4" t="s">
        <v>5621</v>
      </c>
    </row>
    <row r="3777">
      <c r="A3777" s="1">
        <v>3775.0</v>
      </c>
      <c r="B3777" s="4" t="s">
        <v>5644</v>
      </c>
      <c r="C3777" s="5" t="str">
        <f>IFERROR(__xludf.DUMMYFUNCTION("GOOGLETRANSLATE(D:D,""auto"",""en"")"),"Yunnan enter a new case")</f>
        <v>Yunnan enter a new case</v>
      </c>
      <c r="D3777" s="4" t="s">
        <v>5683</v>
      </c>
      <c r="E3777" s="4">
        <v>0.0</v>
      </c>
      <c r="F3777" s="4">
        <v>26.0</v>
      </c>
      <c r="G3777" s="4" t="s">
        <v>5684</v>
      </c>
    </row>
    <row r="3778">
      <c r="A3778" s="1">
        <v>3776.0</v>
      </c>
      <c r="B3778" s="4" t="s">
        <v>5644</v>
      </c>
      <c r="C3778" s="5" t="str">
        <f>IFERROR(__xludf.DUMMYFUNCTION("GOOGLETRANSLATE(D:D,""auto"",""en"")"),"Richard Li, who set his girlfriend frugal")</f>
        <v>Richard Li, who set his girlfriend frugal</v>
      </c>
      <c r="D3778" s="4" t="s">
        <v>5685</v>
      </c>
      <c r="E3778" s="4">
        <v>0.0</v>
      </c>
      <c r="F3778" s="4">
        <v>27.0</v>
      </c>
      <c r="G3778" s="4" t="s">
        <v>5686</v>
      </c>
    </row>
    <row r="3779">
      <c r="A3779" s="1">
        <v>3777.0</v>
      </c>
      <c r="B3779" s="4" t="s">
        <v>5644</v>
      </c>
      <c r="C3779" s="5" t="str">
        <f>IFERROR(__xludf.DUMMYFUNCTION("GOOGLETRANSLATE(D:D,""auto"",""en"")"),"Hubei outer new cases 12 cases")</f>
        <v>Hubei outer new cases 12 cases</v>
      </c>
      <c r="D3779" s="4" t="s">
        <v>5687</v>
      </c>
      <c r="E3779" s="4">
        <v>0.0</v>
      </c>
      <c r="F3779" s="4">
        <v>28.0</v>
      </c>
      <c r="G3779" s="4" t="s">
        <v>5688</v>
      </c>
    </row>
    <row r="3780">
      <c r="A3780" s="1">
        <v>3778.0</v>
      </c>
      <c r="B3780" s="4" t="s">
        <v>5644</v>
      </c>
      <c r="C3780" s="5" t="str">
        <f>IFERROR(__xludf.DUMMYFUNCTION("GOOGLETRANSLATE(D:D,""auto"",""en"")"),"UK thousands of people thronged the concert")</f>
        <v>UK thousands of people thronged the concert</v>
      </c>
      <c r="D3780" s="4" t="s">
        <v>5689</v>
      </c>
      <c r="E3780" s="4">
        <v>0.0</v>
      </c>
      <c r="F3780" s="4">
        <v>29.0</v>
      </c>
      <c r="G3780" s="4" t="s">
        <v>5690</v>
      </c>
    </row>
    <row r="3781">
      <c r="A3781" s="1">
        <v>3779.0</v>
      </c>
      <c r="B3781" s="4" t="s">
        <v>5644</v>
      </c>
      <c r="C3781" s="5" t="str">
        <f>IFERROR(__xludf.DUMMYFUNCTION("GOOGLETRANSLATE(D:D,""auto"",""en"")"),"Bond girl Kurylenko confirmed")</f>
        <v>Bond girl Kurylenko confirmed</v>
      </c>
      <c r="D3781" s="4" t="s">
        <v>5691</v>
      </c>
      <c r="E3781" s="4">
        <v>0.0</v>
      </c>
      <c r="F3781" s="4">
        <v>30.0</v>
      </c>
      <c r="G3781" s="4" t="s">
        <v>5692</v>
      </c>
    </row>
    <row r="3782">
      <c r="A3782" s="1">
        <v>3780.0</v>
      </c>
      <c r="B3782" s="4" t="s">
        <v>5644</v>
      </c>
      <c r="C3782" s="5" t="str">
        <f>IFERROR(__xludf.DUMMYFUNCTION("GOOGLETRANSLATE(D:D,""auto"",""en"")"),"Trump responded airport chaos")</f>
        <v>Trump responded airport chaos</v>
      </c>
      <c r="D3782" s="4" t="s">
        <v>5693</v>
      </c>
      <c r="E3782" s="4">
        <v>0.0</v>
      </c>
      <c r="F3782" s="4">
        <v>31.0</v>
      </c>
      <c r="G3782" s="4" t="s">
        <v>5694</v>
      </c>
    </row>
    <row r="3783">
      <c r="A3783" s="1">
        <v>3781.0</v>
      </c>
      <c r="B3783" s="4" t="s">
        <v>5644</v>
      </c>
      <c r="C3783" s="5" t="str">
        <f>IFERROR(__xludf.DUMMYFUNCTION("GOOGLETRANSLATE(D:D,""auto"",""en"")"),"French people last carnival")</f>
        <v>French people last carnival</v>
      </c>
      <c r="D3783" s="4" t="s">
        <v>5695</v>
      </c>
      <c r="E3783" s="4">
        <v>0.0</v>
      </c>
      <c r="F3783" s="4">
        <v>32.0</v>
      </c>
      <c r="G3783" s="4" t="s">
        <v>5696</v>
      </c>
    </row>
    <row r="3784">
      <c r="A3784" s="1">
        <v>3782.0</v>
      </c>
      <c r="B3784" s="4" t="s">
        <v>5644</v>
      </c>
      <c r="C3784" s="5" t="str">
        <f>IFERROR(__xludf.DUMMYFUNCTION("GOOGLETRANSLATE(D:D,""auto"",""en"")"),"Italy Wenzhou temporary flight")</f>
        <v>Italy Wenzhou temporary flight</v>
      </c>
      <c r="D3784" s="4" t="s">
        <v>5697</v>
      </c>
      <c r="E3784" s="4">
        <v>0.0</v>
      </c>
      <c r="F3784" s="4">
        <v>33.0</v>
      </c>
      <c r="G3784" s="4" t="s">
        <v>5698</v>
      </c>
    </row>
    <row r="3785">
      <c r="A3785" s="1">
        <v>3783.0</v>
      </c>
      <c r="B3785" s="4" t="s">
        <v>5644</v>
      </c>
      <c r="C3785" s="5" t="str">
        <f>IFERROR(__xludf.DUMMYFUNCTION("GOOGLETRANSLATE(D:D,""auto"",""en"")"),"Experts on a secondary epidemic outbreak")</f>
        <v>Experts on a secondary epidemic outbreak</v>
      </c>
      <c r="D3785" s="4" t="s">
        <v>5699</v>
      </c>
      <c r="E3785" s="4">
        <v>0.0</v>
      </c>
      <c r="F3785" s="4">
        <v>34.0</v>
      </c>
      <c r="G3785" s="4" t="s">
        <v>5700</v>
      </c>
    </row>
    <row r="3786">
      <c r="A3786" s="1">
        <v>3784.0</v>
      </c>
      <c r="B3786" s="4" t="s">
        <v>5644</v>
      </c>
      <c r="C3786" s="5" t="str">
        <f>IFERROR(__xludf.DUMMYFUNCTION("GOOGLETRANSLATE(D:D,""auto"",""en"")"),"United States not WHO kit")</f>
        <v>United States not WHO kit</v>
      </c>
      <c r="D3786" s="4" t="s">
        <v>5701</v>
      </c>
      <c r="E3786" s="4">
        <v>0.0</v>
      </c>
      <c r="F3786" s="4">
        <v>35.0</v>
      </c>
      <c r="G3786" s="4" t="s">
        <v>5702</v>
      </c>
    </row>
    <row r="3787">
      <c r="A3787" s="1">
        <v>3785.0</v>
      </c>
      <c r="B3787" s="4" t="s">
        <v>5644</v>
      </c>
      <c r="C3787" s="5" t="str">
        <f>IFERROR(__xludf.DUMMYFUNCTION("GOOGLETRANSLATE(D:D,""auto"",""en"")"),"Li Lanjuan talk about herd immunity")</f>
        <v>Li Lanjuan talk about herd immunity</v>
      </c>
      <c r="D3787" s="4" t="s">
        <v>5703</v>
      </c>
      <c r="E3787" s="4">
        <v>0.0</v>
      </c>
      <c r="F3787" s="4">
        <v>36.0</v>
      </c>
      <c r="G3787" s="4" t="s">
        <v>5704</v>
      </c>
    </row>
    <row r="3788">
      <c r="A3788" s="1">
        <v>3786.0</v>
      </c>
      <c r="B3788" s="4" t="s">
        <v>5644</v>
      </c>
      <c r="C3788" s="5" t="str">
        <f>IFERROR(__xludf.DUMMYFUNCTION("GOOGLETRANSLATE(D:D,""auto"",""en"")"),"UAE re-lit for the Chinese")</f>
        <v>UAE re-lit for the Chinese</v>
      </c>
      <c r="D3788" s="4" t="s">
        <v>5602</v>
      </c>
      <c r="E3788" s="4">
        <v>0.0</v>
      </c>
      <c r="F3788" s="4">
        <v>37.0</v>
      </c>
      <c r="G3788" s="4" t="s">
        <v>5603</v>
      </c>
    </row>
    <row r="3789">
      <c r="A3789" s="1">
        <v>3787.0</v>
      </c>
      <c r="B3789" s="4" t="s">
        <v>5644</v>
      </c>
      <c r="C3789" s="5" t="str">
        <f>IFERROR(__xludf.DUMMYFUNCTION("GOOGLETRANSLATE(D:D,""auto"",""en"")"),"90 male nurses is confession")</f>
        <v>90 male nurses is confession</v>
      </c>
      <c r="D3789" s="4" t="s">
        <v>5705</v>
      </c>
      <c r="E3789" s="4">
        <v>0.0</v>
      </c>
      <c r="F3789" s="4">
        <v>38.0</v>
      </c>
      <c r="G3789" s="4" t="s">
        <v>5706</v>
      </c>
    </row>
    <row r="3790">
      <c r="A3790" s="1">
        <v>3788.0</v>
      </c>
      <c r="B3790" s="4" t="s">
        <v>5644</v>
      </c>
      <c r="C3790" s="5" t="str">
        <f>IFERROR(__xludf.DUMMYFUNCTION("GOOGLETRANSLATE(D:D,""auto"",""en"")"),"Zhang Weili stranded America")</f>
        <v>Zhang Weili stranded America</v>
      </c>
      <c r="D3790" s="4" t="s">
        <v>5707</v>
      </c>
      <c r="E3790" s="4">
        <v>0.0</v>
      </c>
      <c r="F3790" s="4">
        <v>39.0</v>
      </c>
      <c r="G3790" s="4" t="s">
        <v>5708</v>
      </c>
    </row>
    <row r="3791">
      <c r="A3791" s="1">
        <v>3789.0</v>
      </c>
      <c r="B3791" s="4" t="s">
        <v>5644</v>
      </c>
      <c r="C3791" s="5" t="str">
        <f>IFERROR(__xludf.DUMMYFUNCTION("GOOGLETRANSLATE(D:D,""auto"",""en"")"),"After the show cleared medical ward")</f>
        <v>After the show cleared medical ward</v>
      </c>
      <c r="D3791" s="4" t="s">
        <v>5709</v>
      </c>
      <c r="E3791" s="4">
        <v>0.0</v>
      </c>
      <c r="F3791" s="4">
        <v>40.0</v>
      </c>
      <c r="G3791" s="4" t="s">
        <v>5710</v>
      </c>
    </row>
    <row r="3792">
      <c r="A3792" s="1">
        <v>3790.0</v>
      </c>
      <c r="B3792" s="4" t="s">
        <v>5644</v>
      </c>
      <c r="C3792" s="5" t="str">
        <f>IFERROR(__xludf.DUMMYFUNCTION("GOOGLETRANSLATE(D:D,""auto"",""en"")"),"63 politicians infect new crown")</f>
        <v>63 politicians infect new crown</v>
      </c>
      <c r="D3792" s="4" t="s">
        <v>5711</v>
      </c>
      <c r="E3792" s="4">
        <v>0.0</v>
      </c>
      <c r="F3792" s="4">
        <v>41.0</v>
      </c>
      <c r="G3792" s="4" t="s">
        <v>5712</v>
      </c>
    </row>
    <row r="3793">
      <c r="A3793" s="1">
        <v>3791.0</v>
      </c>
      <c r="B3793" s="4" t="s">
        <v>5644</v>
      </c>
      <c r="C3793" s="5" t="str">
        <f>IFERROR(__xludf.DUMMYFUNCTION("GOOGLETRANSLATE(D:D,""auto"",""en"")"),"Deep panic in global markets")</f>
        <v>Deep panic in global markets</v>
      </c>
      <c r="D3793" s="4" t="s">
        <v>5713</v>
      </c>
      <c r="E3793" s="4">
        <v>0.0</v>
      </c>
      <c r="F3793" s="4">
        <v>42.0</v>
      </c>
      <c r="G3793" s="4" t="s">
        <v>5714</v>
      </c>
    </row>
    <row r="3794">
      <c r="A3794" s="1">
        <v>3792.0</v>
      </c>
      <c r="B3794" s="4" t="s">
        <v>5644</v>
      </c>
      <c r="C3794" s="5" t="str">
        <f>IFERROR(__xludf.DUMMYFUNCTION("GOOGLETRANSLATE(D:D,""auto"",""en"")"),"US citizens praised China")</f>
        <v>US citizens praised China</v>
      </c>
      <c r="D3794" s="4" t="s">
        <v>5596</v>
      </c>
      <c r="E3794" s="4">
        <v>0.0</v>
      </c>
      <c r="F3794" s="4">
        <v>43.0</v>
      </c>
      <c r="G3794" s="4" t="s">
        <v>5597</v>
      </c>
    </row>
    <row r="3795">
      <c r="A3795" s="1">
        <v>3793.0</v>
      </c>
      <c r="B3795" s="4" t="s">
        <v>5644</v>
      </c>
      <c r="C3795" s="5" t="str">
        <f>IFERROR(__xludf.DUMMYFUNCTION("GOOGLETRANSLATE(D:D,""auto"",""en"")"),"Scandinavian Airlines massive layoffs")</f>
        <v>Scandinavian Airlines massive layoffs</v>
      </c>
      <c r="D3795" s="4" t="s">
        <v>5715</v>
      </c>
      <c r="E3795" s="4">
        <v>0.0</v>
      </c>
      <c r="F3795" s="4">
        <v>44.0</v>
      </c>
      <c r="G3795" s="4" t="s">
        <v>5716</v>
      </c>
    </row>
    <row r="3796">
      <c r="A3796" s="1">
        <v>3794.0</v>
      </c>
      <c r="B3796" s="4" t="s">
        <v>5644</v>
      </c>
      <c r="C3796" s="5" t="str">
        <f>IFERROR(__xludf.DUMMYFUNCTION("GOOGLETRANSLATE(D:D,""auto"",""en"")"),"United States cut interest rates to zero interest rate range")</f>
        <v>United States cut interest rates to zero interest rate range</v>
      </c>
      <c r="D3796" s="4" t="s">
        <v>5717</v>
      </c>
      <c r="E3796" s="4">
        <v>0.0</v>
      </c>
      <c r="F3796" s="4">
        <v>45.0</v>
      </c>
      <c r="G3796" s="4" t="s">
        <v>5718</v>
      </c>
    </row>
    <row r="3797">
      <c r="A3797" s="1">
        <v>3795.0</v>
      </c>
      <c r="B3797" s="4" t="s">
        <v>5644</v>
      </c>
      <c r="C3797" s="5" t="str">
        <f>IFERROR(__xludf.DUMMYFUNCTION("GOOGLETRANSLATE(D:D,""auto"",""en"")"),"FAW Xiali renamed")</f>
        <v>FAW Xiali renamed</v>
      </c>
      <c r="D3797" s="4" t="s">
        <v>5632</v>
      </c>
      <c r="E3797" s="4">
        <v>0.0</v>
      </c>
      <c r="F3797" s="4">
        <v>46.0</v>
      </c>
      <c r="G3797" s="4" t="s">
        <v>5633</v>
      </c>
    </row>
    <row r="3798">
      <c r="A3798" s="1">
        <v>3796.0</v>
      </c>
      <c r="B3798" s="4" t="s">
        <v>5644</v>
      </c>
      <c r="C3798" s="5" t="str">
        <f>IFERROR(__xludf.DUMMYFUNCTION("GOOGLETRANSLATE(D:D,""auto"",""en"")"),"C Luo donated under the name of two hotels")</f>
        <v>C Luo donated under the name of two hotels</v>
      </c>
      <c r="D3798" s="4" t="s">
        <v>5594</v>
      </c>
      <c r="E3798" s="4">
        <v>0.0</v>
      </c>
      <c r="F3798" s="4">
        <v>47.0</v>
      </c>
      <c r="G3798" s="4" t="s">
        <v>5595</v>
      </c>
    </row>
    <row r="3799">
      <c r="A3799" s="1">
        <v>3797.0</v>
      </c>
      <c r="B3799" s="4" t="s">
        <v>5644</v>
      </c>
      <c r="C3799" s="5" t="str">
        <f>IFERROR(__xludf.DUMMYFUNCTION("GOOGLETRANSLATE(D:D,""auto"",""en"")"),"Barrier-free exchange of people and monkeys")</f>
        <v>Barrier-free exchange of people and monkeys</v>
      </c>
      <c r="D3799" s="4" t="s">
        <v>5719</v>
      </c>
      <c r="E3799" s="4">
        <v>0.0</v>
      </c>
      <c r="F3799" s="4">
        <v>48.0</v>
      </c>
      <c r="G3799" s="4" t="s">
        <v>5720</v>
      </c>
    </row>
    <row r="3800">
      <c r="A3800" s="1">
        <v>3798.0</v>
      </c>
      <c r="B3800" s="4" t="s">
        <v>5644</v>
      </c>
      <c r="C3800" s="5" t="str">
        <f>IFERROR(__xludf.DUMMYFUNCTION("GOOGLETRANSLATE(D:D,""auto"",""en"")"),"Wuhan Hong Yuan talk choked tears")</f>
        <v>Wuhan Hong Yuan talk choked tears</v>
      </c>
      <c r="D3800" s="4" t="s">
        <v>5721</v>
      </c>
      <c r="E3800" s="4">
        <v>0.0</v>
      </c>
      <c r="F3800" s="4">
        <v>49.0</v>
      </c>
      <c r="G3800" s="4" t="s">
        <v>5722</v>
      </c>
    </row>
    <row r="3801">
      <c r="A3801" s="1">
        <v>3799.0</v>
      </c>
      <c r="B3801" s="4" t="s">
        <v>5644</v>
      </c>
      <c r="C3801" s="5" t="str">
        <f>IFERROR(__xludf.DUMMYFUNCTION("GOOGLETRANSLATE(D:D,""auto"",""en"")"),"Import and export trade deficit now")</f>
        <v>Import and export trade deficit now</v>
      </c>
      <c r="D3801" s="4" t="s">
        <v>5723</v>
      </c>
      <c r="E3801" s="4">
        <v>0.0</v>
      </c>
      <c r="F3801" s="4">
        <v>50.0</v>
      </c>
      <c r="G3801" s="4" t="s">
        <v>5724</v>
      </c>
    </row>
    <row r="3802">
      <c r="A3802" s="1">
        <v>3800.0</v>
      </c>
      <c r="B3802" s="4" t="s">
        <v>5725</v>
      </c>
      <c r="C3802" s="5" t="str">
        <f>IFERROR(__xludf.DUMMYFUNCTION("GOOGLETRANSLATE(D:D,""auto"",""en"")"),"Experts on a secondary epidemic outbreak")</f>
        <v>Experts on a secondary epidemic outbreak</v>
      </c>
      <c r="D3802" s="4" t="s">
        <v>5699</v>
      </c>
      <c r="E3802" s="4">
        <v>0.0</v>
      </c>
      <c r="F3802" s="4">
        <v>1.0</v>
      </c>
      <c r="G3802" s="4" t="s">
        <v>5700</v>
      </c>
    </row>
    <row r="3803">
      <c r="A3803" s="1">
        <v>3801.0</v>
      </c>
      <c r="B3803" s="4" t="s">
        <v>5725</v>
      </c>
      <c r="C3803" s="5" t="str">
        <f>IFERROR(__xludf.DUMMYFUNCTION("GOOGLETRANSLATE(D:D,""auto"",""en"")"),"Li Lanjuan talk about herd immunity")</f>
        <v>Li Lanjuan talk about herd immunity</v>
      </c>
      <c r="D3803" s="4" t="s">
        <v>5703</v>
      </c>
      <c r="E3803" s="4">
        <v>0.0</v>
      </c>
      <c r="F3803" s="4">
        <v>2.0</v>
      </c>
      <c r="G3803" s="4" t="s">
        <v>5704</v>
      </c>
    </row>
    <row r="3804">
      <c r="A3804" s="1">
        <v>3802.0</v>
      </c>
      <c r="B3804" s="4" t="s">
        <v>5725</v>
      </c>
      <c r="C3804" s="5" t="str">
        <f>IFERROR(__xludf.DUMMYFUNCTION("GOOGLETRANSLATE(D:D,""auto"",""en"")"),"Trump issued ask God")</f>
        <v>Trump issued ask God</v>
      </c>
      <c r="D3804" s="4" t="s">
        <v>5726</v>
      </c>
      <c r="E3804" s="4">
        <v>0.0</v>
      </c>
      <c r="F3804" s="4">
        <v>3.0</v>
      </c>
      <c r="G3804" s="4" t="s">
        <v>5727</v>
      </c>
    </row>
    <row r="3805">
      <c r="A3805" s="1">
        <v>3803.0</v>
      </c>
      <c r="B3805" s="4" t="s">
        <v>5725</v>
      </c>
      <c r="C3805" s="5" t="str">
        <f>IFERROR(__xludf.DUMMYFUNCTION("GOOGLETRANSLATE(D:D,""auto"",""en"")"),"US stocks opened fuse")</f>
        <v>US stocks opened fuse</v>
      </c>
      <c r="D3805" s="4" t="s">
        <v>5681</v>
      </c>
      <c r="E3805" s="4">
        <v>0.0</v>
      </c>
      <c r="F3805" s="4">
        <v>4.0</v>
      </c>
      <c r="G3805" s="4" t="s">
        <v>5682</v>
      </c>
    </row>
    <row r="3806">
      <c r="A3806" s="1">
        <v>3804.0</v>
      </c>
      <c r="B3806" s="4" t="s">
        <v>5725</v>
      </c>
      <c r="C3806" s="5" t="str">
        <f>IFERROR(__xludf.DUMMYFUNCTION("GOOGLETRANSLATE(D:D,""auto"",""en"")"),"Deep panic in global markets")</f>
        <v>Deep panic in global markets</v>
      </c>
      <c r="D3806" s="4" t="s">
        <v>5713</v>
      </c>
      <c r="E3806" s="4">
        <v>0.0</v>
      </c>
      <c r="F3806" s="4">
        <v>5.0</v>
      </c>
      <c r="G3806" s="4" t="s">
        <v>5714</v>
      </c>
    </row>
    <row r="3807">
      <c r="A3807" s="1">
        <v>3805.0</v>
      </c>
      <c r="B3807" s="4" t="s">
        <v>5725</v>
      </c>
      <c r="C3807" s="5" t="str">
        <f>IFERROR(__xludf.DUMMYFUNCTION("GOOGLETRANSLATE(D:D,""auto"",""en"")"),"United States not WHO kit")</f>
        <v>United States not WHO kit</v>
      </c>
      <c r="D3807" s="4" t="s">
        <v>5701</v>
      </c>
      <c r="E3807" s="4">
        <v>0.0</v>
      </c>
      <c r="F3807" s="4">
        <v>6.0</v>
      </c>
      <c r="G3807" s="4" t="s">
        <v>5702</v>
      </c>
    </row>
    <row r="3808">
      <c r="A3808" s="1">
        <v>3806.0</v>
      </c>
      <c r="B3808" s="4" t="s">
        <v>5725</v>
      </c>
      <c r="C3808" s="5" t="str">
        <f>IFERROR(__xludf.DUMMYFUNCTION("GOOGLETRANSLATE(D:D,""auto"",""en"")"),"Impact of the epidemic on the economy")</f>
        <v>Impact of the epidemic on the economy</v>
      </c>
      <c r="D3808" s="4" t="s">
        <v>5728</v>
      </c>
      <c r="E3808" s="4">
        <v>0.0</v>
      </c>
      <c r="F3808" s="4">
        <v>7.0</v>
      </c>
      <c r="G3808" s="4" t="s">
        <v>5729</v>
      </c>
    </row>
    <row r="3809">
      <c r="A3809" s="1">
        <v>3807.0</v>
      </c>
      <c r="B3809" s="4" t="s">
        <v>5725</v>
      </c>
      <c r="C3809" s="5" t="str">
        <f>IFERROR(__xludf.DUMMYFUNCTION("GOOGLETRANSLATE(D:D,""auto"",""en"")"),"Pentagon 37 people infected")</f>
        <v>Pentagon 37 people infected</v>
      </c>
      <c r="D3809" s="4" t="s">
        <v>5730</v>
      </c>
      <c r="E3809" s="4">
        <v>0.0</v>
      </c>
      <c r="F3809" s="4">
        <v>8.0</v>
      </c>
      <c r="G3809" s="4" t="s">
        <v>5731</v>
      </c>
    </row>
    <row r="3810">
      <c r="A3810" s="1">
        <v>3808.0</v>
      </c>
      <c r="B3810" s="4" t="s">
        <v>5725</v>
      </c>
      <c r="C3810" s="5" t="str">
        <f>IFERROR(__xludf.DUMMYFUNCTION("GOOGLETRANSLATE(D:D,""auto"",""en"")"),"Long seven medium-sized change emit defeat")</f>
        <v>Long seven medium-sized change emit defeat</v>
      </c>
      <c r="D3810" s="4" t="s">
        <v>5732</v>
      </c>
      <c r="E3810" s="4">
        <v>0.0</v>
      </c>
      <c r="F3810" s="4">
        <v>9.0</v>
      </c>
      <c r="G3810" s="4" t="s">
        <v>5733</v>
      </c>
    </row>
    <row r="3811">
      <c r="A3811" s="1">
        <v>3809.0</v>
      </c>
      <c r="B3811" s="4" t="s">
        <v>5725</v>
      </c>
      <c r="C3811" s="5" t="str">
        <f>IFERROR(__xludf.DUMMYFUNCTION("GOOGLETRANSLATE(D:D,""auto"",""en"")"),"Mitchell confirmed no symptoms")</f>
        <v>Mitchell confirmed no symptoms</v>
      </c>
      <c r="D3811" s="4" t="s">
        <v>5734</v>
      </c>
      <c r="E3811" s="4">
        <v>0.0</v>
      </c>
      <c r="F3811" s="4">
        <v>10.0</v>
      </c>
      <c r="G3811" s="4" t="s">
        <v>5735</v>
      </c>
    </row>
    <row r="3812">
      <c r="A3812" s="1">
        <v>3810.0</v>
      </c>
      <c r="B3812" s="4" t="s">
        <v>5725</v>
      </c>
      <c r="C3812" s="5" t="str">
        <f>IFERROR(__xludf.DUMMYFUNCTION("GOOGLETRANSLATE(D:D,""auto"",""en"")"),"8 to 20 cases by outside input")</f>
        <v>8 to 20 cases by outside input</v>
      </c>
      <c r="D3812" s="4" t="s">
        <v>5736</v>
      </c>
      <c r="E3812" s="4">
        <v>0.0</v>
      </c>
      <c r="F3812" s="4">
        <v>11.0</v>
      </c>
      <c r="G3812" s="4" t="s">
        <v>5737</v>
      </c>
    </row>
    <row r="3813">
      <c r="A3813" s="1">
        <v>3811.0</v>
      </c>
      <c r="B3813" s="4" t="s">
        <v>5725</v>
      </c>
      <c r="C3813" s="5" t="str">
        <f>IFERROR(__xludf.DUMMYFUNCTION("GOOGLETRANSLATE(D:D,""auto"",""en"")"),"National new cases of 21 cases")</f>
        <v>National new cases of 21 cases</v>
      </c>
      <c r="D3813" s="4" t="s">
        <v>5738</v>
      </c>
      <c r="E3813" s="4">
        <v>0.0</v>
      </c>
      <c r="F3813" s="4">
        <v>12.0</v>
      </c>
      <c r="G3813" s="4" t="s">
        <v>5739</v>
      </c>
    </row>
    <row r="3814">
      <c r="A3814" s="1">
        <v>3812.0</v>
      </c>
      <c r="B3814" s="4" t="s">
        <v>5725</v>
      </c>
      <c r="C3814" s="5" t="str">
        <f>IFERROR(__xludf.DUMMYFUNCTION("GOOGLETRANSLATE(D:D,""auto"",""en"")"),"790 million people in Britain or need hospitalization")</f>
        <v>790 million people in Britain or need hospitalization</v>
      </c>
      <c r="D3814" s="4" t="s">
        <v>5740</v>
      </c>
      <c r="E3814" s="4">
        <v>0.0</v>
      </c>
      <c r="F3814" s="4">
        <v>13.0</v>
      </c>
      <c r="G3814" s="4" t="s">
        <v>5741</v>
      </c>
    </row>
    <row r="3815">
      <c r="A3815" s="1">
        <v>3813.0</v>
      </c>
      <c r="B3815" s="4" t="s">
        <v>5725</v>
      </c>
      <c r="C3815" s="5" t="str">
        <f>IFERROR(__xludf.DUMMYFUNCTION("GOOGLETRANSLATE(D:D,""auto"",""en"")"),"To crown the new US buyout vaccine")</f>
        <v>To crown the new US buyout vaccine</v>
      </c>
      <c r="D3815" s="4" t="s">
        <v>5742</v>
      </c>
      <c r="E3815" s="4">
        <v>0.0</v>
      </c>
      <c r="F3815" s="4">
        <v>14.0</v>
      </c>
      <c r="G3815" s="4" t="s">
        <v>5743</v>
      </c>
    </row>
    <row r="3816">
      <c r="A3816" s="1">
        <v>3814.0</v>
      </c>
      <c r="B3816" s="4" t="s">
        <v>5725</v>
      </c>
      <c r="C3816" s="5" t="str">
        <f>IFERROR(__xludf.DUMMYFUNCTION("GOOGLETRANSLATE(D:D,""auto"",""en"")"),"Three provinces took the lead school")</f>
        <v>Three provinces took the lead school</v>
      </c>
      <c r="D3816" s="4" t="s">
        <v>5744</v>
      </c>
      <c r="E3816" s="4">
        <v>0.0</v>
      </c>
      <c r="F3816" s="4">
        <v>15.0</v>
      </c>
      <c r="G3816" s="4" t="s">
        <v>5745</v>
      </c>
    </row>
    <row r="3817">
      <c r="A3817" s="1">
        <v>3815.0</v>
      </c>
      <c r="B3817" s="4" t="s">
        <v>5725</v>
      </c>
      <c r="C3817" s="5" t="str">
        <f>IFERROR(__xludf.DUMMYFUNCTION("GOOGLETRANSLATE(D:D,""auto"",""en"")"),"Zhong Nanshan commentary Li Wenliang")</f>
        <v>Zhong Nanshan commentary Li Wenliang</v>
      </c>
      <c r="D3817" s="4" t="s">
        <v>5746</v>
      </c>
      <c r="E3817" s="4">
        <v>0.0</v>
      </c>
      <c r="F3817" s="4">
        <v>16.0</v>
      </c>
      <c r="G3817" s="4" t="s">
        <v>5747</v>
      </c>
    </row>
    <row r="3818">
      <c r="A3818" s="1">
        <v>3816.0</v>
      </c>
      <c r="B3818" s="4" t="s">
        <v>5725</v>
      </c>
      <c r="C3818" s="5" t="str">
        <f>IFERROR(__xludf.DUMMYFUNCTION("GOOGLETRANSLATE(D:D,""auto"",""en"")"),"Car hit the Palace Donghuamen")</f>
        <v>Car hit the Palace Donghuamen</v>
      </c>
      <c r="D3818" s="4" t="s">
        <v>5748</v>
      </c>
      <c r="E3818" s="4">
        <v>0.0</v>
      </c>
      <c r="F3818" s="4">
        <v>17.0</v>
      </c>
      <c r="G3818" s="4" t="s">
        <v>5749</v>
      </c>
    </row>
    <row r="3819">
      <c r="A3819" s="1">
        <v>3817.0</v>
      </c>
      <c r="B3819" s="4" t="s">
        <v>5725</v>
      </c>
      <c r="C3819" s="5" t="str">
        <f>IFERROR(__xludf.DUMMYFUNCTION("GOOGLETRANSLATE(D:D,""auto"",""en"")"),"Returned Chinese dislike waiting area")</f>
        <v>Returned Chinese dislike waiting area</v>
      </c>
      <c r="D3819" s="4" t="s">
        <v>5750</v>
      </c>
      <c r="E3819" s="4">
        <v>0.0</v>
      </c>
      <c r="F3819" s="4">
        <v>18.0</v>
      </c>
      <c r="G3819" s="4" t="s">
        <v>5751</v>
      </c>
    </row>
    <row r="3820">
      <c r="A3820" s="1">
        <v>3818.0</v>
      </c>
      <c r="B3820" s="4" t="s">
        <v>5725</v>
      </c>
      <c r="C3820" s="5" t="str">
        <f>IFERROR(__xludf.DUMMYFUNCTION("GOOGLETRANSLATE(D:D,""auto"",""en"")"),"Li Lanjuan talk Wuhan reopened")</f>
        <v>Li Lanjuan talk Wuhan reopened</v>
      </c>
      <c r="D3820" s="4" t="s">
        <v>5752</v>
      </c>
      <c r="E3820" s="4">
        <v>0.0</v>
      </c>
      <c r="F3820" s="4">
        <v>19.0</v>
      </c>
      <c r="G3820" s="4" t="s">
        <v>5753</v>
      </c>
    </row>
    <row r="3821">
      <c r="A3821" s="1">
        <v>3819.0</v>
      </c>
      <c r="B3821" s="4" t="s">
        <v>5725</v>
      </c>
      <c r="C3821" s="5" t="str">
        <f>IFERROR(__xludf.DUMMYFUNCTION("GOOGLETRANSLATE(D:D,""auto"",""en"")"),"Artist Huang Zhibo jailed for fraud")</f>
        <v>Artist Huang Zhibo jailed for fraud</v>
      </c>
      <c r="D3821" s="4" t="s">
        <v>5754</v>
      </c>
      <c r="E3821" s="4">
        <v>0.0</v>
      </c>
      <c r="F3821" s="4">
        <v>20.0</v>
      </c>
      <c r="G3821" s="4" t="s">
        <v>5755</v>
      </c>
    </row>
    <row r="3822">
      <c r="A3822" s="1">
        <v>3820.0</v>
      </c>
      <c r="B3822" s="4" t="s">
        <v>5725</v>
      </c>
      <c r="C3822" s="5" t="str">
        <f>IFERROR(__xludf.DUMMYFUNCTION("GOOGLETRANSLATE(D:D,""auto"",""en"")"),"Italian mayor apologized insulted China")</f>
        <v>Italian mayor apologized insulted China</v>
      </c>
      <c r="D3822" s="4" t="s">
        <v>5756</v>
      </c>
      <c r="E3822" s="4">
        <v>0.0</v>
      </c>
      <c r="F3822" s="4">
        <v>21.0</v>
      </c>
      <c r="G3822" s="4" t="s">
        <v>5757</v>
      </c>
    </row>
    <row r="3823">
      <c r="A3823" s="1">
        <v>3821.0</v>
      </c>
      <c r="B3823" s="4" t="s">
        <v>5725</v>
      </c>
      <c r="C3823" s="5" t="str">
        <f>IFERROR(__xludf.DUMMYFUNCTION("GOOGLETRANSLATE(D:D,""auto"",""en"")"),"Sichuan's first imported case")</f>
        <v>Sichuan's first imported case</v>
      </c>
      <c r="D3823" s="4" t="s">
        <v>5758</v>
      </c>
      <c r="E3823" s="4">
        <v>0.0</v>
      </c>
      <c r="F3823" s="4">
        <v>22.0</v>
      </c>
      <c r="G3823" s="4" t="s">
        <v>5759</v>
      </c>
    </row>
    <row r="3824">
      <c r="A3824" s="1">
        <v>3822.0</v>
      </c>
      <c r="B3824" s="4" t="s">
        <v>5725</v>
      </c>
      <c r="C3824" s="5" t="str">
        <f>IFERROR(__xludf.DUMMYFUNCTION("GOOGLETRANSLATE(D:D,""auto"",""en"")"),"Australian Chinese for Beijing refused to isolation")</f>
        <v>Australian Chinese for Beijing refused to isolation</v>
      </c>
      <c r="D3824" s="4" t="s">
        <v>5760</v>
      </c>
      <c r="E3824" s="4">
        <v>0.0</v>
      </c>
      <c r="F3824" s="4">
        <v>23.0</v>
      </c>
      <c r="G3824" s="4" t="s">
        <v>5761</v>
      </c>
    </row>
    <row r="3825">
      <c r="A3825" s="1">
        <v>3823.0</v>
      </c>
      <c r="B3825" s="4" t="s">
        <v>5725</v>
      </c>
      <c r="C3825" s="5" t="str">
        <f>IFERROR(__xludf.DUMMYFUNCTION("GOOGLETRANSLATE(D:D,""auto"",""en"")"),"Chinese aid to Serbia")</f>
        <v>Chinese aid to Serbia</v>
      </c>
      <c r="D3825" s="4" t="s">
        <v>5762</v>
      </c>
      <c r="E3825" s="4">
        <v>0.0</v>
      </c>
      <c r="F3825" s="4">
        <v>24.0</v>
      </c>
      <c r="G3825" s="4" t="s">
        <v>5763</v>
      </c>
    </row>
    <row r="3826">
      <c r="A3826" s="1">
        <v>3824.0</v>
      </c>
      <c r="B3826" s="4" t="s">
        <v>5725</v>
      </c>
      <c r="C3826" s="5" t="str">
        <f>IFERROR(__xludf.DUMMYFUNCTION("GOOGLETRANSLATE(D:D,""auto"",""en"")"),"China's response Trump remarks")</f>
        <v>China's response Trump remarks</v>
      </c>
      <c r="D3826" s="4" t="s">
        <v>5764</v>
      </c>
      <c r="E3826" s="4">
        <v>0.0</v>
      </c>
      <c r="F3826" s="4">
        <v>25.0</v>
      </c>
      <c r="G3826" s="4" t="s">
        <v>5765</v>
      </c>
    </row>
    <row r="3827">
      <c r="A3827" s="1">
        <v>3825.0</v>
      </c>
      <c r="B3827" s="4" t="s">
        <v>5725</v>
      </c>
      <c r="C3827" s="5" t="str">
        <f>IFERROR(__xludf.DUMMYFUNCTION("GOOGLETRANSLATE(D:D,""auto"",""en"")"),"Iran to release 85,000 prisoners")</f>
        <v>Iran to release 85,000 prisoners</v>
      </c>
      <c r="D3827" s="4" t="s">
        <v>5766</v>
      </c>
      <c r="E3827" s="4">
        <v>0.0</v>
      </c>
      <c r="F3827" s="4">
        <v>26.0</v>
      </c>
      <c r="G3827" s="4" t="s">
        <v>5767</v>
      </c>
    </row>
    <row r="3828">
      <c r="A3828" s="1">
        <v>3826.0</v>
      </c>
      <c r="B3828" s="4" t="s">
        <v>5725</v>
      </c>
      <c r="C3828" s="5" t="str">
        <f>IFERROR(__xludf.DUMMYFUNCTION("GOOGLETRANSLATE(D:D,""auto"",""en"")"),"High-end Yunxiang case retrial")</f>
        <v>High-end Yunxiang case retrial</v>
      </c>
      <c r="D3828" s="4" t="s">
        <v>5768</v>
      </c>
      <c r="E3828" s="4">
        <v>0.0</v>
      </c>
      <c r="F3828" s="4">
        <v>27.0</v>
      </c>
      <c r="G3828" s="4" t="s">
        <v>5769</v>
      </c>
    </row>
    <row r="3829">
      <c r="A3829" s="1">
        <v>3827.0</v>
      </c>
      <c r="B3829" s="4" t="s">
        <v>5725</v>
      </c>
      <c r="C3829" s="5" t="str">
        <f>IFERROR(__xludf.DUMMYFUNCTION("GOOGLETRANSLATE(D:D,""auto"",""en"")"),"Tom Hanks and his wife discharged from hospital")</f>
        <v>Tom Hanks and his wife discharged from hospital</v>
      </c>
      <c r="D3829" s="4" t="s">
        <v>5770</v>
      </c>
      <c r="E3829" s="4">
        <v>0.0</v>
      </c>
      <c r="F3829" s="4">
        <v>28.0</v>
      </c>
      <c r="G3829" s="4" t="s">
        <v>5771</v>
      </c>
    </row>
    <row r="3830">
      <c r="A3830" s="1">
        <v>3828.0</v>
      </c>
      <c r="B3830" s="4" t="s">
        <v>5725</v>
      </c>
      <c r="C3830" s="5" t="str">
        <f>IFERROR(__xludf.DUMMYFUNCTION("GOOGLETRANSLATE(D:D,""auto"",""en"")"),"Chen He was the second child female")</f>
        <v>Chen He was the second child female</v>
      </c>
      <c r="D3830" s="4" t="s">
        <v>5772</v>
      </c>
      <c r="E3830" s="4">
        <v>0.0</v>
      </c>
      <c r="F3830" s="4">
        <v>29.0</v>
      </c>
      <c r="G3830" s="4" t="s">
        <v>5773</v>
      </c>
    </row>
    <row r="3831">
      <c r="A3831" s="1">
        <v>3829.0</v>
      </c>
      <c r="B3831" s="4" t="s">
        <v>5725</v>
      </c>
      <c r="C3831" s="5" t="str">
        <f>IFERROR(__xludf.DUMMYFUNCTION("GOOGLETRANSLATE(D:D,""auto"",""en"")"),"Sichuan talk about not wearing masks situation")</f>
        <v>Sichuan talk about not wearing masks situation</v>
      </c>
      <c r="D3831" s="4" t="s">
        <v>5774</v>
      </c>
      <c r="E3831" s="4">
        <v>0.0</v>
      </c>
      <c r="F3831" s="4">
        <v>30.0</v>
      </c>
      <c r="G3831" s="4" t="s">
        <v>5775</v>
      </c>
    </row>
    <row r="3832">
      <c r="A3832" s="1">
        <v>3830.0</v>
      </c>
      <c r="B3832" s="4" t="s">
        <v>5725</v>
      </c>
      <c r="C3832" s="5" t="str">
        <f>IFERROR(__xludf.DUMMYFUNCTION("GOOGLETRANSLATE(D:D,""auto"",""en"")"),"Running an Australian woman was dismissed")</f>
        <v>Running an Australian woman was dismissed</v>
      </c>
      <c r="D3832" s="4" t="s">
        <v>5776</v>
      </c>
      <c r="E3832" s="4">
        <v>0.0</v>
      </c>
      <c r="F3832" s="4">
        <v>31.0</v>
      </c>
      <c r="G3832" s="4" t="s">
        <v>5777</v>
      </c>
    </row>
    <row r="3833">
      <c r="A3833" s="1">
        <v>3831.0</v>
      </c>
      <c r="B3833" s="4" t="s">
        <v>5725</v>
      </c>
      <c r="C3833" s="5" t="str">
        <f>IFERROR(__xludf.DUMMYFUNCTION("GOOGLETRANSLATE(D:D,""auto"",""en"")"),"Hubei Express will return to work to resume production")</f>
        <v>Hubei Express will return to work to resume production</v>
      </c>
      <c r="D3833" s="4" t="s">
        <v>5778</v>
      </c>
      <c r="E3833" s="4">
        <v>0.0</v>
      </c>
      <c r="F3833" s="4">
        <v>32.0</v>
      </c>
      <c r="G3833" s="4" t="s">
        <v>5779</v>
      </c>
    </row>
    <row r="3834">
      <c r="A3834" s="1">
        <v>3832.0</v>
      </c>
      <c r="B3834" s="4" t="s">
        <v>5725</v>
      </c>
      <c r="C3834" s="5" t="str">
        <f>IFERROR(__xludf.DUMMYFUNCTION("GOOGLETRANSLATE(D:D,""auto"",""en"")"),"63 politicians infect new crown")</f>
        <v>63 politicians infect new crown</v>
      </c>
      <c r="D3834" s="4" t="s">
        <v>5711</v>
      </c>
      <c r="E3834" s="4">
        <v>0.0</v>
      </c>
      <c r="F3834" s="4">
        <v>33.0</v>
      </c>
      <c r="G3834" s="4" t="s">
        <v>5712</v>
      </c>
    </row>
    <row r="3835">
      <c r="A3835" s="1">
        <v>3833.0</v>
      </c>
      <c r="B3835" s="4" t="s">
        <v>5725</v>
      </c>
      <c r="C3835" s="5" t="str">
        <f>IFERROR(__xludf.DUMMYFUNCTION("GOOGLETRANSLATE(D:D,""auto"",""en"")"),"Account of the quiet sun")</f>
        <v>Account of the quiet sun</v>
      </c>
      <c r="D3835" s="4" t="s">
        <v>5780</v>
      </c>
      <c r="E3835" s="4">
        <v>0.0</v>
      </c>
      <c r="F3835" s="4">
        <v>34.0</v>
      </c>
      <c r="G3835" s="4" t="s">
        <v>5781</v>
      </c>
    </row>
    <row r="3836">
      <c r="A3836" s="1">
        <v>3834.0</v>
      </c>
      <c r="B3836" s="4" t="s">
        <v>5725</v>
      </c>
      <c r="C3836" s="5" t="str">
        <f>IFERROR(__xludf.DUMMYFUNCTION("GOOGLETRANSLATE(D:D,""auto"",""en"")"),"Yang Lan daughter rare appearance")</f>
        <v>Yang Lan daughter rare appearance</v>
      </c>
      <c r="D3836" s="4" t="s">
        <v>5782</v>
      </c>
      <c r="E3836" s="4">
        <v>0.0</v>
      </c>
      <c r="F3836" s="4">
        <v>35.0</v>
      </c>
      <c r="G3836" s="4" t="s">
        <v>5783</v>
      </c>
    </row>
    <row r="3837">
      <c r="A3837" s="1">
        <v>3835.0</v>
      </c>
      <c r="B3837" s="4" t="s">
        <v>5725</v>
      </c>
      <c r="C3837" s="5" t="str">
        <f>IFERROR(__xludf.DUMMYFUNCTION("GOOGLETRANSLATE(D:D,""auto"",""en"")"),"Lu Lu mirror dance")</f>
        <v>Lu Lu mirror dance</v>
      </c>
      <c r="D3837" s="4" t="s">
        <v>5784</v>
      </c>
      <c r="E3837" s="4">
        <v>0.0</v>
      </c>
      <c r="F3837" s="4">
        <v>36.0</v>
      </c>
      <c r="G3837" s="4" t="s">
        <v>5785</v>
      </c>
    </row>
    <row r="3838">
      <c r="A3838" s="1">
        <v>3836.0</v>
      </c>
      <c r="B3838" s="4" t="s">
        <v>5725</v>
      </c>
      <c r="C3838" s="5" t="str">
        <f>IFERROR(__xludf.DUMMYFUNCTION("GOOGLETRANSLATE(D:D,""auto"",""en"")"),"Tokyo Olympics or delayed by two years")</f>
        <v>Tokyo Olympics or delayed by two years</v>
      </c>
      <c r="D3838" s="4" t="s">
        <v>5786</v>
      </c>
      <c r="E3838" s="4">
        <v>0.0</v>
      </c>
      <c r="F3838" s="4">
        <v>37.0</v>
      </c>
      <c r="G3838" s="4" t="s">
        <v>5787</v>
      </c>
    </row>
    <row r="3839">
      <c r="A3839" s="1">
        <v>3837.0</v>
      </c>
      <c r="B3839" s="4" t="s">
        <v>5725</v>
      </c>
      <c r="C3839" s="5" t="str">
        <f>IFERROR(__xludf.DUMMYFUNCTION("GOOGLETRANSLATE(D:D,""auto"",""en"")"),"Football coach Garcia's death")</f>
        <v>Football coach Garcia's death</v>
      </c>
      <c r="D3839" s="4" t="s">
        <v>5788</v>
      </c>
      <c r="E3839" s="4">
        <v>0.0</v>
      </c>
      <c r="F3839" s="4">
        <v>38.0</v>
      </c>
      <c r="G3839" s="4" t="s">
        <v>5789</v>
      </c>
    </row>
    <row r="3840">
      <c r="A3840" s="1">
        <v>3838.0</v>
      </c>
      <c r="B3840" s="4" t="s">
        <v>5725</v>
      </c>
      <c r="C3840" s="5" t="str">
        <f>IFERROR(__xludf.DUMMYFUNCTION("GOOGLETRANSLATE(D:D,""auto"",""en"")"),"Chun wife lonely wedding")</f>
        <v>Chun wife lonely wedding</v>
      </c>
      <c r="D3840" s="4" t="s">
        <v>5790</v>
      </c>
      <c r="E3840" s="4">
        <v>0.0</v>
      </c>
      <c r="F3840" s="4">
        <v>39.0</v>
      </c>
      <c r="G3840" s="4" t="s">
        <v>5791</v>
      </c>
    </row>
    <row r="3841">
      <c r="A3841" s="1">
        <v>3839.0</v>
      </c>
      <c r="B3841" s="4" t="s">
        <v>5725</v>
      </c>
      <c r="C3841" s="5" t="str">
        <f>IFERROR(__xludf.DUMMYFUNCTION("GOOGLETRANSLATE(D:D,""auto"",""en"")"),"Jiangxi glider crash")</f>
        <v>Jiangxi glider crash</v>
      </c>
      <c r="D3841" s="4" t="s">
        <v>5792</v>
      </c>
      <c r="E3841" s="4">
        <v>0.0</v>
      </c>
      <c r="F3841" s="4">
        <v>40.0</v>
      </c>
      <c r="G3841" s="4" t="s">
        <v>5793</v>
      </c>
    </row>
    <row r="3842">
      <c r="A3842" s="1">
        <v>3840.0</v>
      </c>
      <c r="B3842" s="4" t="s">
        <v>5725</v>
      </c>
      <c r="C3842" s="5" t="str">
        <f>IFERROR(__xludf.DUMMYFUNCTION("GOOGLETRANSLATE(D:D,""auto"",""en"")"),"League down for maintenance")</f>
        <v>League down for maintenance</v>
      </c>
      <c r="D3842" s="4" t="s">
        <v>5794</v>
      </c>
      <c r="E3842" s="4">
        <v>0.0</v>
      </c>
      <c r="F3842" s="4">
        <v>41.0</v>
      </c>
      <c r="G3842" s="4" t="s">
        <v>5795</v>
      </c>
    </row>
    <row r="3843">
      <c r="A3843" s="1">
        <v>3841.0</v>
      </c>
      <c r="B3843" s="4" t="s">
        <v>5725</v>
      </c>
      <c r="C3843" s="5" t="str">
        <f>IFERROR(__xludf.DUMMYFUNCTION("GOOGLETRANSLATE(D:D,""auto"",""en"")"),"Stephen Chow donated medical equipment")</f>
        <v>Stephen Chow donated medical equipment</v>
      </c>
      <c r="D3843" s="4" t="s">
        <v>5796</v>
      </c>
      <c r="E3843" s="4">
        <v>0.0</v>
      </c>
      <c r="F3843" s="4">
        <v>42.0</v>
      </c>
      <c r="G3843" s="4" t="s">
        <v>5797</v>
      </c>
    </row>
    <row r="3844">
      <c r="A3844" s="1">
        <v>3842.0</v>
      </c>
      <c r="B3844" s="4" t="s">
        <v>5725</v>
      </c>
      <c r="C3844" s="5" t="str">
        <f>IFERROR(__xludf.DUMMYFUNCTION("GOOGLETRANSLATE(D:D,""auto"",""en"")"),"Import and export trade deficit now")</f>
        <v>Import and export trade deficit now</v>
      </c>
      <c r="D3844" s="4" t="s">
        <v>5723</v>
      </c>
      <c r="E3844" s="4">
        <v>0.0</v>
      </c>
      <c r="F3844" s="4">
        <v>43.0</v>
      </c>
      <c r="G3844" s="4" t="s">
        <v>5724</v>
      </c>
    </row>
    <row r="3845">
      <c r="A3845" s="1">
        <v>3843.0</v>
      </c>
      <c r="B3845" s="4" t="s">
        <v>5725</v>
      </c>
      <c r="C3845" s="5" t="str">
        <f>IFERROR(__xludf.DUMMYFUNCTION("GOOGLETRANSLATE(D:D,""auto"",""en"")"),"Italy Wenzhou temporary flight")</f>
        <v>Italy Wenzhou temporary flight</v>
      </c>
      <c r="D3845" s="4" t="s">
        <v>5697</v>
      </c>
      <c r="E3845" s="4">
        <v>0.0</v>
      </c>
      <c r="F3845" s="4">
        <v>44.0</v>
      </c>
      <c r="G3845" s="4" t="s">
        <v>5698</v>
      </c>
    </row>
    <row r="3846">
      <c r="A3846" s="1">
        <v>3844.0</v>
      </c>
      <c r="B3846" s="4" t="s">
        <v>5725</v>
      </c>
      <c r="C3846" s="5" t="str">
        <f>IFERROR(__xludf.DUMMYFUNCTION("GOOGLETRANSLATE(D:D,""auto"",""en"")"),"Guan Xiaotong exposed released from quarantine")</f>
        <v>Guan Xiaotong exposed released from quarantine</v>
      </c>
      <c r="D3846" s="4" t="s">
        <v>5798</v>
      </c>
      <c r="E3846" s="4">
        <v>0.0</v>
      </c>
      <c r="F3846" s="4">
        <v>45.0</v>
      </c>
      <c r="G3846" s="4" t="s">
        <v>5799</v>
      </c>
    </row>
    <row r="3847">
      <c r="A3847" s="1">
        <v>3845.0</v>
      </c>
      <c r="B3847" s="4" t="s">
        <v>5725</v>
      </c>
      <c r="C3847" s="5" t="str">
        <f>IFERROR(__xludf.DUMMYFUNCTION("GOOGLETRANSLATE(D:D,""auto"",""en"")"),"Jiao Yahui for the medical teams off")</f>
        <v>Jiao Yahui for the medical teams off</v>
      </c>
      <c r="D3847" s="4" t="s">
        <v>5800</v>
      </c>
      <c r="E3847" s="4">
        <v>0.0</v>
      </c>
      <c r="F3847" s="4">
        <v>46.0</v>
      </c>
      <c r="G3847" s="4" t="s">
        <v>5801</v>
      </c>
    </row>
    <row r="3848">
      <c r="A3848" s="1">
        <v>3846.0</v>
      </c>
      <c r="B3848" s="4" t="s">
        <v>5725</v>
      </c>
      <c r="C3848" s="5" t="str">
        <f>IFERROR(__xludf.DUMMYFUNCTION("GOOGLETRANSLATE(D:D,""auto"",""en"")"),"Chinese mask replenishment to the world")</f>
        <v>Chinese mask replenishment to the world</v>
      </c>
      <c r="D3848" s="4" t="s">
        <v>5802</v>
      </c>
      <c r="E3848" s="4">
        <v>0.0</v>
      </c>
      <c r="F3848" s="4">
        <v>47.0</v>
      </c>
      <c r="G3848" s="4" t="s">
        <v>5803</v>
      </c>
    </row>
    <row r="3849">
      <c r="A3849" s="1">
        <v>3847.0</v>
      </c>
      <c r="B3849" s="4" t="s">
        <v>5725</v>
      </c>
      <c r="C3849" s="5" t="str">
        <f>IFERROR(__xludf.DUMMYFUNCTION("GOOGLETRANSLATE(D:D,""auto"",""en"")"),"Philippines state of calamity")</f>
        <v>Philippines state of calamity</v>
      </c>
      <c r="D3849" s="4" t="s">
        <v>5804</v>
      </c>
      <c r="E3849" s="4">
        <v>0.0</v>
      </c>
      <c r="F3849" s="4">
        <v>48.0</v>
      </c>
      <c r="G3849" s="4" t="s">
        <v>5805</v>
      </c>
    </row>
    <row r="3850">
      <c r="A3850" s="1">
        <v>3848.0</v>
      </c>
      <c r="B3850" s="4" t="s">
        <v>5725</v>
      </c>
      <c r="C3850" s="5" t="str">
        <f>IFERROR(__xludf.DUMMYFUNCTION("GOOGLETRANSLATE(D:D,""auto"",""en"")"),"Beijing by foreign input 6 cases")</f>
        <v>Beijing by foreign input 6 cases</v>
      </c>
      <c r="D3850" s="4" t="s">
        <v>5675</v>
      </c>
      <c r="E3850" s="4">
        <v>0.0</v>
      </c>
      <c r="F3850" s="4">
        <v>49.0</v>
      </c>
      <c r="G3850" s="4" t="s">
        <v>5676</v>
      </c>
    </row>
    <row r="3851">
      <c r="A3851" s="1">
        <v>3849.0</v>
      </c>
      <c r="B3851" s="4" t="s">
        <v>5725</v>
      </c>
      <c r="C3851" s="5" t="str">
        <f>IFERROR(__xludf.DUMMYFUNCTION("GOOGLETRANSLATE(D:D,""auto"",""en"")"),"Entry into the credit-reporting")</f>
        <v>Entry into the credit-reporting</v>
      </c>
      <c r="D3851" s="4" t="s">
        <v>5806</v>
      </c>
      <c r="E3851" s="4">
        <v>0.0</v>
      </c>
      <c r="F3851" s="4">
        <v>50.0</v>
      </c>
      <c r="G3851" s="4" t="s">
        <v>5807</v>
      </c>
    </row>
    <row r="3852">
      <c r="A3852" s="1">
        <v>3850.0</v>
      </c>
      <c r="B3852" s="4" t="s">
        <v>5808</v>
      </c>
      <c r="C3852" s="5" t="str">
        <f>IFERROR(__xludf.DUMMYFUNCTION("GOOGLETRANSLATE(D:D,""auto"",""en"")"),"Philippines state of calamity")</f>
        <v>Philippines state of calamity</v>
      </c>
      <c r="D3852" s="4" t="s">
        <v>5804</v>
      </c>
      <c r="E3852" s="4">
        <v>0.0</v>
      </c>
      <c r="F3852" s="4">
        <v>1.0</v>
      </c>
      <c r="G3852" s="4" t="s">
        <v>5805</v>
      </c>
    </row>
    <row r="3853">
      <c r="A3853" s="1">
        <v>3851.0</v>
      </c>
      <c r="B3853" s="4" t="s">
        <v>5808</v>
      </c>
      <c r="C3853" s="5" t="str">
        <f>IFERROR(__xludf.DUMMYFUNCTION("GOOGLETRANSLATE(D:D,""auto"",""en"")"),"Hubei Express will return to work to resume production")</f>
        <v>Hubei Express will return to work to resume production</v>
      </c>
      <c r="D3853" s="4" t="s">
        <v>5778</v>
      </c>
      <c r="E3853" s="4">
        <v>0.0</v>
      </c>
      <c r="F3853" s="4">
        <v>2.0</v>
      </c>
      <c r="G3853" s="4" t="s">
        <v>5779</v>
      </c>
    </row>
    <row r="3854">
      <c r="A3854" s="1">
        <v>3852.0</v>
      </c>
      <c r="B3854" s="4" t="s">
        <v>5808</v>
      </c>
      <c r="C3854" s="5" t="str">
        <f>IFERROR(__xludf.DUMMYFUNCTION("GOOGLETRANSLATE(D:D,""auto"",""en"")"),"Actress hotel isolated 40 days")</f>
        <v>Actress hotel isolated 40 days</v>
      </c>
      <c r="D3854" s="4" t="s">
        <v>5809</v>
      </c>
      <c r="E3854" s="4">
        <v>0.0</v>
      </c>
      <c r="F3854" s="4">
        <v>3.0</v>
      </c>
      <c r="G3854" s="4" t="s">
        <v>5810</v>
      </c>
    </row>
    <row r="3855">
      <c r="A3855" s="1">
        <v>3853.0</v>
      </c>
      <c r="B3855" s="4" t="s">
        <v>5808</v>
      </c>
      <c r="C3855" s="5" t="str">
        <f>IFERROR(__xludf.DUMMYFUNCTION("GOOGLETRANSLATE(D:D,""auto"",""en"")"),"Running an Australian woman was dismissed")</f>
        <v>Running an Australian woman was dismissed</v>
      </c>
      <c r="D3855" s="4" t="s">
        <v>5776</v>
      </c>
      <c r="E3855" s="4">
        <v>0.0</v>
      </c>
      <c r="F3855" s="4">
        <v>4.0</v>
      </c>
      <c r="G3855" s="4" t="s">
        <v>5777</v>
      </c>
    </row>
    <row r="3856">
      <c r="A3856" s="1">
        <v>3854.0</v>
      </c>
      <c r="B3856" s="4" t="s">
        <v>5808</v>
      </c>
      <c r="C3856" s="5" t="str">
        <f>IFERROR(__xludf.DUMMYFUNCTION("GOOGLETRANSLATE(D:D,""auto"",""en"")"),"Stephen Chow donated medical equipment")</f>
        <v>Stephen Chow donated medical equipment</v>
      </c>
      <c r="D3856" s="4" t="s">
        <v>5796</v>
      </c>
      <c r="E3856" s="4">
        <v>0.0</v>
      </c>
      <c r="F3856" s="4">
        <v>5.0</v>
      </c>
      <c r="G3856" s="4" t="s">
        <v>5797</v>
      </c>
    </row>
    <row r="3857">
      <c r="A3857" s="1">
        <v>3855.0</v>
      </c>
      <c r="B3857" s="4" t="s">
        <v>5808</v>
      </c>
      <c r="C3857" s="5" t="str">
        <f>IFERROR(__xludf.DUMMYFUNCTION("GOOGLETRANSLATE(D:D,""auto"",""en"")"),"Durant infected with the new virus crown")</f>
        <v>Durant infected with the new virus crown</v>
      </c>
      <c r="D3857" s="4" t="s">
        <v>5811</v>
      </c>
      <c r="E3857" s="4">
        <v>0.0</v>
      </c>
      <c r="F3857" s="4">
        <v>6.0</v>
      </c>
      <c r="G3857" s="4" t="s">
        <v>5812</v>
      </c>
    </row>
    <row r="3858">
      <c r="A3858" s="1">
        <v>3856.0</v>
      </c>
      <c r="B3858" s="4" t="s">
        <v>5808</v>
      </c>
      <c r="C3858" s="5" t="str">
        <f>IFERROR(__xludf.DUMMYFUNCTION("GOOGLETRANSLATE(D:D,""auto"",""en"")"),"Beijing new foreign input 11 cases")</f>
        <v>Beijing new foreign input 11 cases</v>
      </c>
      <c r="D3858" s="4" t="s">
        <v>5813</v>
      </c>
      <c r="E3858" s="4">
        <v>0.0</v>
      </c>
      <c r="F3858" s="4">
        <v>7.0</v>
      </c>
      <c r="G3858" s="4" t="s">
        <v>5814</v>
      </c>
    </row>
    <row r="3859">
      <c r="A3859" s="1">
        <v>3857.0</v>
      </c>
      <c r="B3859" s="4" t="s">
        <v>5808</v>
      </c>
      <c r="C3859" s="5" t="str">
        <f>IFERROR(__xludf.DUMMYFUNCTION("GOOGLETRANSLATE(D:D,""auto"",""en"")"),"Italy deaths skyrocketing")</f>
        <v>Italy deaths skyrocketing</v>
      </c>
      <c r="D3859" s="4" t="s">
        <v>5815</v>
      </c>
      <c r="E3859" s="4">
        <v>0.0</v>
      </c>
      <c r="F3859" s="4">
        <v>8.0</v>
      </c>
      <c r="G3859" s="4" t="s">
        <v>5816</v>
      </c>
    </row>
    <row r="3860">
      <c r="A3860" s="1">
        <v>3858.0</v>
      </c>
      <c r="B3860" s="4" t="s">
        <v>5808</v>
      </c>
      <c r="C3860" s="5" t="str">
        <f>IFERROR(__xludf.DUMMYFUNCTION("GOOGLETRANSLATE(D:D,""auto"",""en"")"),"Jiang Yiwen dismissal")</f>
        <v>Jiang Yiwen dismissal</v>
      </c>
      <c r="D3860" s="4" t="s">
        <v>5817</v>
      </c>
      <c r="E3860" s="4">
        <v>0.0</v>
      </c>
      <c r="F3860" s="4">
        <v>9.0</v>
      </c>
      <c r="G3860" s="4" t="s">
        <v>5818</v>
      </c>
    </row>
    <row r="3861">
      <c r="A3861" s="1">
        <v>3859.0</v>
      </c>
      <c r="B3861" s="4" t="s">
        <v>5808</v>
      </c>
      <c r="C3861" s="5" t="str">
        <f>IFERROR(__xludf.DUMMYFUNCTION("GOOGLETRANSLATE(D:D,""auto"",""en"")"),"Zhong Nanshan talk about collective immunity")</f>
        <v>Zhong Nanshan talk about collective immunity</v>
      </c>
      <c r="D3861" s="4" t="s">
        <v>5819</v>
      </c>
      <c r="E3861" s="4">
        <v>0.0</v>
      </c>
      <c r="F3861" s="4">
        <v>10.0</v>
      </c>
      <c r="G3861" s="4" t="s">
        <v>5820</v>
      </c>
    </row>
    <row r="3862">
      <c r="A3862" s="1">
        <v>3860.0</v>
      </c>
      <c r="B3862" s="4" t="s">
        <v>5808</v>
      </c>
      <c r="C3862" s="5" t="str">
        <f>IFERROR(__xludf.DUMMYFUNCTION("GOOGLETRANSLATE(D:D,""auto"",""en"")"),"Bridge Water Fund warehouse explosion")</f>
        <v>Bridge Water Fund warehouse explosion</v>
      </c>
      <c r="D3862" s="4" t="s">
        <v>5821</v>
      </c>
      <c r="E3862" s="4">
        <v>0.0</v>
      </c>
      <c r="F3862" s="4">
        <v>11.0</v>
      </c>
      <c r="G3862" s="4" t="s">
        <v>5822</v>
      </c>
    </row>
    <row r="3863">
      <c r="A3863" s="1">
        <v>3861.0</v>
      </c>
      <c r="B3863" s="4" t="s">
        <v>5808</v>
      </c>
      <c r="C3863" s="5" t="str">
        <f>IFERROR(__xludf.DUMMYFUNCTION("GOOGLETRANSLATE(D:D,""auto"",""en"")"),"Zhong Nanshan talk about drug treatment of pneumonia")</f>
        <v>Zhong Nanshan talk about drug treatment of pneumonia</v>
      </c>
      <c r="D3863" s="4" t="s">
        <v>5823</v>
      </c>
      <c r="E3863" s="4">
        <v>0.0</v>
      </c>
      <c r="F3863" s="4">
        <v>12.0</v>
      </c>
      <c r="G3863" s="4" t="s">
        <v>5824</v>
      </c>
    </row>
    <row r="3864">
      <c r="A3864" s="1">
        <v>3862.0</v>
      </c>
      <c r="B3864" s="4" t="s">
        <v>5808</v>
      </c>
      <c r="C3864" s="5" t="str">
        <f>IFERROR(__xludf.DUMMYFUNCTION("GOOGLETRANSLATE(D:D,""auto"",""en"")"),"Sichuan talk about not wearing masks situation")</f>
        <v>Sichuan talk about not wearing masks situation</v>
      </c>
      <c r="D3864" s="4" t="s">
        <v>5774</v>
      </c>
      <c r="E3864" s="4">
        <v>0.0</v>
      </c>
      <c r="F3864" s="4">
        <v>13.0</v>
      </c>
      <c r="G3864" s="4" t="s">
        <v>5775</v>
      </c>
    </row>
    <row r="3865">
      <c r="A3865" s="1">
        <v>3863.0</v>
      </c>
      <c r="B3865" s="4" t="s">
        <v>5808</v>
      </c>
      <c r="C3865" s="5" t="str">
        <f>IFERROR(__xludf.DUMMYFUNCTION("GOOGLETRANSLATE(D:D,""auto"",""en"")"),"High-end Yunxiang case retrial")</f>
        <v>High-end Yunxiang case retrial</v>
      </c>
      <c r="D3865" s="4" t="s">
        <v>5768</v>
      </c>
      <c r="E3865" s="4">
        <v>0.0</v>
      </c>
      <c r="F3865" s="4">
        <v>14.0</v>
      </c>
      <c r="G3865" s="4" t="s">
        <v>5769</v>
      </c>
    </row>
    <row r="3866">
      <c r="A3866" s="1">
        <v>3864.0</v>
      </c>
      <c r="B3866" s="4" t="s">
        <v>5808</v>
      </c>
      <c r="C3866" s="5" t="str">
        <f>IFERROR(__xludf.DUMMYFUNCTION("GOOGLETRANSLATE(D:D,""auto"",""en"")"),"China's response Trump remarks")</f>
        <v>China's response Trump remarks</v>
      </c>
      <c r="D3866" s="4" t="s">
        <v>5764</v>
      </c>
      <c r="E3866" s="4">
        <v>0.0</v>
      </c>
      <c r="F3866" s="4">
        <v>15.0</v>
      </c>
      <c r="G3866" s="4" t="s">
        <v>5765</v>
      </c>
    </row>
    <row r="3867">
      <c r="A3867" s="1">
        <v>3865.0</v>
      </c>
      <c r="B3867" s="4" t="s">
        <v>5808</v>
      </c>
      <c r="C3867" s="5" t="str">
        <f>IFERROR(__xludf.DUMMYFUNCTION("GOOGLETRANSLATE(D:D,""auto"",""en"")"),"Liu Yunjie inappropriate remarks published")</f>
        <v>Liu Yunjie inappropriate remarks published</v>
      </c>
      <c r="D3867" s="4" t="s">
        <v>5825</v>
      </c>
      <c r="E3867" s="4">
        <v>0.0</v>
      </c>
      <c r="F3867" s="4">
        <v>16.0</v>
      </c>
      <c r="G3867" s="4" t="s">
        <v>5826</v>
      </c>
    </row>
    <row r="3868">
      <c r="A3868" s="1">
        <v>3866.0</v>
      </c>
      <c r="B3868" s="4" t="s">
        <v>5808</v>
      </c>
      <c r="C3868" s="5" t="str">
        <f>IFERROR(__xludf.DUMMYFUNCTION("GOOGLETRANSLATE(D:D,""auto"",""en"")"),"Dingzhou now major criminal cases")</f>
        <v>Dingzhou now major criminal cases</v>
      </c>
      <c r="D3868" s="4" t="s">
        <v>5827</v>
      </c>
      <c r="E3868" s="4">
        <v>0.0</v>
      </c>
      <c r="F3868" s="4">
        <v>17.0</v>
      </c>
      <c r="G3868" s="4" t="s">
        <v>5828</v>
      </c>
    </row>
    <row r="3869">
      <c r="A3869" s="1">
        <v>3867.0</v>
      </c>
      <c r="B3869" s="4" t="s">
        <v>5808</v>
      </c>
      <c r="C3869" s="5" t="str">
        <f>IFERROR(__xludf.DUMMYFUNCTION("GOOGLETRANSLATE(D:D,""auto"",""en"")"),"NASA confirmed cases appear")</f>
        <v>NASA confirmed cases appear</v>
      </c>
      <c r="D3869" s="4" t="s">
        <v>5829</v>
      </c>
      <c r="E3869" s="4">
        <v>0.0</v>
      </c>
      <c r="F3869" s="4">
        <v>18.0</v>
      </c>
      <c r="G3869" s="4" t="s">
        <v>5830</v>
      </c>
    </row>
    <row r="3870">
      <c r="A3870" s="1">
        <v>3868.0</v>
      </c>
      <c r="B3870" s="4" t="s">
        <v>5808</v>
      </c>
      <c r="C3870" s="5" t="str">
        <f>IFERROR(__xludf.DUMMYFUNCTION("GOOGLETRANSLATE(D:D,""auto"",""en"")"),"Shaanxi announced the start dates")</f>
        <v>Shaanxi announced the start dates</v>
      </c>
      <c r="D3870" s="4" t="s">
        <v>5831</v>
      </c>
      <c r="E3870" s="4">
        <v>0.0</v>
      </c>
      <c r="F3870" s="4">
        <v>19.0</v>
      </c>
      <c r="G3870" s="4" t="s">
        <v>5832</v>
      </c>
    </row>
    <row r="3871">
      <c r="A3871" s="1">
        <v>3869.0</v>
      </c>
      <c r="B3871" s="4" t="s">
        <v>5808</v>
      </c>
      <c r="C3871" s="5" t="str">
        <f>IFERROR(__xludf.DUMMYFUNCTION("GOOGLETRANSLATE(D:D,""auto"",""en"")"),"Hubei employment train departure")</f>
        <v>Hubei employment train departure</v>
      </c>
      <c r="D3871" s="4" t="s">
        <v>5833</v>
      </c>
      <c r="E3871" s="4">
        <v>0.0</v>
      </c>
      <c r="F3871" s="4">
        <v>20.0</v>
      </c>
      <c r="G3871" s="4" t="s">
        <v>5834</v>
      </c>
    </row>
    <row r="3872">
      <c r="A3872" s="1">
        <v>3870.0</v>
      </c>
      <c r="B3872" s="4" t="s">
        <v>5808</v>
      </c>
      <c r="C3872" s="5" t="str">
        <f>IFERROR(__xludf.DUMMYFUNCTION("GOOGLETRANSLATE(D:D,""auto"",""en"")"),"Meng apologize to Zhang Meng")</f>
        <v>Meng apologize to Zhang Meng</v>
      </c>
      <c r="D3872" s="4" t="s">
        <v>5835</v>
      </c>
      <c r="E3872" s="4">
        <v>0.0</v>
      </c>
      <c r="F3872" s="4">
        <v>21.0</v>
      </c>
      <c r="G3872" s="4" t="s">
        <v>5836</v>
      </c>
    </row>
    <row r="3873">
      <c r="A3873" s="1">
        <v>3871.0</v>
      </c>
      <c r="B3873" s="4" t="s">
        <v>5808</v>
      </c>
      <c r="C3873" s="5" t="str">
        <f>IFERROR(__xludf.DUMMYFUNCTION("GOOGLETRANSLATE(D:D,""auto"",""en"")"),"Gansu increase in the risk zone 3")</f>
        <v>Gansu increase in the risk zone 3</v>
      </c>
      <c r="D3873" s="4" t="s">
        <v>5837</v>
      </c>
      <c r="E3873" s="4">
        <v>0.0</v>
      </c>
      <c r="F3873" s="4">
        <v>22.0</v>
      </c>
      <c r="G3873" s="4" t="s">
        <v>5838</v>
      </c>
    </row>
    <row r="3874">
      <c r="A3874" s="1">
        <v>3872.0</v>
      </c>
      <c r="B3874" s="4" t="s">
        <v>5808</v>
      </c>
      <c r="C3874" s="5" t="str">
        <f>IFERROR(__xludf.DUMMYFUNCTION("GOOGLETRANSLATE(D:D,""auto"",""en"")"),"Ministry of Foreign Affairs to respond to Sino-US relations")</f>
        <v>Ministry of Foreign Affairs to respond to Sino-US relations</v>
      </c>
      <c r="D3874" s="4" t="s">
        <v>5839</v>
      </c>
      <c r="E3874" s="4">
        <v>0.0</v>
      </c>
      <c r="F3874" s="4">
        <v>23.0</v>
      </c>
      <c r="G3874" s="4" t="s">
        <v>5840</v>
      </c>
    </row>
    <row r="3875">
      <c r="A3875" s="1">
        <v>3873.0</v>
      </c>
      <c r="B3875" s="4" t="s">
        <v>5808</v>
      </c>
      <c r="C3875" s="5" t="str">
        <f>IFERROR(__xludf.DUMMYFUNCTION("GOOGLETRANSLATE(D:D,""auto"",""en"")"),"Medical teams were singing the Red Flag fluttering")</f>
        <v>Medical teams were singing the Red Flag fluttering</v>
      </c>
      <c r="D3875" s="4" t="s">
        <v>5841</v>
      </c>
      <c r="E3875" s="4">
        <v>0.0</v>
      </c>
      <c r="F3875" s="4">
        <v>24.0</v>
      </c>
      <c r="G3875" s="4" t="s">
        <v>5842</v>
      </c>
    </row>
    <row r="3876">
      <c r="A3876" s="1">
        <v>3874.0</v>
      </c>
      <c r="B3876" s="4" t="s">
        <v>5808</v>
      </c>
      <c r="C3876" s="5" t="str">
        <f>IFERROR(__xludf.DUMMYFUNCTION("GOOGLETRANSLATE(D:D,""auto"",""en"")"),"Nearly 200,000 confirmed cases worldwide")</f>
        <v>Nearly 200,000 confirmed cases worldwide</v>
      </c>
      <c r="D3876" s="4" t="s">
        <v>5843</v>
      </c>
      <c r="E3876" s="4">
        <v>0.0</v>
      </c>
      <c r="F3876" s="4">
        <v>25.0</v>
      </c>
      <c r="G3876" s="4" t="s">
        <v>5844</v>
      </c>
    </row>
    <row r="3877">
      <c r="A3877" s="1">
        <v>3875.0</v>
      </c>
      <c r="B3877" s="4" t="s">
        <v>5808</v>
      </c>
      <c r="C3877" s="5" t="str">
        <f>IFERROR(__xludf.DUMMYFUNCTION("GOOGLETRANSLATE(D:D,""auto"",""en"")"),"Beijing gale struck")</f>
        <v>Beijing gale struck</v>
      </c>
      <c r="D3877" s="4" t="s">
        <v>5845</v>
      </c>
      <c r="E3877" s="4">
        <v>0.0</v>
      </c>
      <c r="F3877" s="4">
        <v>26.0</v>
      </c>
      <c r="G3877" s="4" t="s">
        <v>5846</v>
      </c>
    </row>
    <row r="3878">
      <c r="A3878" s="1">
        <v>3876.0</v>
      </c>
      <c r="B3878" s="4" t="s">
        <v>5808</v>
      </c>
      <c r="C3878" s="5" t="str">
        <f>IFERROR(__xludf.DUMMYFUNCTION("GOOGLETRANSLATE(D:D,""auto"",""en"")"),"The US State Department is now more than confirmed cases")</f>
        <v>The US State Department is now more than confirmed cases</v>
      </c>
      <c r="D3878" s="4" t="s">
        <v>5847</v>
      </c>
      <c r="E3878" s="4">
        <v>0.0</v>
      </c>
      <c r="F3878" s="4">
        <v>27.0</v>
      </c>
      <c r="G3878" s="4" t="s">
        <v>5848</v>
      </c>
    </row>
    <row r="3879">
      <c r="A3879" s="1">
        <v>3877.0</v>
      </c>
      <c r="B3879" s="4" t="s">
        <v>5808</v>
      </c>
      <c r="C3879" s="5" t="str">
        <f>IFERROR(__xludf.DUMMYFUNCTION("GOOGLETRANSLATE(D:D,""auto"",""en"")"),"Kim Woo-bin resigned diagnosed with a new crown")</f>
        <v>Kim Woo-bin resigned diagnosed with a new crown</v>
      </c>
      <c r="D3879" s="4" t="s">
        <v>5849</v>
      </c>
      <c r="E3879" s="4">
        <v>0.0</v>
      </c>
      <c r="F3879" s="4">
        <v>28.0</v>
      </c>
      <c r="G3879" s="4" t="s">
        <v>5850</v>
      </c>
    </row>
    <row r="3880">
      <c r="A3880" s="1">
        <v>3878.0</v>
      </c>
      <c r="B3880" s="4" t="s">
        <v>5808</v>
      </c>
      <c r="C3880" s="5" t="str">
        <f>IFERROR(__xludf.DUMMYFUNCTION("GOOGLETRANSLATE(D:D,""auto"",""en"")"),"Beijing Yanqing forest fire")</f>
        <v>Beijing Yanqing forest fire</v>
      </c>
      <c r="D3880" s="4" t="s">
        <v>5851</v>
      </c>
      <c r="E3880" s="4">
        <v>0.0</v>
      </c>
      <c r="F3880" s="4">
        <v>29.0</v>
      </c>
      <c r="G3880" s="4" t="s">
        <v>5852</v>
      </c>
    </row>
    <row r="3881">
      <c r="A3881" s="1">
        <v>3879.0</v>
      </c>
      <c r="B3881" s="4" t="s">
        <v>5808</v>
      </c>
      <c r="C3881" s="5" t="str">
        <f>IFERROR(__xludf.DUMMYFUNCTION("GOOGLETRANSLATE(D:D,""auto"",""en"")"),"The new crown pet dog died of infection")</f>
        <v>The new crown pet dog died of infection</v>
      </c>
      <c r="D3881" s="4" t="s">
        <v>5853</v>
      </c>
      <c r="E3881" s="4">
        <v>0.0</v>
      </c>
      <c r="F3881" s="4">
        <v>30.0</v>
      </c>
      <c r="G3881" s="4" t="s">
        <v>5854</v>
      </c>
    </row>
    <row r="3882">
      <c r="A3882" s="1">
        <v>3880.0</v>
      </c>
      <c r="B3882" s="4" t="s">
        <v>5808</v>
      </c>
      <c r="C3882" s="5" t="str">
        <f>IFERROR(__xludf.DUMMYFUNCTION("GOOGLETRANSLATE(D:D,""auto"",""en"")"),"Chen He was the second child female")</f>
        <v>Chen He was the second child female</v>
      </c>
      <c r="D3882" s="4" t="s">
        <v>5772</v>
      </c>
      <c r="E3882" s="4">
        <v>0.0</v>
      </c>
      <c r="F3882" s="4">
        <v>31.0</v>
      </c>
      <c r="G3882" s="4" t="s">
        <v>5773</v>
      </c>
    </row>
    <row r="3883">
      <c r="A3883" s="1">
        <v>3881.0</v>
      </c>
      <c r="B3883" s="4" t="s">
        <v>5808</v>
      </c>
      <c r="C3883" s="5" t="str">
        <f>IFERROR(__xludf.DUMMYFUNCTION("GOOGLETRANSLATE(D:D,""auto"",""en"")"),"Zhang Meng Zhang Meng response")</f>
        <v>Zhang Meng Zhang Meng response</v>
      </c>
      <c r="D3883" s="4" t="s">
        <v>5855</v>
      </c>
      <c r="E3883" s="4">
        <v>0.0</v>
      </c>
      <c r="F3883" s="4">
        <v>32.0</v>
      </c>
      <c r="G3883" s="4" t="s">
        <v>5856</v>
      </c>
    </row>
    <row r="3884">
      <c r="A3884" s="1">
        <v>3882.0</v>
      </c>
      <c r="B3884" s="4" t="s">
        <v>5808</v>
      </c>
      <c r="C3884" s="5" t="str">
        <f>IFERROR(__xludf.DUMMYFUNCTION("GOOGLETRANSLATE(D:D,""auto"",""en"")"),"Jingdong announced stock buyback")</f>
        <v>Jingdong announced stock buyback</v>
      </c>
      <c r="D3884" s="4" t="s">
        <v>5857</v>
      </c>
      <c r="E3884" s="4">
        <v>0.0</v>
      </c>
      <c r="F3884" s="4">
        <v>33.0</v>
      </c>
      <c r="G3884" s="4" t="s">
        <v>5858</v>
      </c>
    </row>
    <row r="3885">
      <c r="A3885" s="1">
        <v>3883.0</v>
      </c>
      <c r="B3885" s="4" t="s">
        <v>5808</v>
      </c>
      <c r="C3885" s="5" t="str">
        <f>IFERROR(__xludf.DUMMYFUNCTION("GOOGLETRANSLATE(D:D,""auto"",""en"")"),"Lin refuted US President")</f>
        <v>Lin refuted US President</v>
      </c>
      <c r="D3885" s="4" t="s">
        <v>5859</v>
      </c>
      <c r="E3885" s="4">
        <v>0.0</v>
      </c>
      <c r="F3885" s="4">
        <v>34.0</v>
      </c>
      <c r="G3885" s="4" t="s">
        <v>5860</v>
      </c>
    </row>
    <row r="3886">
      <c r="A3886" s="1">
        <v>3884.0</v>
      </c>
      <c r="B3886" s="4" t="s">
        <v>5808</v>
      </c>
      <c r="C3886" s="5" t="str">
        <f>IFERROR(__xludf.DUMMYFUNCTION("GOOGLETRANSLATE(D:D,""auto"",""en"")"),"New York Governor hate back to Trump")</f>
        <v>New York Governor hate back to Trump</v>
      </c>
      <c r="D3886" s="4" t="s">
        <v>5861</v>
      </c>
      <c r="E3886" s="4">
        <v>0.0</v>
      </c>
      <c r="F3886" s="4">
        <v>35.0</v>
      </c>
      <c r="G3886" s="4" t="s">
        <v>5862</v>
      </c>
    </row>
    <row r="3887">
      <c r="A3887" s="1">
        <v>3885.0</v>
      </c>
      <c r="B3887" s="4" t="s">
        <v>5808</v>
      </c>
      <c r="C3887" s="5" t="str">
        <f>IFERROR(__xludf.DUMMYFUNCTION("GOOGLETRANSLATE(D:D,""auto"",""en"")"),"Zhong Nanshan talk about the source of the virus")</f>
        <v>Zhong Nanshan talk about the source of the virus</v>
      </c>
      <c r="D3887" s="4" t="s">
        <v>5863</v>
      </c>
      <c r="E3887" s="4">
        <v>0.0</v>
      </c>
      <c r="F3887" s="4">
        <v>36.0</v>
      </c>
      <c r="G3887" s="4" t="s">
        <v>5864</v>
      </c>
    </row>
    <row r="3888">
      <c r="A3888" s="1">
        <v>3886.0</v>
      </c>
      <c r="B3888" s="4" t="s">
        <v>5808</v>
      </c>
      <c r="C3888" s="5" t="str">
        <f>IFERROR(__xludf.DUMMYFUNCTION("GOOGLETRANSLATE(D:D,""auto"",""en"")"),"Zhong Nanshan children send gifts")</f>
        <v>Zhong Nanshan children send gifts</v>
      </c>
      <c r="D3888" s="4" t="s">
        <v>5865</v>
      </c>
      <c r="E3888" s="4">
        <v>0.0</v>
      </c>
      <c r="F3888" s="4">
        <v>37.0</v>
      </c>
      <c r="G3888" s="4" t="s">
        <v>5866</v>
      </c>
    </row>
    <row r="3889">
      <c r="A3889" s="1">
        <v>3887.0</v>
      </c>
      <c r="B3889" s="4" t="s">
        <v>5808</v>
      </c>
      <c r="C3889" s="5" t="str">
        <f>IFERROR(__xludf.DUMMYFUNCTION("GOOGLETRANSLATE(D:D,""auto"",""en"")"),"Henan adjust Emergency Response")</f>
        <v>Henan adjust Emergency Response</v>
      </c>
      <c r="D3889" s="4" t="s">
        <v>5867</v>
      </c>
      <c r="E3889" s="4">
        <v>0.0</v>
      </c>
      <c r="F3889" s="4">
        <v>38.0</v>
      </c>
      <c r="G3889" s="4" t="s">
        <v>5868</v>
      </c>
    </row>
    <row r="3890">
      <c r="A3890" s="1">
        <v>3888.0</v>
      </c>
      <c r="B3890" s="4" t="s">
        <v>5808</v>
      </c>
      <c r="C3890" s="5" t="str">
        <f>IFERROR(__xludf.DUMMYFUNCTION("GOOGLETRANSLATE(D:D,""auto"",""en"")"),"Li Lanjuan talk Wuhan reopened")</f>
        <v>Li Lanjuan talk Wuhan reopened</v>
      </c>
      <c r="D3890" s="4" t="s">
        <v>5752</v>
      </c>
      <c r="E3890" s="4">
        <v>0.0</v>
      </c>
      <c r="F3890" s="4">
        <v>39.0</v>
      </c>
      <c r="G3890" s="4" t="s">
        <v>5753</v>
      </c>
    </row>
    <row r="3891">
      <c r="A3891" s="1">
        <v>3889.0</v>
      </c>
      <c r="B3891" s="4" t="s">
        <v>5808</v>
      </c>
      <c r="C3891" s="5" t="str">
        <f>IFERROR(__xludf.DUMMYFUNCTION("GOOGLETRANSLATE(D:D,""auto"",""en"")"),"Sichuan's first imported case")</f>
        <v>Sichuan's first imported case</v>
      </c>
      <c r="D3891" s="4" t="s">
        <v>5758</v>
      </c>
      <c r="E3891" s="4">
        <v>0.0</v>
      </c>
      <c r="F3891" s="4">
        <v>40.0</v>
      </c>
      <c r="G3891" s="4" t="s">
        <v>5759</v>
      </c>
    </row>
    <row r="3892">
      <c r="A3892" s="1">
        <v>3890.0</v>
      </c>
      <c r="B3892" s="4" t="s">
        <v>5808</v>
      </c>
      <c r="C3892" s="5" t="str">
        <f>IFERROR(__xludf.DUMMYFUNCTION("GOOGLETRANSLATE(D:D,""auto"",""en"")"),"Iran to complete the investigation of millions of people")</f>
        <v>Iran to complete the investigation of millions of people</v>
      </c>
      <c r="D3892" s="4" t="s">
        <v>5869</v>
      </c>
      <c r="E3892" s="4">
        <v>0.0</v>
      </c>
      <c r="F3892" s="4">
        <v>41.0</v>
      </c>
      <c r="G3892" s="4" t="s">
        <v>5870</v>
      </c>
    </row>
    <row r="3893">
      <c r="A3893" s="1">
        <v>3891.0</v>
      </c>
      <c r="B3893" s="4" t="s">
        <v>5808</v>
      </c>
      <c r="C3893" s="5" t="str">
        <f>IFERROR(__xludf.DUMMYFUNCTION("GOOGLETRANSLATE(D:D,""auto"",""en"")"),"Taiwan confirmed one-day record high")</f>
        <v>Taiwan confirmed one-day record high</v>
      </c>
      <c r="D3893" s="4" t="s">
        <v>5871</v>
      </c>
      <c r="E3893" s="4">
        <v>0.0</v>
      </c>
      <c r="F3893" s="4">
        <v>42.0</v>
      </c>
      <c r="G3893" s="4" t="s">
        <v>5872</v>
      </c>
    </row>
    <row r="3894">
      <c r="A3894" s="1">
        <v>3892.0</v>
      </c>
      <c r="B3894" s="4" t="s">
        <v>5808</v>
      </c>
      <c r="C3894" s="5" t="str">
        <f>IFERROR(__xludf.DUMMYFUNCTION("GOOGLETRANSLATE(D:D,""auto"",""en"")"),"Lied sell masks fraud 900 000")</f>
        <v>Lied sell masks fraud 900 000</v>
      </c>
      <c r="D3894" s="4" t="s">
        <v>5873</v>
      </c>
      <c r="E3894" s="4">
        <v>0.0</v>
      </c>
      <c r="F3894" s="4">
        <v>43.0</v>
      </c>
      <c r="G3894" s="4" t="s">
        <v>5874</v>
      </c>
    </row>
    <row r="3895">
      <c r="A3895" s="1">
        <v>3893.0</v>
      </c>
      <c r="B3895" s="4" t="s">
        <v>5808</v>
      </c>
      <c r="C3895" s="5" t="str">
        <f>IFERROR(__xludf.DUMMYFUNCTION("GOOGLETRANSLATE(D:D,""auto"",""en"")"),"US media were counter")</f>
        <v>US media were counter</v>
      </c>
      <c r="D3895" s="4" t="s">
        <v>5875</v>
      </c>
      <c r="E3895" s="4">
        <v>0.0</v>
      </c>
      <c r="F3895" s="4">
        <v>44.0</v>
      </c>
      <c r="G3895" s="4" t="s">
        <v>5876</v>
      </c>
    </row>
    <row r="3896">
      <c r="A3896" s="1">
        <v>3894.0</v>
      </c>
      <c r="B3896" s="4" t="s">
        <v>5808</v>
      </c>
      <c r="C3896" s="5" t="str">
        <f>IFERROR(__xludf.DUMMYFUNCTION("GOOGLETRANSLATE(D:D,""auto"",""en"")"),"Bergamo City 12 days 70 people dead")</f>
        <v>Bergamo City 12 days 70 people dead</v>
      </c>
      <c r="D3896" s="4" t="s">
        <v>5877</v>
      </c>
      <c r="E3896" s="4">
        <v>0.0</v>
      </c>
      <c r="F3896" s="4">
        <v>45.0</v>
      </c>
      <c r="G3896" s="4" t="s">
        <v>5878</v>
      </c>
    </row>
    <row r="3897">
      <c r="A3897" s="1">
        <v>3895.0</v>
      </c>
      <c r="B3897" s="4" t="s">
        <v>5808</v>
      </c>
      <c r="C3897" s="5" t="str">
        <f>IFERROR(__xludf.DUMMYFUNCTION("GOOGLETRANSLATE(D:D,""auto"",""en"")"),"Zhong Nanshan commentary Li Wenliang")</f>
        <v>Zhong Nanshan commentary Li Wenliang</v>
      </c>
      <c r="D3897" s="4" t="s">
        <v>5746</v>
      </c>
      <c r="E3897" s="4">
        <v>0.0</v>
      </c>
      <c r="F3897" s="4">
        <v>46.0</v>
      </c>
      <c r="G3897" s="4" t="s">
        <v>5747</v>
      </c>
    </row>
    <row r="3898">
      <c r="A3898" s="1">
        <v>3896.0</v>
      </c>
      <c r="B3898" s="4" t="s">
        <v>5808</v>
      </c>
      <c r="C3898" s="5" t="str">
        <f>IFERROR(__xludf.DUMMYFUNCTION("GOOGLETRANSLATE(D:D,""auto"",""en"")"),"Iran to release 85,000 prisoners")</f>
        <v>Iran to release 85,000 prisoners</v>
      </c>
      <c r="D3898" s="4" t="s">
        <v>5766</v>
      </c>
      <c r="E3898" s="4">
        <v>0.0</v>
      </c>
      <c r="F3898" s="4">
        <v>47.0</v>
      </c>
      <c r="G3898" s="4" t="s">
        <v>5767</v>
      </c>
    </row>
    <row r="3899">
      <c r="A3899" s="1">
        <v>3897.0</v>
      </c>
      <c r="B3899" s="4" t="s">
        <v>5808</v>
      </c>
      <c r="C3899" s="5" t="str">
        <f>IFERROR(__xludf.DUMMYFUNCTION("GOOGLETRANSLATE(D:D,""auto"",""en"")"),"Italian mayor apologized insulted China")</f>
        <v>Italian mayor apologized insulted China</v>
      </c>
      <c r="D3899" s="4" t="s">
        <v>5756</v>
      </c>
      <c r="E3899" s="4">
        <v>0.0</v>
      </c>
      <c r="F3899" s="4">
        <v>48.0</v>
      </c>
      <c r="G3899" s="4" t="s">
        <v>5757</v>
      </c>
    </row>
    <row r="3900">
      <c r="A3900" s="1">
        <v>3898.0</v>
      </c>
      <c r="B3900" s="4" t="s">
        <v>5808</v>
      </c>
      <c r="C3900" s="5" t="str">
        <f>IFERROR(__xludf.DUMMYFUNCTION("GOOGLETRANSLATE(D:D,""auto"",""en"")"),"Chinese mask replenishment to the world")</f>
        <v>Chinese mask replenishment to the world</v>
      </c>
      <c r="D3900" s="4" t="s">
        <v>5802</v>
      </c>
      <c r="E3900" s="4">
        <v>0.0</v>
      </c>
      <c r="F3900" s="4">
        <v>49.0</v>
      </c>
      <c r="G3900" s="4" t="s">
        <v>5803</v>
      </c>
    </row>
    <row r="3901">
      <c r="A3901" s="1">
        <v>3899.0</v>
      </c>
      <c r="B3901" s="4" t="s">
        <v>5808</v>
      </c>
      <c r="C3901" s="5" t="str">
        <f>IFERROR(__xludf.DUMMYFUNCTION("GOOGLETRANSLATE(D:D,""auto"",""en"")"),"Men diagnosed induced isolation thousands")</f>
        <v>Men diagnosed induced isolation thousands</v>
      </c>
      <c r="D3901" s="4" t="s">
        <v>5879</v>
      </c>
      <c r="E3901" s="4">
        <v>0.0</v>
      </c>
      <c r="F3901" s="4">
        <v>50.0</v>
      </c>
      <c r="G3901" s="4" t="s">
        <v>5880</v>
      </c>
    </row>
    <row r="3902">
      <c r="A3902" s="1">
        <v>3900.0</v>
      </c>
      <c r="B3902" s="4" t="s">
        <v>5881</v>
      </c>
      <c r="C3902" s="5" t="str">
        <f>IFERROR(__xludf.DUMMYFUNCTION("GOOGLETRANSLATE(D:D,""auto"",""en"")"),"Beijing Pinggu hill fires")</f>
        <v>Beijing Pinggu hill fires</v>
      </c>
      <c r="D3902" s="4" t="s">
        <v>5882</v>
      </c>
      <c r="E3902" s="4">
        <v>0.0</v>
      </c>
      <c r="F3902" s="4">
        <v>1.0</v>
      </c>
      <c r="G3902" s="4" t="s">
        <v>5883</v>
      </c>
    </row>
    <row r="3903">
      <c r="A3903" s="1">
        <v>3901.0</v>
      </c>
      <c r="B3903" s="4" t="s">
        <v>5881</v>
      </c>
      <c r="C3903" s="5" t="str">
        <f>IFERROR(__xludf.DUMMYFUNCTION("GOOGLETRANSLATE(D:D,""auto"",""en"")"),"NYSE trading floor is closed")</f>
        <v>NYSE trading floor is closed</v>
      </c>
      <c r="D3903" s="4" t="s">
        <v>5884</v>
      </c>
      <c r="E3903" s="4">
        <v>0.0</v>
      </c>
      <c r="F3903" s="4">
        <v>2.0</v>
      </c>
      <c r="G3903" s="4" t="s">
        <v>5885</v>
      </c>
    </row>
    <row r="3904">
      <c r="A3904" s="1">
        <v>3902.0</v>
      </c>
      <c r="B3904" s="4" t="s">
        <v>5881</v>
      </c>
      <c r="C3904" s="5" t="str">
        <f>IFERROR(__xludf.DUMMYFUNCTION("GOOGLETRANSLATE(D:D,""auto"",""en"")"),"Isolation hospital refused to return home row")</f>
        <v>Isolation hospital refused to return home row</v>
      </c>
      <c r="D3904" s="4" t="s">
        <v>5886</v>
      </c>
      <c r="E3904" s="4">
        <v>0.0</v>
      </c>
      <c r="F3904" s="4">
        <v>3.0</v>
      </c>
      <c r="G3904" s="4" t="s">
        <v>5887</v>
      </c>
    </row>
    <row r="3905">
      <c r="A3905" s="1">
        <v>3903.0</v>
      </c>
      <c r="B3905" s="4" t="s">
        <v>5881</v>
      </c>
      <c r="C3905" s="5" t="str">
        <f>IFERROR(__xludf.DUMMYFUNCTION("GOOGLETRANSLATE(D:D,""auto"",""en"")"),"More sudden fire Jingjinji")</f>
        <v>More sudden fire Jingjinji</v>
      </c>
      <c r="D3905" s="4" t="s">
        <v>5888</v>
      </c>
      <c r="E3905" s="4">
        <v>0.0</v>
      </c>
      <c r="F3905" s="4">
        <v>4.0</v>
      </c>
      <c r="G3905" s="4" t="s">
        <v>5889</v>
      </c>
    </row>
    <row r="3906">
      <c r="A3906" s="1">
        <v>3904.0</v>
      </c>
      <c r="B3906" s="4" t="s">
        <v>5881</v>
      </c>
      <c r="C3906" s="5" t="str">
        <f>IFERROR(__xludf.DUMMYFUNCTION("GOOGLETRANSLATE(D:D,""auto"",""en"")"),"US stocks fifth blown")</f>
        <v>US stocks fifth blown</v>
      </c>
      <c r="D3906" s="4" t="s">
        <v>5890</v>
      </c>
      <c r="E3906" s="4">
        <v>0.0</v>
      </c>
      <c r="F3906" s="4">
        <v>5.0</v>
      </c>
      <c r="G3906" s="4" t="s">
        <v>5891</v>
      </c>
    </row>
    <row r="3907">
      <c r="A3907" s="1">
        <v>3905.0</v>
      </c>
      <c r="B3907" s="4" t="s">
        <v>5881</v>
      </c>
      <c r="C3907" s="5" t="str">
        <f>IFERROR(__xludf.DUMMYFUNCTION("GOOGLETRANSLATE(D:D,""auto"",""en"")"),"High Yunxiang sentencing")</f>
        <v>High Yunxiang sentencing</v>
      </c>
      <c r="D3907" s="4" t="s">
        <v>5892</v>
      </c>
      <c r="E3907" s="4">
        <v>0.0</v>
      </c>
      <c r="F3907" s="4">
        <v>6.0</v>
      </c>
      <c r="G3907" s="4" t="s">
        <v>5893</v>
      </c>
    </row>
    <row r="3908">
      <c r="A3908" s="1">
        <v>3906.0</v>
      </c>
      <c r="B3908" s="4" t="s">
        <v>5881</v>
      </c>
      <c r="C3908" s="5" t="str">
        <f>IFERROR(__xludf.DUMMYFUNCTION("GOOGLETRANSLATE(D:D,""auto"",""en"")"),"China is now a large field in Bohai")</f>
        <v>China is now a large field in Bohai</v>
      </c>
      <c r="D3908" s="4" t="s">
        <v>5894</v>
      </c>
      <c r="E3908" s="4">
        <v>0.0</v>
      </c>
      <c r="F3908" s="4">
        <v>7.0</v>
      </c>
      <c r="G3908" s="4" t="s">
        <v>5895</v>
      </c>
    </row>
    <row r="3909">
      <c r="A3909" s="1">
        <v>3907.0</v>
      </c>
      <c r="B3909" s="4" t="s">
        <v>5881</v>
      </c>
      <c r="C3909" s="5" t="str">
        <f>IFERROR(__xludf.DUMMYFUNCTION("GOOGLETRANSLATE(D:D,""auto"",""en"")"),"Zhong Nanshan talk about drug treatment of pneumonia")</f>
        <v>Zhong Nanshan talk about drug treatment of pneumonia</v>
      </c>
      <c r="D3909" s="4" t="s">
        <v>5823</v>
      </c>
      <c r="E3909" s="4">
        <v>0.0</v>
      </c>
      <c r="F3909" s="4">
        <v>8.0</v>
      </c>
      <c r="G3909" s="4" t="s">
        <v>5824</v>
      </c>
    </row>
    <row r="3910">
      <c r="A3910" s="1">
        <v>3908.0</v>
      </c>
      <c r="B3910" s="4" t="s">
        <v>5881</v>
      </c>
      <c r="C3910" s="5" t="str">
        <f>IFERROR(__xludf.DUMMYFUNCTION("GOOGLETRANSLATE(D:D,""auto"",""en"")"),"Hillary commentary Trump")</f>
        <v>Hillary commentary Trump</v>
      </c>
      <c r="D3910" s="4" t="s">
        <v>5896</v>
      </c>
      <c r="E3910" s="4">
        <v>0.0</v>
      </c>
      <c r="F3910" s="4">
        <v>9.0</v>
      </c>
      <c r="G3910" s="4" t="s">
        <v>5897</v>
      </c>
    </row>
    <row r="3911">
      <c r="A3911" s="1">
        <v>3909.0</v>
      </c>
      <c r="B3911" s="4" t="s">
        <v>5881</v>
      </c>
      <c r="C3911" s="5" t="str">
        <f>IFERROR(__xludf.DUMMYFUNCTION("GOOGLETRANSLATE(D:D,""auto"",""en"")"),"On the official opening does not wear a mask")</f>
        <v>On the official opening does not wear a mask</v>
      </c>
      <c r="D3911" s="4" t="s">
        <v>5898</v>
      </c>
      <c r="E3911" s="4">
        <v>0.0</v>
      </c>
      <c r="F3911" s="4">
        <v>10.0</v>
      </c>
      <c r="G3911" s="4" t="s">
        <v>5899</v>
      </c>
    </row>
    <row r="3912">
      <c r="A3912" s="1">
        <v>3910.0</v>
      </c>
      <c r="B3912" s="4" t="s">
        <v>5881</v>
      </c>
      <c r="C3912" s="5" t="str">
        <f>IFERROR(__xludf.DUMMYFUNCTION("GOOGLETRANSLATE(D:D,""auto"",""en"")"),"Women police tear passes kick")</f>
        <v>Women police tear passes kick</v>
      </c>
      <c r="D3912" s="4" t="s">
        <v>5900</v>
      </c>
      <c r="E3912" s="4">
        <v>0.0</v>
      </c>
      <c r="F3912" s="4">
        <v>11.0</v>
      </c>
      <c r="G3912" s="4" t="s">
        <v>5901</v>
      </c>
    </row>
    <row r="3913">
      <c r="A3913" s="1">
        <v>3911.0</v>
      </c>
      <c r="B3913" s="4" t="s">
        <v>5881</v>
      </c>
      <c r="C3913" s="5" t="str">
        <f>IFERROR(__xludf.DUMMYFUNCTION("GOOGLETRANSLATE(D:D,""auto"",""en"")"),"Italian military vehicles transported the remains of tune")</f>
        <v>Italian military vehicles transported the remains of tune</v>
      </c>
      <c r="D3913" s="4" t="s">
        <v>5902</v>
      </c>
      <c r="E3913" s="4">
        <v>0.0</v>
      </c>
      <c r="F3913" s="4">
        <v>12.0</v>
      </c>
      <c r="G3913" s="4" t="s">
        <v>5903</v>
      </c>
    </row>
    <row r="3914">
      <c r="A3914" s="1">
        <v>3912.0</v>
      </c>
      <c r="B3914" s="4" t="s">
        <v>5881</v>
      </c>
      <c r="C3914" s="5" t="str">
        <f>IFERROR(__xludf.DUMMYFUNCTION("GOOGLETRANSLATE(D:D,""auto"",""en"")"),"Li Wenliang survey results")</f>
        <v>Li Wenliang survey results</v>
      </c>
      <c r="D3914" s="4" t="s">
        <v>5904</v>
      </c>
      <c r="E3914" s="4">
        <v>0.0</v>
      </c>
      <c r="F3914" s="4">
        <v>13.0</v>
      </c>
      <c r="G3914" s="4" t="s">
        <v>5905</v>
      </c>
    </row>
    <row r="3915">
      <c r="A3915" s="1">
        <v>3913.0</v>
      </c>
      <c r="B3915" s="4" t="s">
        <v>5881</v>
      </c>
      <c r="C3915" s="5" t="str">
        <f>IFERROR(__xludf.DUMMYFUNCTION("GOOGLETRANSLATE(D:D,""auto"",""en"")"),"Many provinces definite start dates")</f>
        <v>Many provinces definite start dates</v>
      </c>
      <c r="D3915" s="4" t="s">
        <v>5906</v>
      </c>
      <c r="E3915" s="4">
        <v>0.0</v>
      </c>
      <c r="F3915" s="4">
        <v>14.0</v>
      </c>
      <c r="G3915" s="4" t="s">
        <v>5907</v>
      </c>
    </row>
    <row r="3916">
      <c r="A3916" s="1">
        <v>3914.0</v>
      </c>
      <c r="B3916" s="4" t="s">
        <v>5881</v>
      </c>
      <c r="C3916" s="5" t="str">
        <f>IFERROR(__xludf.DUMMYFUNCTION("GOOGLETRANSLATE(D:D,""auto"",""en"")"),"Apple releases new products")</f>
        <v>Apple releases new products</v>
      </c>
      <c r="D3916" s="4" t="s">
        <v>5908</v>
      </c>
      <c r="E3916" s="4">
        <v>0.0</v>
      </c>
      <c r="F3916" s="4">
        <v>15.0</v>
      </c>
      <c r="G3916" s="4" t="s">
        <v>5909</v>
      </c>
    </row>
    <row r="3917">
      <c r="A3917" s="1">
        <v>3915.0</v>
      </c>
      <c r="B3917" s="4" t="s">
        <v>5881</v>
      </c>
      <c r="C3917" s="5" t="str">
        <f>IFERROR(__xludf.DUMMYFUNCTION("GOOGLETRANSLATE(D:D,""auto"",""en"")"),"Beijing Yanqing forest fire")</f>
        <v>Beijing Yanqing forest fire</v>
      </c>
      <c r="D3917" s="4" t="s">
        <v>5851</v>
      </c>
      <c r="E3917" s="4">
        <v>0.0</v>
      </c>
      <c r="F3917" s="4">
        <v>16.0</v>
      </c>
      <c r="G3917" s="4" t="s">
        <v>5852</v>
      </c>
    </row>
    <row r="3918">
      <c r="A3918" s="1">
        <v>3916.0</v>
      </c>
      <c r="B3918" s="4" t="s">
        <v>5881</v>
      </c>
      <c r="C3918" s="5" t="str">
        <f>IFERROR(__xludf.DUMMYFUNCTION("GOOGLETRANSLATE(D:D,""auto"",""en"")"),"Anhui will be unsealed management")</f>
        <v>Anhui will be unsealed management</v>
      </c>
      <c r="D3918" s="4" t="s">
        <v>5910</v>
      </c>
      <c r="E3918" s="4">
        <v>0.0</v>
      </c>
      <c r="F3918" s="4">
        <v>17.0</v>
      </c>
      <c r="G3918" s="4" t="s">
        <v>5911</v>
      </c>
    </row>
    <row r="3919">
      <c r="A3919" s="1">
        <v>3917.0</v>
      </c>
      <c r="B3919" s="4" t="s">
        <v>5881</v>
      </c>
      <c r="C3919" s="5" t="str">
        <f>IFERROR(__xludf.DUMMYFUNCTION("GOOGLETRANSLATE(D:D,""auto"",""en"")"),"Beijing gale struck")</f>
        <v>Beijing gale struck</v>
      </c>
      <c r="D3919" s="4" t="s">
        <v>5845</v>
      </c>
      <c r="E3919" s="4">
        <v>0.0</v>
      </c>
      <c r="F3919" s="4">
        <v>18.0</v>
      </c>
      <c r="G3919" s="4" t="s">
        <v>5846</v>
      </c>
    </row>
    <row r="3920">
      <c r="A3920" s="1">
        <v>3918.0</v>
      </c>
      <c r="B3920" s="4" t="s">
        <v>5881</v>
      </c>
      <c r="C3920" s="5" t="str">
        <f>IFERROR(__xludf.DUMMYFUNCTION("GOOGLETRANSLATE(D:D,""auto"",""en"")"),"The police informed the Donghuamen events")</f>
        <v>The police informed the Donghuamen events</v>
      </c>
      <c r="D3920" s="4" t="s">
        <v>5912</v>
      </c>
      <c r="E3920" s="4">
        <v>0.0</v>
      </c>
      <c r="F3920" s="4">
        <v>19.0</v>
      </c>
      <c r="G3920" s="4" t="s">
        <v>5913</v>
      </c>
    </row>
    <row r="3921">
      <c r="A3921" s="1">
        <v>3919.0</v>
      </c>
      <c r="B3921" s="4" t="s">
        <v>5881</v>
      </c>
      <c r="C3921" s="5" t="str">
        <f>IFERROR(__xludf.DUMMYFUNCTION("GOOGLETRANSLATE(D:D,""auto"",""en"")"),"Aunt epidemic of groups abroad")</f>
        <v>Aunt epidemic of groups abroad</v>
      </c>
      <c r="D3921" s="4" t="s">
        <v>5914</v>
      </c>
      <c r="E3921" s="4">
        <v>0.0</v>
      </c>
      <c r="F3921" s="4">
        <v>20.0</v>
      </c>
      <c r="G3921" s="4" t="s">
        <v>5915</v>
      </c>
    </row>
    <row r="3922">
      <c r="A3922" s="1">
        <v>3920.0</v>
      </c>
      <c r="B3922" s="4" t="s">
        <v>5881</v>
      </c>
      <c r="C3922" s="5" t="str">
        <f>IFERROR(__xludf.DUMMYFUNCTION("GOOGLETRANSLATE(D:D,""auto"",""en"")"),"Wang Yi Sends Message of Condolences to Denmark")</f>
        <v>Wang Yi Sends Message of Condolences to Denmark</v>
      </c>
      <c r="D3922" s="4" t="s">
        <v>5916</v>
      </c>
      <c r="E3922" s="4">
        <v>0.0</v>
      </c>
      <c r="F3922" s="4">
        <v>21.0</v>
      </c>
      <c r="G3922" s="4" t="s">
        <v>5917</v>
      </c>
    </row>
    <row r="3923">
      <c r="A3923" s="1">
        <v>3921.0</v>
      </c>
      <c r="B3923" s="4" t="s">
        <v>5881</v>
      </c>
      <c r="C3923" s="5" t="str">
        <f>IFERROR(__xludf.DUMMYFUNCTION("GOOGLETRANSLATE(D:D,""auto"",""en"")"),"Vanessa Bryant modify Fund")</f>
        <v>Vanessa Bryant modify Fund</v>
      </c>
      <c r="D3923" s="4" t="s">
        <v>5918</v>
      </c>
      <c r="E3923" s="4">
        <v>0.0</v>
      </c>
      <c r="F3923" s="4">
        <v>22.0</v>
      </c>
      <c r="G3923" s="4" t="s">
        <v>5919</v>
      </c>
    </row>
    <row r="3924">
      <c r="A3924" s="1">
        <v>3922.0</v>
      </c>
      <c r="B3924" s="4" t="s">
        <v>5881</v>
      </c>
      <c r="C3924" s="5" t="str">
        <f>IFERROR(__xludf.DUMMYFUNCTION("GOOGLETRANSLATE(D:D,""auto"",""en"")"),"Henan adjust Emergency Response")</f>
        <v>Henan adjust Emergency Response</v>
      </c>
      <c r="D3924" s="4" t="s">
        <v>5867</v>
      </c>
      <c r="E3924" s="4">
        <v>0.0</v>
      </c>
      <c r="F3924" s="4">
        <v>23.0</v>
      </c>
      <c r="G3924" s="4" t="s">
        <v>5868</v>
      </c>
    </row>
    <row r="3925">
      <c r="A3925" s="1">
        <v>3923.0</v>
      </c>
      <c r="B3925" s="4" t="s">
        <v>5881</v>
      </c>
      <c r="C3925" s="5" t="str">
        <f>IFERROR(__xludf.DUMMYFUNCTION("GOOGLETRANSLATE(D:D,""auto"",""en"")"),"Xu Jiao exposure in the case of the United States")</f>
        <v>Xu Jiao exposure in the case of the United States</v>
      </c>
      <c r="D3925" s="4" t="s">
        <v>5920</v>
      </c>
      <c r="E3925" s="4">
        <v>0.0</v>
      </c>
      <c r="F3925" s="4">
        <v>24.0</v>
      </c>
      <c r="G3925" s="4" t="s">
        <v>5921</v>
      </c>
    </row>
    <row r="3926">
      <c r="A3926" s="1">
        <v>3924.0</v>
      </c>
      <c r="B3926" s="4" t="s">
        <v>5881</v>
      </c>
      <c r="C3926" s="5" t="str">
        <f>IFERROR(__xludf.DUMMYFUNCTION("GOOGLETRANSLATE(D:D,""auto"",""en"")"),"Tu Lei domineering sun nationality")</f>
        <v>Tu Lei domineering sun nationality</v>
      </c>
      <c r="D3926" s="4" t="s">
        <v>5922</v>
      </c>
      <c r="E3926" s="4">
        <v>0.0</v>
      </c>
      <c r="F3926" s="4">
        <v>25.0</v>
      </c>
      <c r="G3926" s="4" t="s">
        <v>5923</v>
      </c>
    </row>
    <row r="3927">
      <c r="A3927" s="1">
        <v>3925.0</v>
      </c>
      <c r="B3927" s="4" t="s">
        <v>5881</v>
      </c>
      <c r="C3927" s="5" t="str">
        <f>IFERROR(__xludf.DUMMYFUNCTION("GOOGLETRANSLATE(D:D,""auto"",""en"")"),"Qingdao Laoshan hill fires")</f>
        <v>Qingdao Laoshan hill fires</v>
      </c>
      <c r="D3927" s="4" t="s">
        <v>5924</v>
      </c>
      <c r="E3927" s="4">
        <v>0.0</v>
      </c>
      <c r="F3927" s="4">
        <v>26.0</v>
      </c>
      <c r="G3927" s="4" t="s">
        <v>5925</v>
      </c>
    </row>
    <row r="3928">
      <c r="A3928" s="1">
        <v>3926.0</v>
      </c>
      <c r="B3928" s="4" t="s">
        <v>5881</v>
      </c>
      <c r="C3928" s="5" t="str">
        <f>IFERROR(__xludf.DUMMYFUNCTION("GOOGLETRANSLATE(D:D,""auto"",""en"")"),"Australian-run women required to leave")</f>
        <v>Australian-run women required to leave</v>
      </c>
      <c r="D3928" s="4" t="s">
        <v>5926</v>
      </c>
      <c r="E3928" s="4">
        <v>0.0</v>
      </c>
      <c r="F3928" s="4">
        <v>27.0</v>
      </c>
      <c r="G3928" s="4" t="s">
        <v>5927</v>
      </c>
    </row>
    <row r="3929">
      <c r="A3929" s="1">
        <v>3927.0</v>
      </c>
      <c r="B3929" s="4" t="s">
        <v>5881</v>
      </c>
      <c r="C3929" s="5" t="str">
        <f>IFERROR(__xludf.DUMMYFUNCTION("GOOGLETRANSLATE(D:D,""auto"",""en"")"),"Zhong Nanshan children send gifts")</f>
        <v>Zhong Nanshan children send gifts</v>
      </c>
      <c r="D3929" s="4" t="s">
        <v>5865</v>
      </c>
      <c r="E3929" s="4">
        <v>0.0</v>
      </c>
      <c r="F3929" s="4">
        <v>28.0</v>
      </c>
      <c r="G3929" s="4" t="s">
        <v>5866</v>
      </c>
    </row>
    <row r="3930">
      <c r="A3930" s="1">
        <v>3928.0</v>
      </c>
      <c r="B3930" s="4" t="s">
        <v>5881</v>
      </c>
      <c r="C3930" s="5" t="str">
        <f>IFERROR(__xludf.DUMMYFUNCTION("GOOGLETRANSLATE(D:D,""auto"",""en"")"),"Zhong Nanshan talk about the source of the virus")</f>
        <v>Zhong Nanshan talk about the source of the virus</v>
      </c>
      <c r="D3930" s="4" t="s">
        <v>5863</v>
      </c>
      <c r="E3930" s="4">
        <v>0.0</v>
      </c>
      <c r="F3930" s="4">
        <v>29.0</v>
      </c>
      <c r="G3930" s="4" t="s">
        <v>5864</v>
      </c>
    </row>
    <row r="3931">
      <c r="A3931" s="1">
        <v>3929.0</v>
      </c>
      <c r="B3931" s="4" t="s">
        <v>5881</v>
      </c>
      <c r="C3931" s="5" t="str">
        <f>IFERROR(__xludf.DUMMYFUNCTION("GOOGLETRANSLATE(D:D,""auto"",""en"")"),"China's first vaccine trials")</f>
        <v>China's first vaccine trials</v>
      </c>
      <c r="D3931" s="4" t="s">
        <v>5928</v>
      </c>
      <c r="E3931" s="4">
        <v>0.0</v>
      </c>
      <c r="F3931" s="4">
        <v>30.0</v>
      </c>
      <c r="G3931" s="4" t="s">
        <v>5929</v>
      </c>
    </row>
    <row r="3932">
      <c r="A3932" s="1">
        <v>3930.0</v>
      </c>
      <c r="B3932" s="4" t="s">
        <v>5881</v>
      </c>
      <c r="C3932" s="5" t="str">
        <f>IFERROR(__xludf.DUMMYFUNCTION("GOOGLETRANSLATE(D:D,""auto"",""en"")"),"National new cases of 34 cases")</f>
        <v>National new cases of 34 cases</v>
      </c>
      <c r="D3932" s="4" t="s">
        <v>5930</v>
      </c>
      <c r="E3932" s="4">
        <v>0.0</v>
      </c>
      <c r="F3932" s="4">
        <v>31.0</v>
      </c>
      <c r="G3932" s="4" t="s">
        <v>5931</v>
      </c>
    </row>
    <row r="3933">
      <c r="A3933" s="1">
        <v>3931.0</v>
      </c>
      <c r="B3933" s="4" t="s">
        <v>5881</v>
      </c>
      <c r="C3933" s="5" t="str">
        <f>IFERROR(__xludf.DUMMYFUNCTION("GOOGLETRANSLATE(D:D,""auto"",""en"")"),"US lawmakers confirmed")</f>
        <v>US lawmakers confirmed</v>
      </c>
      <c r="D3933" s="4" t="s">
        <v>5932</v>
      </c>
      <c r="E3933" s="4">
        <v>0.0</v>
      </c>
      <c r="F3933" s="4">
        <v>32.0</v>
      </c>
      <c r="G3933" s="4" t="s">
        <v>5933</v>
      </c>
    </row>
    <row r="3934">
      <c r="A3934" s="1">
        <v>3932.0</v>
      </c>
      <c r="B3934" s="4" t="s">
        <v>5881</v>
      </c>
      <c r="C3934" s="5" t="str">
        <f>IFERROR(__xludf.DUMMYFUNCTION("GOOGLETRANSLATE(D:D,""auto"",""en"")"),"The United States intended to take the detection swabs from transport")</f>
        <v>The United States intended to take the detection swabs from transport</v>
      </c>
      <c r="D3934" s="4" t="s">
        <v>5934</v>
      </c>
      <c r="E3934" s="4">
        <v>0.0</v>
      </c>
      <c r="F3934" s="4">
        <v>33.0</v>
      </c>
      <c r="G3934" s="4" t="s">
        <v>5935</v>
      </c>
    </row>
    <row r="3935">
      <c r="A3935" s="1">
        <v>3933.0</v>
      </c>
      <c r="B3935" s="4" t="s">
        <v>5881</v>
      </c>
      <c r="C3935" s="5" t="str">
        <f>IFERROR(__xludf.DUMMYFUNCTION("GOOGLETRANSLATE(D:D,""auto"",""en"")"),"White House a person in charge to resign")</f>
        <v>White House a person in charge to resign</v>
      </c>
      <c r="D3935" s="4" t="s">
        <v>5936</v>
      </c>
      <c r="E3935" s="4">
        <v>0.0</v>
      </c>
      <c r="F3935" s="4">
        <v>34.0</v>
      </c>
      <c r="G3935" s="4" t="s">
        <v>5937</v>
      </c>
    </row>
    <row r="3936">
      <c r="A3936" s="1">
        <v>3934.0</v>
      </c>
      <c r="B3936" s="4" t="s">
        <v>5881</v>
      </c>
      <c r="C3936" s="5" t="str">
        <f>IFERROR(__xludf.DUMMYFUNCTION("GOOGLETRANSLATE(D:D,""auto"",""en"")"),"Korea epidemic continues to rebound")</f>
        <v>Korea epidemic continues to rebound</v>
      </c>
      <c r="D3936" s="4" t="s">
        <v>5938</v>
      </c>
      <c r="E3936" s="4">
        <v>0.0</v>
      </c>
      <c r="F3936" s="4">
        <v>35.0</v>
      </c>
      <c r="G3936" s="4" t="s">
        <v>5939</v>
      </c>
    </row>
    <row r="3937">
      <c r="A3937" s="1">
        <v>3935.0</v>
      </c>
      <c r="B3937" s="4" t="s">
        <v>5881</v>
      </c>
      <c r="C3937" s="5" t="str">
        <f>IFERROR(__xludf.DUMMYFUNCTION("GOOGLETRANSLATE(D:D,""auto"",""en"")"),"Hebei 2 conceals living history")</f>
        <v>Hebei 2 conceals living history</v>
      </c>
      <c r="D3937" s="4" t="s">
        <v>5940</v>
      </c>
      <c r="E3937" s="4">
        <v>0.0</v>
      </c>
      <c r="F3937" s="4">
        <v>36.0</v>
      </c>
      <c r="G3937" s="4" t="s">
        <v>5941</v>
      </c>
    </row>
    <row r="3938">
      <c r="A3938" s="1">
        <v>3936.0</v>
      </c>
      <c r="B3938" s="4" t="s">
        <v>5881</v>
      </c>
      <c r="C3938" s="5" t="str">
        <f>IFERROR(__xludf.DUMMYFUNCTION("GOOGLETRANSLATE(D:D,""auto"",""en"")"),"Zhong Nanshan talk about collective immunity")</f>
        <v>Zhong Nanshan talk about collective immunity</v>
      </c>
      <c r="D3938" s="4" t="s">
        <v>5819</v>
      </c>
      <c r="E3938" s="4">
        <v>0.0</v>
      </c>
      <c r="F3938" s="4">
        <v>37.0</v>
      </c>
      <c r="G3938" s="4" t="s">
        <v>5820</v>
      </c>
    </row>
    <row r="3939">
      <c r="A3939" s="1">
        <v>3937.0</v>
      </c>
      <c r="B3939" s="4" t="s">
        <v>5881</v>
      </c>
      <c r="C3939" s="5" t="str">
        <f>IFERROR(__xludf.DUMMYFUNCTION("GOOGLETRANSLATE(D:D,""auto"",""en"")"),"Jinan Ying windy weather")</f>
        <v>Jinan Ying windy weather</v>
      </c>
      <c r="D3939" s="4" t="s">
        <v>5942</v>
      </c>
      <c r="E3939" s="4">
        <v>0.0</v>
      </c>
      <c r="F3939" s="4">
        <v>38.0</v>
      </c>
      <c r="G3939" s="4" t="s">
        <v>5943</v>
      </c>
    </row>
    <row r="3940">
      <c r="A3940" s="1">
        <v>3938.0</v>
      </c>
      <c r="B3940" s="4" t="s">
        <v>5881</v>
      </c>
      <c r="C3940" s="5" t="str">
        <f>IFERROR(__xludf.DUMMYFUNCTION("GOOGLETRANSLATE(D:D,""auto"",""en"")"),"WHO's response to China virus")</f>
        <v>WHO's response to China virus</v>
      </c>
      <c r="D3940" s="4" t="s">
        <v>5944</v>
      </c>
      <c r="E3940" s="4">
        <v>0.0</v>
      </c>
      <c r="F3940" s="4">
        <v>39.0</v>
      </c>
      <c r="G3940" s="4" t="s">
        <v>5945</v>
      </c>
    </row>
    <row r="3941">
      <c r="A3941" s="1">
        <v>3939.0</v>
      </c>
      <c r="B3941" s="4" t="s">
        <v>5881</v>
      </c>
      <c r="C3941" s="5" t="str">
        <f>IFERROR(__xludf.DUMMYFUNCTION("GOOGLETRANSLATE(D:D,""auto"",""en"")"),"Ma Ying-most courteous donation")</f>
        <v>Ma Ying-most courteous donation</v>
      </c>
      <c r="D3941" s="4" t="s">
        <v>5946</v>
      </c>
      <c r="E3941" s="4">
        <v>0.0</v>
      </c>
      <c r="F3941" s="4">
        <v>40.0</v>
      </c>
      <c r="G3941" s="4" t="s">
        <v>5947</v>
      </c>
    </row>
    <row r="3942">
      <c r="A3942" s="1">
        <v>3940.0</v>
      </c>
      <c r="B3942" s="4" t="s">
        <v>5881</v>
      </c>
      <c r="C3942" s="5" t="str">
        <f>IFERROR(__xludf.DUMMYFUNCTION("GOOGLETRANSLATE(D:D,""auto"",""en"")"),"Zhu Dan coming out one airport")</f>
        <v>Zhu Dan coming out one airport</v>
      </c>
      <c r="D3942" s="4" t="s">
        <v>5948</v>
      </c>
      <c r="E3942" s="4">
        <v>0.0</v>
      </c>
      <c r="F3942" s="4">
        <v>41.0</v>
      </c>
      <c r="G3942" s="4" t="s">
        <v>5949</v>
      </c>
    </row>
    <row r="3943">
      <c r="A3943" s="1">
        <v>3941.0</v>
      </c>
      <c r="B3943" s="4" t="s">
        <v>5881</v>
      </c>
      <c r="C3943" s="5" t="str">
        <f>IFERROR(__xludf.DUMMYFUNCTION("GOOGLETRANSLATE(D:D,""auto"",""en"")"),"Trump claiming to be a war president")</f>
        <v>Trump claiming to be a war president</v>
      </c>
      <c r="D3943" s="4" t="s">
        <v>5950</v>
      </c>
      <c r="E3943" s="4">
        <v>0.0</v>
      </c>
      <c r="F3943" s="4">
        <v>42.0</v>
      </c>
      <c r="G3943" s="4" t="s">
        <v>5951</v>
      </c>
    </row>
    <row r="3944">
      <c r="A3944" s="1">
        <v>3942.0</v>
      </c>
      <c r="B3944" s="4" t="s">
        <v>5881</v>
      </c>
      <c r="C3944" s="5" t="str">
        <f>IFERROR(__xludf.DUMMYFUNCTION("GOOGLETRANSLATE(D:D,""auto"",""en"")"),"The United States there were many incidents in the prison infection")</f>
        <v>The United States there were many incidents in the prison infection</v>
      </c>
      <c r="D3944" s="4" t="s">
        <v>5952</v>
      </c>
      <c r="E3944" s="4">
        <v>0.0</v>
      </c>
      <c r="F3944" s="4">
        <v>43.0</v>
      </c>
      <c r="G3944" s="4" t="s">
        <v>5953</v>
      </c>
    </row>
    <row r="3945">
      <c r="A3945" s="1">
        <v>3943.0</v>
      </c>
      <c r="B3945" s="4" t="s">
        <v>5881</v>
      </c>
      <c r="C3945" s="5" t="str">
        <f>IFERROR(__xludf.DUMMYFUNCTION("GOOGLETRANSLATE(D:D,""auto"",""en"")"),"Wuhan double zero does not mean the end")</f>
        <v>Wuhan double zero does not mean the end</v>
      </c>
      <c r="D3945" s="4" t="s">
        <v>5954</v>
      </c>
      <c r="E3945" s="4">
        <v>0.0</v>
      </c>
      <c r="F3945" s="4">
        <v>44.0</v>
      </c>
      <c r="G3945" s="4" t="s">
        <v>5955</v>
      </c>
    </row>
    <row r="3946">
      <c r="A3946" s="1">
        <v>3944.0</v>
      </c>
      <c r="B3946" s="4" t="s">
        <v>5881</v>
      </c>
      <c r="C3946" s="5" t="str">
        <f>IFERROR(__xludf.DUMMYFUNCTION("GOOGLETRANSLATE(D:D,""auto"",""en"")"),"Guangxi start dates determined")</f>
        <v>Guangxi start dates determined</v>
      </c>
      <c r="D3946" s="4" t="s">
        <v>5956</v>
      </c>
      <c r="E3946" s="4">
        <v>0.0</v>
      </c>
      <c r="F3946" s="4">
        <v>45.0</v>
      </c>
      <c r="G3946" s="4" t="s">
        <v>5957</v>
      </c>
    </row>
    <row r="3947">
      <c r="A3947" s="1">
        <v>3945.0</v>
      </c>
      <c r="B3947" s="4" t="s">
        <v>5881</v>
      </c>
      <c r="C3947" s="5" t="str">
        <f>IFERROR(__xludf.DUMMYFUNCTION("GOOGLETRANSLATE(D:D,""auto"",""en"")"),"South Korean helicopter crash")</f>
        <v>South Korean helicopter crash</v>
      </c>
      <c r="D3947" s="4" t="s">
        <v>5958</v>
      </c>
      <c r="E3947" s="4">
        <v>0.0</v>
      </c>
      <c r="F3947" s="4">
        <v>46.0</v>
      </c>
      <c r="G3947" s="4" t="s">
        <v>5959</v>
      </c>
    </row>
    <row r="3948">
      <c r="A3948" s="1">
        <v>3946.0</v>
      </c>
      <c r="B3948" s="4" t="s">
        <v>5881</v>
      </c>
      <c r="C3948" s="5" t="str">
        <f>IFERROR(__xludf.DUMMYFUNCTION("GOOGLETRANSLATE(D:D,""auto"",""en"")"),"Winner film")</f>
        <v>Winner film</v>
      </c>
      <c r="D3948" s="4" t="s">
        <v>5960</v>
      </c>
      <c r="E3948" s="4">
        <v>0.0</v>
      </c>
      <c r="F3948" s="4">
        <v>47.0</v>
      </c>
      <c r="G3948" s="4" t="s">
        <v>5961</v>
      </c>
    </row>
    <row r="3949">
      <c r="A3949" s="1">
        <v>3947.0</v>
      </c>
      <c r="B3949" s="4" t="s">
        <v>5881</v>
      </c>
      <c r="C3949" s="5" t="str">
        <f>IFERROR(__xludf.DUMMYFUNCTION("GOOGLETRANSLATE(D:D,""auto"",""en"")"),"11 countries worldwide have sealed the country")</f>
        <v>11 countries worldwide have sealed the country</v>
      </c>
      <c r="D3949" s="4" t="s">
        <v>5962</v>
      </c>
      <c r="E3949" s="4">
        <v>0.0</v>
      </c>
      <c r="F3949" s="4">
        <v>48.0</v>
      </c>
      <c r="G3949" s="4" t="s">
        <v>5963</v>
      </c>
    </row>
    <row r="3950">
      <c r="A3950" s="1">
        <v>3948.0</v>
      </c>
      <c r="B3950" s="4" t="s">
        <v>5881</v>
      </c>
      <c r="C3950" s="5" t="str">
        <f>IFERROR(__xludf.DUMMYFUNCTION("GOOGLETRANSLATE(D:D,""auto"",""en"")"),"Zhong Nanshan called for national action")</f>
        <v>Zhong Nanshan called for national action</v>
      </c>
      <c r="D3950" s="4" t="s">
        <v>5964</v>
      </c>
      <c r="E3950" s="4">
        <v>0.0</v>
      </c>
      <c r="F3950" s="4">
        <v>49.0</v>
      </c>
      <c r="G3950" s="4" t="s">
        <v>5965</v>
      </c>
    </row>
    <row r="3951">
      <c r="A3951" s="1">
        <v>3949.0</v>
      </c>
      <c r="B3951" s="4" t="s">
        <v>5881</v>
      </c>
      <c r="C3951" s="5" t="str">
        <f>IFERROR(__xludf.DUMMYFUNCTION("GOOGLETRANSLATE(D:D,""auto"",""en"")"),"On the Development and Reform Commission excessive control")</f>
        <v>On the Development and Reform Commission excessive control</v>
      </c>
      <c r="D3951" s="4" t="s">
        <v>5966</v>
      </c>
      <c r="E3951" s="4">
        <v>0.0</v>
      </c>
      <c r="F3951" s="4">
        <v>50.0</v>
      </c>
      <c r="G3951" s="4" t="s">
        <v>5967</v>
      </c>
    </row>
    <row r="3952">
      <c r="A3952" s="1">
        <v>3950.0</v>
      </c>
      <c r="B3952" s="4" t="s">
        <v>5968</v>
      </c>
      <c r="C3952" s="5" t="str">
        <f>IFERROR(__xludf.DUMMYFUNCTION("GOOGLETRANSLATE(D:D,""auto"",""en"")"),"Italian military vehicles transported the remains of tune")</f>
        <v>Italian military vehicles transported the remains of tune</v>
      </c>
      <c r="D3952" s="4" t="s">
        <v>5902</v>
      </c>
      <c r="E3952" s="4">
        <v>0.0</v>
      </c>
      <c r="F3952" s="4">
        <v>1.0</v>
      </c>
      <c r="G3952" s="4" t="s">
        <v>5903</v>
      </c>
    </row>
    <row r="3953">
      <c r="A3953" s="1">
        <v>3951.0</v>
      </c>
      <c r="B3953" s="4" t="s">
        <v>5968</v>
      </c>
      <c r="C3953" s="5" t="str">
        <f>IFERROR(__xludf.DUMMYFUNCTION("GOOGLETRANSLATE(D:D,""auto"",""en"")"),"Li Wenliang survey results")</f>
        <v>Li Wenliang survey results</v>
      </c>
      <c r="D3953" s="4" t="s">
        <v>5904</v>
      </c>
      <c r="E3953" s="4">
        <v>0.0</v>
      </c>
      <c r="F3953" s="4">
        <v>2.0</v>
      </c>
      <c r="G3953" s="4" t="s">
        <v>5905</v>
      </c>
    </row>
    <row r="3954">
      <c r="A3954" s="1">
        <v>3952.0</v>
      </c>
      <c r="B3954" s="4" t="s">
        <v>5968</v>
      </c>
      <c r="C3954" s="5" t="str">
        <f>IFERROR(__xludf.DUMMYFUNCTION("GOOGLETRANSLATE(D:D,""auto"",""en"")"),"Many provinces definite start dates")</f>
        <v>Many provinces definite start dates</v>
      </c>
      <c r="D3954" s="4" t="s">
        <v>5906</v>
      </c>
      <c r="E3954" s="4">
        <v>0.0</v>
      </c>
      <c r="F3954" s="4">
        <v>3.0</v>
      </c>
      <c r="G3954" s="4" t="s">
        <v>5907</v>
      </c>
    </row>
    <row r="3955">
      <c r="A3955" s="1">
        <v>3953.0</v>
      </c>
      <c r="B3955" s="4" t="s">
        <v>5968</v>
      </c>
      <c r="C3955" s="5" t="str">
        <f>IFERROR(__xludf.DUMMYFUNCTION("GOOGLETRANSLATE(D:D,""auto"",""en"")"),"Women police tear passes kick")</f>
        <v>Women police tear passes kick</v>
      </c>
      <c r="D3955" s="4" t="s">
        <v>5900</v>
      </c>
      <c r="E3955" s="4">
        <v>0.0</v>
      </c>
      <c r="F3955" s="4">
        <v>4.0</v>
      </c>
      <c r="G3955" s="4" t="s">
        <v>5901</v>
      </c>
    </row>
    <row r="3956">
      <c r="A3956" s="1">
        <v>3954.0</v>
      </c>
      <c r="B3956" s="4" t="s">
        <v>5968</v>
      </c>
      <c r="C3956" s="5" t="str">
        <f>IFERROR(__xludf.DUMMYFUNCTION("GOOGLETRANSLATE(D:D,""auto"",""en"")"),"Ministry of Foreign Affairs to respond to acts of Haiti")</f>
        <v>Ministry of Foreign Affairs to respond to acts of Haiti</v>
      </c>
      <c r="D3956" s="4" t="s">
        <v>5969</v>
      </c>
      <c r="E3956" s="4">
        <v>0.0</v>
      </c>
      <c r="F3956" s="4">
        <v>5.0</v>
      </c>
      <c r="G3956" s="4" t="s">
        <v>5970</v>
      </c>
    </row>
    <row r="3957">
      <c r="A3957" s="1">
        <v>3955.0</v>
      </c>
      <c r="B3957" s="4" t="s">
        <v>5968</v>
      </c>
      <c r="C3957" s="5" t="str">
        <f>IFERROR(__xludf.DUMMYFUNCTION("GOOGLETRANSLATE(D:D,""auto"",""en"")"),"Rare cases of new crown Korea")</f>
        <v>Rare cases of new crown Korea</v>
      </c>
      <c r="D3957" s="4" t="s">
        <v>5971</v>
      </c>
      <c r="E3957" s="4">
        <v>0.0</v>
      </c>
      <c r="F3957" s="4">
        <v>6.0</v>
      </c>
      <c r="G3957" s="4" t="s">
        <v>5972</v>
      </c>
    </row>
    <row r="3958">
      <c r="A3958" s="1">
        <v>3956.0</v>
      </c>
      <c r="B3958" s="4" t="s">
        <v>5968</v>
      </c>
      <c r="C3958" s="5" t="str">
        <f>IFERROR(__xludf.DUMMYFUNCTION("GOOGLETRANSLATE(D:D,""auto"",""en"")"),"Yunxiang outside the high court to vent their emotions")</f>
        <v>Yunxiang outside the high court to vent their emotions</v>
      </c>
      <c r="D3958" s="4" t="s">
        <v>5973</v>
      </c>
      <c r="E3958" s="4">
        <v>0.0</v>
      </c>
      <c r="F3958" s="4">
        <v>7.0</v>
      </c>
      <c r="G3958" s="4" t="s">
        <v>5974</v>
      </c>
    </row>
    <row r="3959">
      <c r="A3959" s="1">
        <v>3957.0</v>
      </c>
      <c r="B3959" s="4" t="s">
        <v>5968</v>
      </c>
      <c r="C3959" s="5" t="str">
        <f>IFERROR(__xludf.DUMMYFUNCTION("GOOGLETRANSLATE(D:D,""auto"",""en"")"),"Fever over 150 million people in Iran")</f>
        <v>Fever over 150 million people in Iran</v>
      </c>
      <c r="D3959" s="4" t="s">
        <v>5975</v>
      </c>
      <c r="E3959" s="4">
        <v>0.0</v>
      </c>
      <c r="F3959" s="4">
        <v>8.0</v>
      </c>
      <c r="G3959" s="4" t="s">
        <v>5976</v>
      </c>
    </row>
    <row r="3960">
      <c r="A3960" s="1">
        <v>3958.0</v>
      </c>
      <c r="B3960" s="4" t="s">
        <v>5968</v>
      </c>
      <c r="C3960" s="5" t="str">
        <f>IFERROR(__xludf.DUMMYFUNCTION("GOOGLETRANSLATE(D:D,""auto"",""en"")"),"Italian one-day surge of cases")</f>
        <v>Italian one-day surge of cases</v>
      </c>
      <c r="D3960" s="4" t="s">
        <v>5977</v>
      </c>
      <c r="E3960" s="4">
        <v>0.0</v>
      </c>
      <c r="F3960" s="4">
        <v>9.0</v>
      </c>
      <c r="G3960" s="4" t="s">
        <v>5978</v>
      </c>
    </row>
    <row r="3961">
      <c r="A3961" s="1">
        <v>3959.0</v>
      </c>
      <c r="B3961" s="4" t="s">
        <v>5968</v>
      </c>
      <c r="C3961" s="5" t="str">
        <f>IFERROR(__xludf.DUMMYFUNCTION("GOOGLETRANSLATE(D:D,""auto"",""en"")"),"Trump speech was traced")</f>
        <v>Trump speech was traced</v>
      </c>
      <c r="D3961" s="4" t="s">
        <v>5979</v>
      </c>
      <c r="E3961" s="4">
        <v>0.0</v>
      </c>
      <c r="F3961" s="4">
        <v>10.0</v>
      </c>
      <c r="G3961" s="4" t="s">
        <v>5980</v>
      </c>
    </row>
    <row r="3962">
      <c r="A3962" s="1">
        <v>3960.0</v>
      </c>
      <c r="B3962" s="4" t="s">
        <v>5968</v>
      </c>
      <c r="C3962" s="5" t="str">
        <f>IFERROR(__xludf.DUMMYFUNCTION("GOOGLETRANSLATE(D:D,""auto"",""en"")"),"Apple China to open purchase")</f>
        <v>Apple China to open purchase</v>
      </c>
      <c r="D3962" s="4" t="s">
        <v>5981</v>
      </c>
      <c r="E3962" s="4">
        <v>0.0</v>
      </c>
      <c r="F3962" s="4">
        <v>11.0</v>
      </c>
      <c r="G3962" s="4" t="s">
        <v>5982</v>
      </c>
    </row>
    <row r="3963">
      <c r="A3963" s="1">
        <v>3961.0</v>
      </c>
      <c r="B3963" s="4" t="s">
        <v>5968</v>
      </c>
      <c r="C3963" s="5" t="str">
        <f>IFERROR(__xludf.DUMMYFUNCTION("GOOGLETRANSLATE(D:D,""auto"",""en"")"),"5.9 earthquake occurred in Mongolia")</f>
        <v>5.9 earthquake occurred in Mongolia</v>
      </c>
      <c r="D3963" s="4" t="s">
        <v>5983</v>
      </c>
      <c r="E3963" s="4">
        <v>0.0</v>
      </c>
      <c r="F3963" s="4">
        <v>12.0</v>
      </c>
      <c r="G3963" s="4" t="s">
        <v>5984</v>
      </c>
    </row>
    <row r="3964">
      <c r="A3964" s="1">
        <v>3962.0</v>
      </c>
      <c r="B3964" s="4" t="s">
        <v>5968</v>
      </c>
      <c r="C3964" s="5" t="str">
        <f>IFERROR(__xludf.DUMMYFUNCTION("GOOGLETRANSLATE(D:D,""auto"",""en"")"),"Shigatse, Tibet earthquake")</f>
        <v>Shigatse, Tibet earthquake</v>
      </c>
      <c r="D3964" s="4" t="s">
        <v>5985</v>
      </c>
      <c r="E3964" s="4">
        <v>0.0</v>
      </c>
      <c r="F3964" s="4">
        <v>13.0</v>
      </c>
      <c r="G3964" s="4" t="s">
        <v>5986</v>
      </c>
    </row>
    <row r="3965">
      <c r="A3965" s="1">
        <v>3963.0</v>
      </c>
      <c r="B3965" s="4" t="s">
        <v>5968</v>
      </c>
      <c r="C3965" s="5" t="str">
        <f>IFERROR(__xludf.DUMMYFUNCTION("GOOGLETRANSLATE(D:D,""auto"",""en"")"),"Liu Li died of pneumonia infection")</f>
        <v>Liu Li died of pneumonia infection</v>
      </c>
      <c r="D3965" s="4" t="s">
        <v>5987</v>
      </c>
      <c r="E3965" s="4">
        <v>0.0</v>
      </c>
      <c r="F3965" s="4">
        <v>14.0</v>
      </c>
      <c r="G3965" s="4" t="s">
        <v>5988</v>
      </c>
    </row>
    <row r="3966">
      <c r="A3966" s="1">
        <v>3964.0</v>
      </c>
      <c r="B3966" s="4" t="s">
        <v>5968</v>
      </c>
      <c r="C3966" s="5" t="str">
        <f>IFERROR(__xludf.DUMMYFUNCTION("GOOGLETRANSLATE(D:D,""auto"",""en"")"),"Germany seized the US 3M masks")</f>
        <v>Germany seized the US 3M masks</v>
      </c>
      <c r="D3966" s="4" t="s">
        <v>5989</v>
      </c>
      <c r="E3966" s="4">
        <v>0.0</v>
      </c>
      <c r="F3966" s="4">
        <v>15.0</v>
      </c>
      <c r="G3966" s="4" t="s">
        <v>5990</v>
      </c>
    </row>
    <row r="3967">
      <c r="A3967" s="1">
        <v>3965.0</v>
      </c>
      <c r="B3967" s="4" t="s">
        <v>5968</v>
      </c>
      <c r="C3967" s="5" t="str">
        <f>IFERROR(__xludf.DUMMYFUNCTION("GOOGLETRANSLATE(D:D,""auto"",""en"")"),"Free to see the big winner")</f>
        <v>Free to see the big winner</v>
      </c>
      <c r="D3967" s="4" t="s">
        <v>5991</v>
      </c>
      <c r="E3967" s="4">
        <v>0.0</v>
      </c>
      <c r="F3967" s="4">
        <v>16.0</v>
      </c>
      <c r="G3967" s="4" t="s">
        <v>5992</v>
      </c>
    </row>
    <row r="3968">
      <c r="A3968" s="1">
        <v>3966.0</v>
      </c>
      <c r="B3968" s="4" t="s">
        <v>5968</v>
      </c>
      <c r="C3968" s="5" t="str">
        <f>IFERROR(__xludf.DUMMYFUNCTION("GOOGLETRANSLATE(D:D,""auto"",""en"")"),"Exposed female runners over one million annual salary")</f>
        <v>Exposed female runners over one million annual salary</v>
      </c>
      <c r="D3968" s="4" t="s">
        <v>5993</v>
      </c>
      <c r="E3968" s="4">
        <v>0.0</v>
      </c>
      <c r="F3968" s="4">
        <v>17.0</v>
      </c>
      <c r="G3968" s="4" t="s">
        <v>5994</v>
      </c>
    </row>
    <row r="3969">
      <c r="A3969" s="1">
        <v>3967.0</v>
      </c>
      <c r="B3969" s="4" t="s">
        <v>5968</v>
      </c>
      <c r="C3969" s="5" t="str">
        <f>IFERROR(__xludf.DUMMYFUNCTION("GOOGLETRANSLATE(D:D,""auto"",""en"")"),"Zhong Nanshan no seat ticket")</f>
        <v>Zhong Nanshan no seat ticket</v>
      </c>
      <c r="D3969" s="4" t="s">
        <v>5995</v>
      </c>
      <c r="E3969" s="4">
        <v>0.0</v>
      </c>
      <c r="F3969" s="4">
        <v>18.0</v>
      </c>
      <c r="G3969" s="4" t="s">
        <v>5996</v>
      </c>
    </row>
    <row r="3970">
      <c r="A3970" s="1">
        <v>3968.0</v>
      </c>
      <c r="B3970" s="4" t="s">
        <v>5968</v>
      </c>
      <c r="C3970" s="5" t="str">
        <f>IFERROR(__xludf.DUMMYFUNCTION("GOOGLETRANSLATE(D:D,""auto"",""en"")"),"The Lakers confirmed two players")</f>
        <v>The Lakers confirmed two players</v>
      </c>
      <c r="D3970" s="4" t="s">
        <v>5997</v>
      </c>
      <c r="E3970" s="4">
        <v>0.0</v>
      </c>
      <c r="F3970" s="4">
        <v>19.0</v>
      </c>
      <c r="G3970" s="4" t="s">
        <v>5998</v>
      </c>
    </row>
    <row r="3971">
      <c r="A3971" s="1">
        <v>3969.0</v>
      </c>
      <c r="B3971" s="4" t="s">
        <v>5968</v>
      </c>
      <c r="C3971" s="5" t="str">
        <f>IFERROR(__xludf.DUMMYFUNCTION("GOOGLETRANSLATE(D:D,""auto"",""en"")"),"Stankovic's death")</f>
        <v>Stankovic's death</v>
      </c>
      <c r="D3971" s="4" t="s">
        <v>5999</v>
      </c>
      <c r="E3971" s="4">
        <v>0.0</v>
      </c>
      <c r="F3971" s="4">
        <v>20.0</v>
      </c>
      <c r="G3971" s="4" t="s">
        <v>6000</v>
      </c>
    </row>
    <row r="3972">
      <c r="A3972" s="1">
        <v>3970.0</v>
      </c>
      <c r="B3972" s="4" t="s">
        <v>5968</v>
      </c>
      <c r="C3972" s="5" t="str">
        <f>IFERROR(__xludf.DUMMYFUNCTION("GOOGLETRANSLATE(D:D,""auto"",""en"")"),"Annual Jian Bo causing many infections")</f>
        <v>Annual Jian Bo causing many infections</v>
      </c>
      <c r="D3972" s="4" t="s">
        <v>6001</v>
      </c>
      <c r="E3972" s="4">
        <v>0.0</v>
      </c>
      <c r="F3972" s="4">
        <v>21.0</v>
      </c>
      <c r="G3972" s="4" t="s">
        <v>6002</v>
      </c>
    </row>
    <row r="3973">
      <c r="A3973" s="1">
        <v>3971.0</v>
      </c>
      <c r="B3973" s="4" t="s">
        <v>5968</v>
      </c>
      <c r="C3973" s="5" t="str">
        <f>IFERROR(__xludf.DUMMYFUNCTION("GOOGLETRANSLATE(D:D,""auto"",""en"")"),"Hubei Express will be fully restored")</f>
        <v>Hubei Express will be fully restored</v>
      </c>
      <c r="D3973" s="4" t="s">
        <v>6003</v>
      </c>
      <c r="E3973" s="4">
        <v>0.0</v>
      </c>
      <c r="F3973" s="4">
        <v>22.0</v>
      </c>
      <c r="G3973" s="4" t="s">
        <v>6004</v>
      </c>
    </row>
    <row r="3974">
      <c r="A3974" s="1">
        <v>3972.0</v>
      </c>
      <c r="B3974" s="4" t="s">
        <v>5968</v>
      </c>
      <c r="C3974" s="5" t="str">
        <f>IFERROR(__xludf.DUMMYFUNCTION("GOOGLETRANSLATE(D:D,""auto"",""en"")"),"Ministry of Foreign Affairs to talk about the US aid")</f>
        <v>Ministry of Foreign Affairs to talk about the US aid</v>
      </c>
      <c r="D3974" s="4" t="s">
        <v>6005</v>
      </c>
      <c r="E3974" s="4">
        <v>0.0</v>
      </c>
      <c r="F3974" s="4">
        <v>23.0</v>
      </c>
      <c r="G3974" s="4" t="s">
        <v>6006</v>
      </c>
    </row>
    <row r="3975">
      <c r="A3975" s="1">
        <v>3973.0</v>
      </c>
      <c r="B3975" s="4" t="s">
        <v>5968</v>
      </c>
      <c r="C3975" s="5" t="str">
        <f>IFERROR(__xludf.DUMMYFUNCTION("GOOGLETRANSLATE(D:D,""auto"",""en"")"),"United States added nearly 4000 cases")</f>
        <v>United States added nearly 4000 cases</v>
      </c>
      <c r="D3975" s="4" t="s">
        <v>6007</v>
      </c>
      <c r="E3975" s="4">
        <v>0.0</v>
      </c>
      <c r="F3975" s="4">
        <v>24.0</v>
      </c>
      <c r="G3975" s="4" t="s">
        <v>6008</v>
      </c>
    </row>
    <row r="3976">
      <c r="A3976" s="1">
        <v>3974.0</v>
      </c>
      <c r="B3976" s="4" t="s">
        <v>5968</v>
      </c>
      <c r="C3976" s="5" t="str">
        <f>IFERROR(__xludf.DUMMYFUNCTION("GOOGLETRANSLATE(D:D,""auto"",""en"")"),"Mountain forest fires")</f>
        <v>Mountain forest fires</v>
      </c>
      <c r="D3976" s="4" t="s">
        <v>6009</v>
      </c>
      <c r="E3976" s="4">
        <v>0.0</v>
      </c>
      <c r="F3976" s="4">
        <v>25.0</v>
      </c>
      <c r="G3976" s="4" t="s">
        <v>6010</v>
      </c>
    </row>
    <row r="3977">
      <c r="A3977" s="1">
        <v>3975.0</v>
      </c>
      <c r="B3977" s="4" t="s">
        <v>5968</v>
      </c>
      <c r="C3977" s="5" t="str">
        <f>IFERROR(__xludf.DUMMYFUNCTION("GOOGLETRANSLATE(D:D,""auto"",""en"")"),"Hornets woman refused to self-isolation")</f>
        <v>Hornets woman refused to self-isolation</v>
      </c>
      <c r="D3977" s="4" t="s">
        <v>6011</v>
      </c>
      <c r="E3977" s="4">
        <v>0.0</v>
      </c>
      <c r="F3977" s="4">
        <v>26.0</v>
      </c>
      <c r="G3977" s="4" t="s">
        <v>6012</v>
      </c>
    </row>
    <row r="3978">
      <c r="A3978" s="1">
        <v>3976.0</v>
      </c>
      <c r="B3978" s="4" t="s">
        <v>5968</v>
      </c>
      <c r="C3978" s="5" t="str">
        <f>IFERROR(__xludf.DUMMYFUNCTION("GOOGLETRANSLATE(D:D,""auto"",""en"")"),"Hillary commentary Trump")</f>
        <v>Hillary commentary Trump</v>
      </c>
      <c r="D3978" s="4" t="s">
        <v>5896</v>
      </c>
      <c r="E3978" s="4">
        <v>0.0</v>
      </c>
      <c r="F3978" s="4">
        <v>27.0</v>
      </c>
      <c r="G3978" s="4" t="s">
        <v>5897</v>
      </c>
    </row>
    <row r="3979">
      <c r="A3979" s="1">
        <v>3977.0</v>
      </c>
      <c r="B3979" s="4" t="s">
        <v>5968</v>
      </c>
      <c r="C3979" s="5" t="str">
        <f>IFERROR(__xludf.DUMMYFUNCTION("GOOGLETRANSLATE(D:D,""auto"",""en"")"),"Chinese fencing team three people diagnosed")</f>
        <v>Chinese fencing team three people diagnosed</v>
      </c>
      <c r="D3979" s="4" t="s">
        <v>6013</v>
      </c>
      <c r="E3979" s="4">
        <v>0.0</v>
      </c>
      <c r="F3979" s="4">
        <v>28.0</v>
      </c>
      <c r="G3979" s="4" t="s">
        <v>6014</v>
      </c>
    </row>
    <row r="3980">
      <c r="A3980" s="1">
        <v>3978.0</v>
      </c>
      <c r="B3980" s="4" t="s">
        <v>5968</v>
      </c>
      <c r="C3980" s="5" t="str">
        <f>IFERROR(__xludf.DUMMYFUNCTION("GOOGLETRANSLATE(D:D,""auto"",""en"")"),"Shandong is now the United States imported cases")</f>
        <v>Shandong is now the United States imported cases</v>
      </c>
      <c r="D3980" s="4" t="s">
        <v>6015</v>
      </c>
      <c r="E3980" s="4">
        <v>0.0</v>
      </c>
      <c r="F3980" s="4">
        <v>29.0</v>
      </c>
      <c r="G3980" s="4" t="s">
        <v>6016</v>
      </c>
    </row>
    <row r="3981">
      <c r="A3981" s="1">
        <v>3979.0</v>
      </c>
      <c r="B3981" s="4" t="s">
        <v>5968</v>
      </c>
      <c r="C3981" s="5" t="str">
        <f>IFERROR(__xludf.DUMMYFUNCTION("GOOGLETRANSLATE(D:D,""auto"",""en"")"),"Guangdong 14 new cases of imported type")</f>
        <v>Guangdong 14 new cases of imported type</v>
      </c>
      <c r="D3981" s="4" t="s">
        <v>6017</v>
      </c>
      <c r="E3981" s="4">
        <v>0.0</v>
      </c>
      <c r="F3981" s="4">
        <v>30.0</v>
      </c>
      <c r="G3981" s="4" t="s">
        <v>6018</v>
      </c>
    </row>
    <row r="3982">
      <c r="A3982" s="1">
        <v>3980.0</v>
      </c>
      <c r="B3982" s="4" t="s">
        <v>5968</v>
      </c>
      <c r="C3982" s="5" t="str">
        <f>IFERROR(__xludf.DUMMYFUNCTION("GOOGLETRANSLATE(D:D,""auto"",""en"")"),"There is a second wave of epidemic outbreaks or")</f>
        <v>There is a second wave of epidemic outbreaks or</v>
      </c>
      <c r="D3982" s="4" t="s">
        <v>6019</v>
      </c>
      <c r="E3982" s="4">
        <v>0.0</v>
      </c>
      <c r="F3982" s="4">
        <v>31.0</v>
      </c>
      <c r="G3982" s="4" t="s">
        <v>6020</v>
      </c>
    </row>
    <row r="3983">
      <c r="A3983" s="1">
        <v>3981.0</v>
      </c>
      <c r="B3983" s="4" t="s">
        <v>5968</v>
      </c>
      <c r="C3983" s="5" t="str">
        <f>IFERROR(__xludf.DUMMYFUNCTION("GOOGLETRANSLATE(D:D,""auto"",""en"")"),"Rumor wheel 84 to buy crude oil")</f>
        <v>Rumor wheel 84 to buy crude oil</v>
      </c>
      <c r="D3983" s="4" t="s">
        <v>6021</v>
      </c>
      <c r="E3983" s="4">
        <v>0.0</v>
      </c>
      <c r="F3983" s="4">
        <v>32.0</v>
      </c>
      <c r="G3983" s="4" t="s">
        <v>6022</v>
      </c>
    </row>
    <row r="3984">
      <c r="A3984" s="1">
        <v>3982.0</v>
      </c>
      <c r="B3984" s="4" t="s">
        <v>5968</v>
      </c>
      <c r="C3984" s="5" t="str">
        <f>IFERROR(__xludf.DUMMYFUNCTION("GOOGLETRANSLATE(D:D,""auto"",""en"")"),"Brazil responded inappropriate remarks")</f>
        <v>Brazil responded inappropriate remarks</v>
      </c>
      <c r="D3984" s="4" t="s">
        <v>6023</v>
      </c>
      <c r="E3984" s="4">
        <v>0.0</v>
      </c>
      <c r="F3984" s="4">
        <v>33.0</v>
      </c>
      <c r="G3984" s="4" t="s">
        <v>6024</v>
      </c>
    </row>
    <row r="3985">
      <c r="A3985" s="1">
        <v>3983.0</v>
      </c>
      <c r="B3985" s="4" t="s">
        <v>5968</v>
      </c>
      <c r="C3985" s="5" t="str">
        <f>IFERROR(__xludf.DUMMYFUNCTION("GOOGLETRANSLATE(D:D,""auto"",""en"")"),"Goebel exposure causes of infection")</f>
        <v>Goebel exposure causes of infection</v>
      </c>
      <c r="D3985" s="4" t="s">
        <v>6025</v>
      </c>
      <c r="E3985" s="4">
        <v>0.0</v>
      </c>
      <c r="F3985" s="4">
        <v>34.0</v>
      </c>
      <c r="G3985" s="4" t="s">
        <v>6026</v>
      </c>
    </row>
    <row r="3986">
      <c r="A3986" s="1">
        <v>3984.0</v>
      </c>
      <c r="B3986" s="4" t="s">
        <v>5968</v>
      </c>
      <c r="C3986" s="5" t="str">
        <f>IFERROR(__xludf.DUMMYFUNCTION("GOOGLETRANSLATE(D:D,""auto"",""en"")"),"Beijing heating time extension")</f>
        <v>Beijing heating time extension</v>
      </c>
      <c r="D3986" s="4" t="s">
        <v>6027</v>
      </c>
      <c r="E3986" s="4">
        <v>0.0</v>
      </c>
      <c r="F3986" s="4">
        <v>35.0</v>
      </c>
      <c r="G3986" s="4" t="s">
        <v>6028</v>
      </c>
    </row>
    <row r="3987">
      <c r="A3987" s="1">
        <v>3985.0</v>
      </c>
      <c r="B3987" s="4" t="s">
        <v>5968</v>
      </c>
      <c r="C3987" s="5" t="str">
        <f>IFERROR(__xludf.DUMMYFUNCTION("GOOGLETRANSLATE(D:D,""auto"",""en"")"),"The Olympic flame, strong winds blew")</f>
        <v>The Olympic flame, strong winds blew</v>
      </c>
      <c r="D3987" s="4" t="s">
        <v>6029</v>
      </c>
      <c r="E3987" s="4">
        <v>0.0</v>
      </c>
      <c r="F3987" s="4">
        <v>36.0</v>
      </c>
      <c r="G3987" s="4" t="s">
        <v>6030</v>
      </c>
    </row>
    <row r="3988">
      <c r="A3988" s="1">
        <v>3986.0</v>
      </c>
      <c r="B3988" s="4" t="s">
        <v>5968</v>
      </c>
      <c r="C3988" s="5" t="str">
        <f>IFERROR(__xludf.DUMMYFUNCTION("GOOGLETRANSLATE(D:D,""auto"",""en"")"),"British Prime Minister Tun exposed several car supplies")</f>
        <v>British Prime Minister Tun exposed several car supplies</v>
      </c>
      <c r="D3988" s="4" t="s">
        <v>6031</v>
      </c>
      <c r="E3988" s="4">
        <v>0.0</v>
      </c>
      <c r="F3988" s="4">
        <v>37.0</v>
      </c>
      <c r="G3988" s="4" t="s">
        <v>6032</v>
      </c>
    </row>
    <row r="3989">
      <c r="A3989" s="1">
        <v>3987.0</v>
      </c>
      <c r="B3989" s="4" t="s">
        <v>5968</v>
      </c>
      <c r="C3989" s="5" t="str">
        <f>IFERROR(__xludf.DUMMYFUNCTION("GOOGLETRANSLATE(D:D,""auto"",""en"")"),"China was praised new home 0")</f>
        <v>China was praised new home 0</v>
      </c>
      <c r="D3989" s="4" t="s">
        <v>6033</v>
      </c>
      <c r="E3989" s="4">
        <v>0.0</v>
      </c>
      <c r="F3989" s="4">
        <v>38.0</v>
      </c>
      <c r="G3989" s="4" t="s">
        <v>6034</v>
      </c>
    </row>
    <row r="3990">
      <c r="A3990" s="1">
        <v>3988.0</v>
      </c>
      <c r="B3990" s="4" t="s">
        <v>5968</v>
      </c>
      <c r="C3990" s="5" t="str">
        <f>IFERROR(__xludf.DUMMYFUNCTION("GOOGLETRANSLATE(D:D,""auto"",""en"")"),"Sichuan is now the United States imported cases")</f>
        <v>Sichuan is now the United States imported cases</v>
      </c>
      <c r="D3990" s="4" t="s">
        <v>6035</v>
      </c>
      <c r="E3990" s="4">
        <v>0.0</v>
      </c>
      <c r="F3990" s="4">
        <v>39.0</v>
      </c>
      <c r="G3990" s="4" t="s">
        <v>6036</v>
      </c>
    </row>
    <row r="3991">
      <c r="A3991" s="1">
        <v>3989.0</v>
      </c>
      <c r="B3991" s="4" t="s">
        <v>5968</v>
      </c>
      <c r="C3991" s="5" t="str">
        <f>IFERROR(__xludf.DUMMYFUNCTION("GOOGLETRANSLATE(D:D,""auto"",""en"")"),"Guangzhou edition female Duwang")</f>
        <v>Guangzhou edition female Duwang</v>
      </c>
      <c r="D3991" s="4" t="s">
        <v>6037</v>
      </c>
      <c r="E3991" s="4">
        <v>0.0</v>
      </c>
      <c r="F3991" s="4">
        <v>40.0</v>
      </c>
      <c r="G3991" s="4" t="s">
        <v>6038</v>
      </c>
    </row>
    <row r="3992">
      <c r="A3992" s="1">
        <v>3990.0</v>
      </c>
      <c r="B3992" s="4" t="s">
        <v>5968</v>
      </c>
      <c r="C3992" s="5" t="str">
        <f>IFERROR(__xludf.DUMMYFUNCTION("GOOGLETRANSLATE(D:D,""auto"",""en"")"),"Winner film")</f>
        <v>Winner film</v>
      </c>
      <c r="D3992" s="4" t="s">
        <v>5960</v>
      </c>
      <c r="E3992" s="4">
        <v>0.0</v>
      </c>
      <c r="F3992" s="4">
        <v>41.0</v>
      </c>
      <c r="G3992" s="4" t="s">
        <v>5961</v>
      </c>
    </row>
    <row r="3993">
      <c r="A3993" s="1">
        <v>3991.0</v>
      </c>
      <c r="B3993" s="4" t="s">
        <v>5968</v>
      </c>
      <c r="C3993" s="5" t="str">
        <f>IFERROR(__xludf.DUMMYFUNCTION("GOOGLETRANSLATE(D:D,""auto"",""en"")"),"New foreign input 39 cases")</f>
        <v>New foreign input 39 cases</v>
      </c>
      <c r="D3993" s="4" t="s">
        <v>6039</v>
      </c>
      <c r="E3993" s="4">
        <v>0.0</v>
      </c>
      <c r="F3993" s="4">
        <v>42.0</v>
      </c>
      <c r="G3993" s="4" t="s">
        <v>6040</v>
      </c>
    </row>
    <row r="3994">
      <c r="A3994" s="1">
        <v>3992.0</v>
      </c>
      <c r="B3994" s="4" t="s">
        <v>5968</v>
      </c>
      <c r="C3994" s="5" t="str">
        <f>IFERROR(__xludf.DUMMYFUNCTION("GOOGLETRANSLATE(D:D,""auto"",""en"")"),"Dutch health minister resigns")</f>
        <v>Dutch health minister resigns</v>
      </c>
      <c r="D3994" s="4" t="s">
        <v>6041</v>
      </c>
      <c r="E3994" s="4">
        <v>0.0</v>
      </c>
      <c r="F3994" s="4">
        <v>43.0</v>
      </c>
      <c r="G3994" s="4" t="s">
        <v>6042</v>
      </c>
    </row>
    <row r="3995">
      <c r="A3995" s="1">
        <v>3993.0</v>
      </c>
      <c r="B3995" s="4" t="s">
        <v>5968</v>
      </c>
      <c r="C3995" s="5" t="str">
        <f>IFERROR(__xludf.DUMMYFUNCTION("GOOGLETRANSLATE(D:D,""auto"",""en"")"),"Millet shipments of more than Huawei")</f>
        <v>Millet shipments of more than Huawei</v>
      </c>
      <c r="D3995" s="4" t="s">
        <v>6043</v>
      </c>
      <c r="E3995" s="4">
        <v>0.0</v>
      </c>
      <c r="F3995" s="4">
        <v>44.0</v>
      </c>
      <c r="G3995" s="4" t="s">
        <v>6044</v>
      </c>
    </row>
    <row r="3996">
      <c r="A3996" s="1">
        <v>3994.0</v>
      </c>
      <c r="B3996" s="4" t="s">
        <v>5968</v>
      </c>
      <c r="C3996" s="5" t="str">
        <f>IFERROR(__xludf.DUMMYFUNCTION("GOOGLETRANSLATE(D:D,""auto"",""en"")"),"Australian-run women required to leave")</f>
        <v>Australian-run women required to leave</v>
      </c>
      <c r="D3996" s="4" t="s">
        <v>5926</v>
      </c>
      <c r="E3996" s="4">
        <v>0.0</v>
      </c>
      <c r="F3996" s="4">
        <v>45.0</v>
      </c>
      <c r="G3996" s="4" t="s">
        <v>5927</v>
      </c>
    </row>
    <row r="3997">
      <c r="A3997" s="1">
        <v>3995.0</v>
      </c>
      <c r="B3997" s="4" t="s">
        <v>5968</v>
      </c>
      <c r="C3997" s="5" t="str">
        <f>IFERROR(__xludf.DUMMYFUNCTION("GOOGLETRANSLATE(D:D,""auto"",""en"")"),"On the official opening does not wear a mask")</f>
        <v>On the official opening does not wear a mask</v>
      </c>
      <c r="D3997" s="4" t="s">
        <v>5898</v>
      </c>
      <c r="E3997" s="4">
        <v>0.0</v>
      </c>
      <c r="F3997" s="4">
        <v>46.0</v>
      </c>
      <c r="G3997" s="4" t="s">
        <v>5899</v>
      </c>
    </row>
    <row r="3998">
      <c r="A3998" s="1">
        <v>3996.0</v>
      </c>
      <c r="B3998" s="4" t="s">
        <v>5968</v>
      </c>
      <c r="C3998" s="5" t="str">
        <f>IFERROR(__xludf.DUMMYFUNCTION("GOOGLETRANSLATE(D:D,""auto"",""en"")"),"A US prison release 40 prisoners")</f>
        <v>A US prison release 40 prisoners</v>
      </c>
      <c r="D3998" s="4" t="s">
        <v>6045</v>
      </c>
      <c r="E3998" s="4">
        <v>0.0</v>
      </c>
      <c r="F3998" s="4">
        <v>47.0</v>
      </c>
      <c r="G3998" s="4" t="s">
        <v>6046</v>
      </c>
    </row>
    <row r="3999">
      <c r="A3999" s="1">
        <v>3997.0</v>
      </c>
      <c r="B3999" s="4" t="s">
        <v>5968</v>
      </c>
      <c r="C3999" s="5" t="str">
        <f>IFERROR(__xludf.DUMMYFUNCTION("GOOGLETRANSLATE(D:D,""auto"",""en"")"),"Trump talk about material issues")</f>
        <v>Trump talk about material issues</v>
      </c>
      <c r="D3999" s="4" t="s">
        <v>6047</v>
      </c>
      <c r="E3999" s="4">
        <v>0.0</v>
      </c>
      <c r="F3999" s="4">
        <v>48.0</v>
      </c>
      <c r="G3999" s="4" t="s">
        <v>6048</v>
      </c>
    </row>
    <row r="4000">
      <c r="A4000" s="1">
        <v>3998.0</v>
      </c>
      <c r="B4000" s="4" t="s">
        <v>5968</v>
      </c>
      <c r="C4000" s="5" t="str">
        <f>IFERROR(__xludf.DUMMYFUNCTION("GOOGLETRANSLATE(D:D,""auto"",""en"")"),"Dow back to 20,000 points")</f>
        <v>Dow back to 20,000 points</v>
      </c>
      <c r="D4000" s="4" t="s">
        <v>6049</v>
      </c>
      <c r="E4000" s="4">
        <v>0.0</v>
      </c>
      <c r="F4000" s="4">
        <v>49.0</v>
      </c>
      <c r="G4000" s="4" t="s">
        <v>6050</v>
      </c>
    </row>
    <row r="4001">
      <c r="A4001" s="1">
        <v>3999.0</v>
      </c>
      <c r="B4001" s="4" t="s">
        <v>5968</v>
      </c>
      <c r="C4001" s="5" t="str">
        <f>IFERROR(__xludf.DUMMYFUNCTION("GOOGLETRANSLATE(D:D,""auto"",""en"")"),"Vanessa Bryant modify Fund")</f>
        <v>Vanessa Bryant modify Fund</v>
      </c>
      <c r="D4001" s="4" t="s">
        <v>5918</v>
      </c>
      <c r="E4001" s="4">
        <v>0.0</v>
      </c>
      <c r="F4001" s="4">
        <v>50.0</v>
      </c>
      <c r="G4001" s="4" t="s">
        <v>5919</v>
      </c>
    </row>
    <row r="4002">
      <c r="A4002" s="1">
        <v>4000.0</v>
      </c>
      <c r="B4002" s="4" t="s">
        <v>6051</v>
      </c>
      <c r="C4002" s="5" t="str">
        <f>IFERROR(__xludf.DUMMYFUNCTION("GOOGLETRANSLATE(D:D,""auto"",""en"")"),"Italy was traced to internal hospital")</f>
        <v>Italy was traced to internal hospital</v>
      </c>
      <c r="D4002" s="4" t="s">
        <v>6052</v>
      </c>
      <c r="E4002" s="4">
        <v>0.0</v>
      </c>
      <c r="F4002" s="4">
        <v>1.0</v>
      </c>
      <c r="G4002" s="4" t="s">
        <v>6053</v>
      </c>
    </row>
    <row r="4003">
      <c r="A4003" s="1">
        <v>4001.0</v>
      </c>
      <c r="B4003" s="4" t="s">
        <v>6051</v>
      </c>
      <c r="C4003" s="5" t="str">
        <f>IFERROR(__xludf.DUMMYFUNCTION("GOOGLETRANSLATE(D:D,""auto"",""en"")"),"The chair confirmed rumors Department")</f>
        <v>The chair confirmed rumors Department</v>
      </c>
      <c r="D4003" s="4" t="s">
        <v>6054</v>
      </c>
      <c r="E4003" s="4">
        <v>0.0</v>
      </c>
      <c r="F4003" s="4">
        <v>2.0</v>
      </c>
      <c r="G4003" s="4" t="s">
        <v>6055</v>
      </c>
    </row>
    <row r="4004">
      <c r="A4004" s="1">
        <v>4002.0</v>
      </c>
      <c r="B4004" s="4" t="s">
        <v>6051</v>
      </c>
      <c r="C4004" s="5" t="str">
        <f>IFERROR(__xludf.DUMMYFUNCTION("GOOGLETRANSLATE(D:D,""auto"",""en"")"),"Nurses were driven official response")</f>
        <v>Nurses were driven official response</v>
      </c>
      <c r="D4004" s="4" t="s">
        <v>6056</v>
      </c>
      <c r="E4004" s="4">
        <v>0.0</v>
      </c>
      <c r="F4004" s="4">
        <v>3.0</v>
      </c>
      <c r="G4004" s="4" t="s">
        <v>6057</v>
      </c>
    </row>
    <row r="4005">
      <c r="A4005" s="1">
        <v>4003.0</v>
      </c>
      <c r="B4005" s="4" t="s">
        <v>6051</v>
      </c>
      <c r="C4005" s="5" t="str">
        <f>IFERROR(__xludf.DUMMYFUNCTION("GOOGLETRANSLATE(D:D,""auto"",""en"")"),"Millet shipments of more than Huawei")</f>
        <v>Millet shipments of more than Huawei</v>
      </c>
      <c r="D4005" s="4" t="s">
        <v>6043</v>
      </c>
      <c r="E4005" s="4">
        <v>0.0</v>
      </c>
      <c r="F4005" s="4">
        <v>4.0</v>
      </c>
      <c r="G4005" s="4" t="s">
        <v>6044</v>
      </c>
    </row>
    <row r="4006">
      <c r="A4006" s="1">
        <v>4004.0</v>
      </c>
      <c r="B4006" s="4" t="s">
        <v>6051</v>
      </c>
      <c r="C4006" s="5" t="str">
        <f>IFERROR(__xludf.DUMMYFUNCTION("GOOGLETRANSLATE(D:D,""auto"",""en"")"),"Add 41 cases 31 provinces")</f>
        <v>Add 41 cases 31 provinces</v>
      </c>
      <c r="D4006" s="4" t="s">
        <v>6058</v>
      </c>
      <c r="E4006" s="4">
        <v>0.0</v>
      </c>
      <c r="F4006" s="4">
        <v>5.0</v>
      </c>
      <c r="G4006" s="4" t="s">
        <v>6059</v>
      </c>
    </row>
    <row r="4007">
      <c r="A4007" s="1">
        <v>4005.0</v>
      </c>
      <c r="B4007" s="4" t="s">
        <v>6051</v>
      </c>
      <c r="C4007" s="5" t="str">
        <f>IFERROR(__xludf.DUMMYFUNCTION("GOOGLETRANSLATE(D:D,""auto"",""en"")"),"Briefing Trump doze")</f>
        <v>Briefing Trump doze</v>
      </c>
      <c r="D4007" s="4" t="s">
        <v>6060</v>
      </c>
      <c r="E4007" s="4">
        <v>0.0</v>
      </c>
      <c r="F4007" s="4">
        <v>6.0</v>
      </c>
      <c r="G4007" s="4" t="s">
        <v>6061</v>
      </c>
    </row>
    <row r="4008">
      <c r="A4008" s="1">
        <v>4006.0</v>
      </c>
      <c r="B4008" s="4" t="s">
        <v>6051</v>
      </c>
      <c r="C4008" s="5" t="str">
        <f>IFERROR(__xludf.DUMMYFUNCTION("GOOGLETRANSLATE(D:D,""auto"",""en"")"),"Xingtai now asymptomatic infection")</f>
        <v>Xingtai now asymptomatic infection</v>
      </c>
      <c r="D4008" s="4" t="s">
        <v>6062</v>
      </c>
      <c r="E4008" s="4">
        <v>0.0</v>
      </c>
      <c r="F4008" s="4">
        <v>7.0</v>
      </c>
      <c r="G4008" s="4" t="s">
        <v>6063</v>
      </c>
    </row>
    <row r="4009">
      <c r="A4009" s="1">
        <v>4007.0</v>
      </c>
      <c r="B4009" s="4" t="s">
        <v>6051</v>
      </c>
      <c r="C4009" s="5" t="str">
        <f>IFERROR(__xludf.DUMMYFUNCTION("GOOGLETRANSLATE(D:D,""auto"",""en"")"),"United States rose to nearly 20,000 cases diagnosed")</f>
        <v>United States rose to nearly 20,000 cases diagnosed</v>
      </c>
      <c r="D4009" s="4" t="s">
        <v>6064</v>
      </c>
      <c r="E4009" s="4">
        <v>0.0</v>
      </c>
      <c r="F4009" s="4">
        <v>8.0</v>
      </c>
      <c r="G4009" s="4" t="s">
        <v>6065</v>
      </c>
    </row>
    <row r="4010">
      <c r="A4010" s="1">
        <v>4008.0</v>
      </c>
      <c r="B4010" s="4" t="s">
        <v>6051</v>
      </c>
      <c r="C4010" s="5" t="str">
        <f>IFERROR(__xludf.DUMMYFUNCTION("GOOGLETRANSLATE(D:D,""auto"",""en"")"),"Bollywood actress exposed to Duwang")</f>
        <v>Bollywood actress exposed to Duwang</v>
      </c>
      <c r="D4010" s="4" t="s">
        <v>6066</v>
      </c>
      <c r="E4010" s="4">
        <v>0.0</v>
      </c>
      <c r="F4010" s="4">
        <v>9.0</v>
      </c>
      <c r="G4010" s="4" t="s">
        <v>6067</v>
      </c>
    </row>
    <row r="4011">
      <c r="A4011" s="1">
        <v>4009.0</v>
      </c>
      <c r="B4011" s="4" t="s">
        <v>6051</v>
      </c>
      <c r="C4011" s="5" t="str">
        <f>IFERROR(__xludf.DUMMYFUNCTION("GOOGLETRANSLATE(D:D,""auto"",""en"")"),"A nucleic acid complex positive woman in Guangxi")</f>
        <v>A nucleic acid complex positive woman in Guangxi</v>
      </c>
      <c r="D4011" s="4" t="s">
        <v>6068</v>
      </c>
      <c r="E4011" s="4">
        <v>0.0</v>
      </c>
      <c r="F4011" s="4">
        <v>10.0</v>
      </c>
      <c r="G4011" s="4" t="s">
        <v>6069</v>
      </c>
    </row>
    <row r="4012">
      <c r="A4012" s="1">
        <v>4010.0</v>
      </c>
      <c r="B4012" s="4" t="s">
        <v>6051</v>
      </c>
      <c r="C4012" s="5" t="str">
        <f>IFERROR(__xludf.DUMMYFUNCTION("GOOGLETRANSLATE(D:D,""auto"",""en"")"),"2600 US isolated")</f>
        <v>2600 US isolated</v>
      </c>
      <c r="D4012" s="4" t="s">
        <v>6070</v>
      </c>
      <c r="E4012" s="4">
        <v>0.0</v>
      </c>
      <c r="F4012" s="4">
        <v>11.0</v>
      </c>
      <c r="G4012" s="4" t="s">
        <v>6071</v>
      </c>
    </row>
    <row r="4013">
      <c r="A4013" s="1">
        <v>4011.0</v>
      </c>
      <c r="B4013" s="4" t="s">
        <v>6051</v>
      </c>
      <c r="C4013" s="5" t="str">
        <f>IFERROR(__xludf.DUMMYFUNCTION("GOOGLETRANSLATE(D:D,""auto"",""en"")"),"One million masks to Italy")</f>
        <v>One million masks to Italy</v>
      </c>
      <c r="D4013" s="4" t="s">
        <v>6072</v>
      </c>
      <c r="E4013" s="4">
        <v>0.0</v>
      </c>
      <c r="F4013" s="4">
        <v>12.0</v>
      </c>
      <c r="G4013" s="4" t="s">
        <v>6073</v>
      </c>
    </row>
    <row r="4014">
      <c r="A4014" s="1">
        <v>4012.0</v>
      </c>
      <c r="B4014" s="4" t="s">
        <v>6051</v>
      </c>
      <c r="C4014" s="5" t="str">
        <f>IFERROR(__xludf.DUMMYFUNCTION("GOOGLETRANSLATE(D:D,""auto"",""en"")"),"Chinese red envelopes mother-daughter Aid")</f>
        <v>Chinese red envelopes mother-daughter Aid</v>
      </c>
      <c r="D4014" s="4" t="s">
        <v>6074</v>
      </c>
      <c r="E4014" s="4">
        <v>0.0</v>
      </c>
      <c r="F4014" s="4">
        <v>13.0</v>
      </c>
      <c r="G4014" s="4" t="s">
        <v>6075</v>
      </c>
    </row>
    <row r="4015">
      <c r="A4015" s="1">
        <v>4013.0</v>
      </c>
      <c r="B4015" s="4" t="s">
        <v>6051</v>
      </c>
      <c r="C4015" s="5" t="str">
        <f>IFERROR(__xludf.DUMMYFUNCTION("GOOGLETRANSLATE(D:D,""auto"",""en"")"),"Experts on Wuhan reopened")</f>
        <v>Experts on Wuhan reopened</v>
      </c>
      <c r="D4015" s="4" t="s">
        <v>6076</v>
      </c>
      <c r="E4015" s="4">
        <v>0.0</v>
      </c>
      <c r="F4015" s="4">
        <v>14.0</v>
      </c>
      <c r="G4015" s="4" t="s">
        <v>6077</v>
      </c>
    </row>
    <row r="4016">
      <c r="A4016" s="1">
        <v>4014.0</v>
      </c>
      <c r="B4016" s="4" t="s">
        <v>6051</v>
      </c>
      <c r="C4016" s="5" t="str">
        <f>IFERROR(__xludf.DUMMYFUNCTION("GOOGLETRANSLATE(D:D,""auto"",""en"")"),"Sicong shopping did not wear masks")</f>
        <v>Sicong shopping did not wear masks</v>
      </c>
      <c r="D4016" s="4" t="s">
        <v>6078</v>
      </c>
      <c r="E4016" s="4">
        <v>0.0</v>
      </c>
      <c r="F4016" s="4">
        <v>15.0</v>
      </c>
      <c r="G4016" s="4" t="s">
        <v>6079</v>
      </c>
    </row>
    <row r="4017">
      <c r="A4017" s="1">
        <v>4015.0</v>
      </c>
      <c r="B4017" s="4" t="s">
        <v>6051</v>
      </c>
      <c r="C4017" s="5" t="str">
        <f>IFERROR(__xludf.DUMMYFUNCTION("GOOGLETRANSLATE(D:D,""auto"",""en"")"),"The United States announced that New York was the hardest hit")</f>
        <v>The United States announced that New York was the hardest hit</v>
      </c>
      <c r="D4017" s="4" t="s">
        <v>6080</v>
      </c>
      <c r="E4017" s="4">
        <v>0.0</v>
      </c>
      <c r="F4017" s="4">
        <v>16.0</v>
      </c>
      <c r="G4017" s="4" t="s">
        <v>6081</v>
      </c>
    </row>
    <row r="4018">
      <c r="A4018" s="1">
        <v>4016.0</v>
      </c>
      <c r="B4018" s="4" t="s">
        <v>6051</v>
      </c>
      <c r="C4018" s="5" t="str">
        <f>IFERROR(__xludf.DUMMYFUNCTION("GOOGLETRANSLATE(D:D,""auto"",""en"")"),"The Italian public praise Sichuan expert")</f>
        <v>The Italian public praise Sichuan expert</v>
      </c>
      <c r="D4018" s="4" t="s">
        <v>6082</v>
      </c>
      <c r="E4018" s="4">
        <v>0.0</v>
      </c>
      <c r="F4018" s="4">
        <v>17.0</v>
      </c>
      <c r="G4018" s="4" t="s">
        <v>6083</v>
      </c>
    </row>
    <row r="4019">
      <c r="A4019" s="1">
        <v>4017.0</v>
      </c>
      <c r="B4019" s="4" t="s">
        <v>6051</v>
      </c>
      <c r="C4019" s="5" t="str">
        <f>IFERROR(__xludf.DUMMYFUNCTION("GOOGLETRANSLATE(D:D,""auto"",""en"")"),"US sanctions against Iran enterprise aid")</f>
        <v>US sanctions against Iran enterprise aid</v>
      </c>
      <c r="D4019" s="4" t="s">
        <v>6084</v>
      </c>
      <c r="E4019" s="4">
        <v>0.0</v>
      </c>
      <c r="F4019" s="4">
        <v>18.0</v>
      </c>
      <c r="G4019" s="4" t="s">
        <v>6085</v>
      </c>
    </row>
    <row r="4020">
      <c r="A4020" s="1">
        <v>4018.0</v>
      </c>
      <c r="B4020" s="4" t="s">
        <v>6051</v>
      </c>
      <c r="C4020" s="5" t="str">
        <f>IFERROR(__xludf.DUMMYFUNCTION("GOOGLETRANSLATE(D:D,""auto"",""en"")"),"Mark issued a document batches Trump")</f>
        <v>Mark issued a document batches Trump</v>
      </c>
      <c r="D4020" s="4" t="s">
        <v>6086</v>
      </c>
      <c r="E4020" s="4">
        <v>0.0</v>
      </c>
      <c r="F4020" s="4">
        <v>19.0</v>
      </c>
      <c r="G4020" s="4" t="s">
        <v>6087</v>
      </c>
    </row>
    <row r="4021">
      <c r="A4021" s="1">
        <v>4019.0</v>
      </c>
      <c r="B4021" s="4" t="s">
        <v>6051</v>
      </c>
      <c r="C4021" s="5" t="str">
        <f>IFERROR(__xludf.DUMMYFUNCTION("GOOGLETRANSLATE(D:D,""auto"",""en"")"),"Hua Chunying issued a document asking the United States")</f>
        <v>Hua Chunying issued a document asking the United States</v>
      </c>
      <c r="D4021" s="4" t="s">
        <v>6088</v>
      </c>
      <c r="E4021" s="4">
        <v>0.0</v>
      </c>
      <c r="F4021" s="4">
        <v>20.0</v>
      </c>
      <c r="G4021" s="4" t="s">
        <v>6089</v>
      </c>
    </row>
    <row r="4022">
      <c r="A4022" s="1">
        <v>4020.0</v>
      </c>
      <c r="B4022" s="4" t="s">
        <v>6051</v>
      </c>
      <c r="C4022" s="5" t="str">
        <f>IFERROR(__xludf.DUMMYFUNCTION("GOOGLETRANSLATE(D:D,""auto"",""en"")"),"High Yunxiang lawyer responded isolation")</f>
        <v>High Yunxiang lawyer responded isolation</v>
      </c>
      <c r="D4022" s="4" t="s">
        <v>6090</v>
      </c>
      <c r="E4022" s="4">
        <v>0.0</v>
      </c>
      <c r="F4022" s="4">
        <v>21.0</v>
      </c>
      <c r="G4022" s="4" t="s">
        <v>6091</v>
      </c>
    </row>
    <row r="4023">
      <c r="A4023" s="1">
        <v>4021.0</v>
      </c>
      <c r="B4023" s="4" t="s">
        <v>6051</v>
      </c>
      <c r="C4023" s="5" t="str">
        <f>IFERROR(__xludf.DUMMYFUNCTION("GOOGLETRANSLATE(D:D,""auto"",""en"")"),"Hangzhou adjustment control measures")</f>
        <v>Hangzhou adjustment control measures</v>
      </c>
      <c r="D4023" s="4" t="s">
        <v>6092</v>
      </c>
      <c r="E4023" s="4">
        <v>0.0</v>
      </c>
      <c r="F4023" s="4">
        <v>22.0</v>
      </c>
      <c r="G4023" s="4" t="s">
        <v>6093</v>
      </c>
    </row>
    <row r="4024">
      <c r="A4024" s="1">
        <v>4022.0</v>
      </c>
      <c r="B4024" s="4" t="s">
        <v>6051</v>
      </c>
      <c r="C4024" s="5" t="str">
        <f>IFERROR(__xludf.DUMMYFUNCTION("GOOGLETRANSLATE(D:D,""auto"",""en"")"),"Western media said Wu Lei confirmed infection")</f>
        <v>Western media said Wu Lei confirmed infection</v>
      </c>
      <c r="D4024" s="4" t="s">
        <v>6094</v>
      </c>
      <c r="E4024" s="4">
        <v>0.0</v>
      </c>
      <c r="F4024" s="4">
        <v>23.0</v>
      </c>
      <c r="G4024" s="4" t="s">
        <v>6095</v>
      </c>
    </row>
    <row r="4025">
      <c r="A4025" s="1">
        <v>4023.0</v>
      </c>
      <c r="B4025" s="4" t="s">
        <v>6051</v>
      </c>
      <c r="C4025" s="5" t="str">
        <f>IFERROR(__xludf.DUMMYFUNCTION("GOOGLETRANSLATE(D:D,""auto"",""en"")"),"The doctor patient was stabbed with a knife")</f>
        <v>The doctor patient was stabbed with a knife</v>
      </c>
      <c r="D4025" s="4" t="s">
        <v>6096</v>
      </c>
      <c r="E4025" s="4">
        <v>0.0</v>
      </c>
      <c r="F4025" s="4">
        <v>24.0</v>
      </c>
      <c r="G4025" s="4" t="s">
        <v>6097</v>
      </c>
    </row>
    <row r="4026">
      <c r="A4026" s="1">
        <v>4024.0</v>
      </c>
      <c r="B4026" s="4" t="s">
        <v>6051</v>
      </c>
      <c r="C4026" s="5" t="str">
        <f>IFERROR(__xludf.DUMMYFUNCTION("GOOGLETRANSLATE(D:D,""auto"",""en"")"),"Hornets woman refused to self-isolation")</f>
        <v>Hornets woman refused to self-isolation</v>
      </c>
      <c r="D4026" s="4" t="s">
        <v>6011</v>
      </c>
      <c r="E4026" s="4">
        <v>0.0</v>
      </c>
      <c r="F4026" s="4">
        <v>25.0</v>
      </c>
      <c r="G4026" s="4" t="s">
        <v>6012</v>
      </c>
    </row>
    <row r="4027">
      <c r="A4027" s="1">
        <v>4025.0</v>
      </c>
      <c r="B4027" s="4" t="s">
        <v>6051</v>
      </c>
      <c r="C4027" s="5" t="str">
        <f>IFERROR(__xludf.DUMMYFUNCTION("GOOGLETRANSLATE(D:D,""auto"",""en"")"),"Mountain forest fires")</f>
        <v>Mountain forest fires</v>
      </c>
      <c r="D4027" s="4" t="s">
        <v>6009</v>
      </c>
      <c r="E4027" s="4">
        <v>0.0</v>
      </c>
      <c r="F4027" s="4">
        <v>26.0</v>
      </c>
      <c r="G4027" s="4" t="s">
        <v>6010</v>
      </c>
    </row>
    <row r="4028">
      <c r="A4028" s="1">
        <v>4026.0</v>
      </c>
      <c r="B4028" s="4" t="s">
        <v>6051</v>
      </c>
      <c r="C4028" s="5" t="str">
        <f>IFERROR(__xludf.DUMMYFUNCTION("GOOGLETRANSLATE(D:D,""auto"",""en"")"),"Four cases by outside input Fujian")</f>
        <v>Four cases by outside input Fujian</v>
      </c>
      <c r="D4028" s="4" t="s">
        <v>6098</v>
      </c>
      <c r="E4028" s="4">
        <v>0.0</v>
      </c>
      <c r="F4028" s="4">
        <v>27.0</v>
      </c>
      <c r="G4028" s="4" t="s">
        <v>6099</v>
      </c>
    </row>
    <row r="4029">
      <c r="A4029" s="1">
        <v>4027.0</v>
      </c>
      <c r="B4029" s="4" t="s">
        <v>6051</v>
      </c>
      <c r="C4029" s="5" t="str">
        <f>IFERROR(__xludf.DUMMYFUNCTION("GOOGLETRANSLATE(D:D,""auto"",""en"")"),"China was praised new home 0")</f>
        <v>China was praised new home 0</v>
      </c>
      <c r="D4029" s="4" t="s">
        <v>6033</v>
      </c>
      <c r="E4029" s="4">
        <v>0.0</v>
      </c>
      <c r="F4029" s="4">
        <v>28.0</v>
      </c>
      <c r="G4029" s="4" t="s">
        <v>6034</v>
      </c>
    </row>
    <row r="4030">
      <c r="A4030" s="1">
        <v>4028.0</v>
      </c>
      <c r="B4030" s="4" t="s">
        <v>6051</v>
      </c>
      <c r="C4030" s="5" t="str">
        <f>IFERROR(__xludf.DUMMYFUNCTION("GOOGLETRANSLATE(D:D,""auto"",""en"")"),"Taiwan by foreign input 18 cases")</f>
        <v>Taiwan by foreign input 18 cases</v>
      </c>
      <c r="D4030" s="4" t="s">
        <v>6100</v>
      </c>
      <c r="E4030" s="4">
        <v>0.0</v>
      </c>
      <c r="F4030" s="4">
        <v>29.0</v>
      </c>
      <c r="G4030" s="4" t="s">
        <v>6101</v>
      </c>
    </row>
    <row r="4031">
      <c r="A4031" s="1">
        <v>4029.0</v>
      </c>
      <c r="B4031" s="4" t="s">
        <v>6051</v>
      </c>
      <c r="C4031" s="5" t="str">
        <f>IFERROR(__xludf.DUMMYFUNCTION("GOOGLETRANSLATE(D:D,""auto"",""en"")"),"US lawmakers concealed epidemic")</f>
        <v>US lawmakers concealed epidemic</v>
      </c>
      <c r="D4031" s="4" t="s">
        <v>6102</v>
      </c>
      <c r="E4031" s="4">
        <v>0.0</v>
      </c>
      <c r="F4031" s="4">
        <v>30.0</v>
      </c>
      <c r="G4031" s="4" t="s">
        <v>6103</v>
      </c>
    </row>
    <row r="4032">
      <c r="A4032" s="1">
        <v>4030.0</v>
      </c>
      <c r="B4032" s="4" t="s">
        <v>6051</v>
      </c>
      <c r="C4032" s="5" t="str">
        <f>IFERROR(__xludf.DUMMYFUNCTION("GOOGLETRANSLATE(D:D,""auto"",""en"")"),"Kanye recorded conversations mold mold exposure")</f>
        <v>Kanye recorded conversations mold mold exposure</v>
      </c>
      <c r="D4032" s="4" t="s">
        <v>6104</v>
      </c>
      <c r="E4032" s="4">
        <v>0.0</v>
      </c>
      <c r="F4032" s="4">
        <v>31.0</v>
      </c>
      <c r="G4032" s="4" t="s">
        <v>6105</v>
      </c>
    </row>
    <row r="4033">
      <c r="A4033" s="1">
        <v>4031.0</v>
      </c>
      <c r="B4033" s="4" t="s">
        <v>6051</v>
      </c>
      <c r="C4033" s="5" t="str">
        <f>IFERROR(__xludf.DUMMYFUNCTION("GOOGLETRANSLATE(D:D,""auto"",""en"")"),"Hangzhou was heavy rain raid")</f>
        <v>Hangzhou was heavy rain raid</v>
      </c>
      <c r="D4033" s="4" t="s">
        <v>6106</v>
      </c>
      <c r="E4033" s="4">
        <v>0.0</v>
      </c>
      <c r="F4033" s="4">
        <v>32.0</v>
      </c>
      <c r="G4033" s="4" t="s">
        <v>6107</v>
      </c>
    </row>
    <row r="4034">
      <c r="A4034" s="1">
        <v>4032.0</v>
      </c>
      <c r="B4034" s="4" t="s">
        <v>6051</v>
      </c>
      <c r="C4034" s="5" t="str">
        <f>IFERROR(__xludf.DUMMYFUNCTION("GOOGLETRANSLATE(D:D,""auto"",""en"")"),"Lida Xiao Chuan net to be interviewed")</f>
        <v>Lida Xiao Chuan net to be interviewed</v>
      </c>
      <c r="D4034" s="4" t="s">
        <v>6108</v>
      </c>
      <c r="E4034" s="4">
        <v>0.0</v>
      </c>
      <c r="F4034" s="4">
        <v>33.0</v>
      </c>
      <c r="G4034" s="4" t="s">
        <v>6109</v>
      </c>
    </row>
    <row r="4035">
      <c r="A4035" s="1">
        <v>4033.0</v>
      </c>
      <c r="B4035" s="4" t="s">
        <v>6051</v>
      </c>
      <c r="C4035" s="5" t="str">
        <f>IFERROR(__xludf.DUMMYFUNCTION("GOOGLETRANSLATE(D:D,""auto"",""en"")"),"US to build 18 shelters hospital")</f>
        <v>US to build 18 shelters hospital</v>
      </c>
      <c r="D4035" s="4" t="s">
        <v>6110</v>
      </c>
      <c r="E4035" s="4">
        <v>0.0</v>
      </c>
      <c r="F4035" s="4">
        <v>34.0</v>
      </c>
      <c r="G4035" s="4" t="s">
        <v>6111</v>
      </c>
    </row>
    <row r="4036">
      <c r="A4036" s="1">
        <v>4034.0</v>
      </c>
      <c r="B4036" s="4" t="s">
        <v>6051</v>
      </c>
      <c r="C4036" s="5" t="str">
        <f>IFERROR(__xludf.DUMMYFUNCTION("GOOGLETRANSLATE(D:D,""auto"",""en"")"),"Spanish Minister of Health to tears")</f>
        <v>Spanish Minister of Health to tears</v>
      </c>
      <c r="D4036" s="4" t="s">
        <v>6112</v>
      </c>
      <c r="E4036" s="4">
        <v>0.0</v>
      </c>
      <c r="F4036" s="4">
        <v>35.0</v>
      </c>
      <c r="G4036" s="4" t="s">
        <v>6113</v>
      </c>
    </row>
    <row r="4037">
      <c r="A4037" s="1">
        <v>4035.0</v>
      </c>
      <c r="B4037" s="4" t="s">
        <v>6051</v>
      </c>
      <c r="C4037" s="5" t="str">
        <f>IFERROR(__xludf.DUMMYFUNCTION("GOOGLETRANSLATE(D:D,""auto"",""en"")"),"British Prime Minister Tun exposed several car supplies")</f>
        <v>British Prime Minister Tun exposed several car supplies</v>
      </c>
      <c r="D4037" s="4" t="s">
        <v>6031</v>
      </c>
      <c r="E4037" s="4">
        <v>0.0</v>
      </c>
      <c r="F4037" s="4">
        <v>36.0</v>
      </c>
      <c r="G4037" s="4" t="s">
        <v>6032</v>
      </c>
    </row>
    <row r="4038">
      <c r="A4038" s="1">
        <v>4036.0</v>
      </c>
      <c r="B4038" s="4" t="s">
        <v>6051</v>
      </c>
      <c r="C4038" s="5" t="str">
        <f>IFERROR(__xludf.DUMMYFUNCTION("GOOGLETRANSLATE(D:D,""auto"",""en"")"),"Dutch health minister resigns")</f>
        <v>Dutch health minister resigns</v>
      </c>
      <c r="D4038" s="4" t="s">
        <v>6041</v>
      </c>
      <c r="E4038" s="4">
        <v>0.0</v>
      </c>
      <c r="F4038" s="4">
        <v>37.0</v>
      </c>
      <c r="G4038" s="4" t="s">
        <v>6042</v>
      </c>
    </row>
    <row r="4039">
      <c r="A4039" s="1">
        <v>4037.0</v>
      </c>
      <c r="B4039" s="4" t="s">
        <v>6051</v>
      </c>
      <c r="C4039" s="5" t="str">
        <f>IFERROR(__xludf.DUMMYFUNCTION("GOOGLETRANSLATE(D:D,""auto"",""en"")"),"The Olympic flame, strong winds blew")</f>
        <v>The Olympic flame, strong winds blew</v>
      </c>
      <c r="D4039" s="4" t="s">
        <v>6029</v>
      </c>
      <c r="E4039" s="4">
        <v>0.0</v>
      </c>
      <c r="F4039" s="4">
        <v>38.0</v>
      </c>
      <c r="G4039" s="4" t="s">
        <v>6030</v>
      </c>
    </row>
    <row r="4040">
      <c r="A4040" s="1">
        <v>4038.0</v>
      </c>
      <c r="B4040" s="4" t="s">
        <v>6051</v>
      </c>
      <c r="C4040" s="5" t="str">
        <f>IFERROR(__xludf.DUMMYFUNCTION("GOOGLETRANSLATE(D:D,""auto"",""en"")"),"Ministry of Foreign Affairs to talk about the US aid")</f>
        <v>Ministry of Foreign Affairs to talk about the US aid</v>
      </c>
      <c r="D4040" s="4" t="s">
        <v>6005</v>
      </c>
      <c r="E4040" s="4">
        <v>0.0</v>
      </c>
      <c r="F4040" s="4">
        <v>39.0</v>
      </c>
      <c r="G4040" s="4" t="s">
        <v>6006</v>
      </c>
    </row>
    <row r="4041">
      <c r="A4041" s="1">
        <v>4039.0</v>
      </c>
      <c r="B4041" s="4" t="s">
        <v>6051</v>
      </c>
      <c r="C4041" s="5" t="str">
        <f>IFERROR(__xludf.DUMMYFUNCTION("GOOGLETRANSLATE(D:D,""auto"",""en"")"),"Hankou Railway Station comprehensive disinfection")</f>
        <v>Hankou Railway Station comprehensive disinfection</v>
      </c>
      <c r="D4041" s="4" t="s">
        <v>6114</v>
      </c>
      <c r="E4041" s="4">
        <v>0.0</v>
      </c>
      <c r="F4041" s="4">
        <v>40.0</v>
      </c>
      <c r="G4041" s="4" t="s">
        <v>6115</v>
      </c>
    </row>
    <row r="4042">
      <c r="A4042" s="1">
        <v>4040.0</v>
      </c>
      <c r="B4042" s="4" t="s">
        <v>6051</v>
      </c>
      <c r="C4042" s="5" t="str">
        <f>IFERROR(__xludf.DUMMYFUNCTION("GOOGLETRANSLATE(D:D,""auto"",""en"")"),"Chen Daoming or play Zhong Nanshan")</f>
        <v>Chen Daoming or play Zhong Nanshan</v>
      </c>
      <c r="D4042" s="4" t="s">
        <v>6116</v>
      </c>
      <c r="E4042" s="4">
        <v>0.0</v>
      </c>
      <c r="F4042" s="4">
        <v>41.0</v>
      </c>
      <c r="G4042" s="4" t="s">
        <v>6117</v>
      </c>
    </row>
    <row r="4043">
      <c r="A4043" s="1">
        <v>4041.0</v>
      </c>
      <c r="B4043" s="4" t="s">
        <v>6051</v>
      </c>
      <c r="C4043" s="5" t="str">
        <f>IFERROR(__xludf.DUMMYFUNCTION("GOOGLETRANSLATE(D:D,""auto"",""en"")"),"More leadership and pick masks")</f>
        <v>More leadership and pick masks</v>
      </c>
      <c r="D4043" s="4" t="s">
        <v>6118</v>
      </c>
      <c r="E4043" s="4">
        <v>0.0</v>
      </c>
      <c r="F4043" s="4">
        <v>42.0</v>
      </c>
      <c r="G4043" s="4" t="s">
        <v>6119</v>
      </c>
    </row>
    <row r="4044">
      <c r="A4044" s="1">
        <v>4042.0</v>
      </c>
      <c r="B4044" s="4" t="s">
        <v>6051</v>
      </c>
      <c r="C4044" s="5" t="str">
        <f>IFERROR(__xludf.DUMMYFUNCTION("GOOGLETRANSLATE(D:D,""auto"",""en"")"),"The three major US airlines in an emergency")</f>
        <v>The three major US airlines in an emergency</v>
      </c>
      <c r="D4044" s="4" t="s">
        <v>6120</v>
      </c>
      <c r="E4044" s="4">
        <v>0.0</v>
      </c>
      <c r="F4044" s="4">
        <v>43.0</v>
      </c>
      <c r="G4044" s="4" t="s">
        <v>6121</v>
      </c>
    </row>
    <row r="4045">
      <c r="A4045" s="1">
        <v>4043.0</v>
      </c>
      <c r="B4045" s="4" t="s">
        <v>6051</v>
      </c>
      <c r="C4045" s="5" t="str">
        <f>IFERROR(__xludf.DUMMYFUNCTION("GOOGLETRANSLATE(D:D,""auto"",""en"")"),"China has injected vaccine experiments")</f>
        <v>China has injected vaccine experiments</v>
      </c>
      <c r="D4045" s="4" t="s">
        <v>6122</v>
      </c>
      <c r="E4045" s="4">
        <v>0.0</v>
      </c>
      <c r="F4045" s="4">
        <v>44.0</v>
      </c>
      <c r="G4045" s="4" t="s">
        <v>6123</v>
      </c>
    </row>
    <row r="4046">
      <c r="A4046" s="1">
        <v>4044.0</v>
      </c>
      <c r="B4046" s="4" t="s">
        <v>6051</v>
      </c>
      <c r="C4046" s="5" t="str">
        <f>IFERROR(__xludf.DUMMYFUNCTION("GOOGLETRANSLATE(D:D,""auto"",""en"")"),"Li Zi Meng talk about Trump thrown pot")</f>
        <v>Li Zi Meng talk about Trump thrown pot</v>
      </c>
      <c r="D4046" s="4" t="s">
        <v>6124</v>
      </c>
      <c r="E4046" s="4">
        <v>0.0</v>
      </c>
      <c r="F4046" s="4">
        <v>45.0</v>
      </c>
      <c r="G4046" s="4" t="s">
        <v>6125</v>
      </c>
    </row>
    <row r="4047">
      <c r="A4047" s="1">
        <v>4045.0</v>
      </c>
      <c r="B4047" s="4" t="s">
        <v>6051</v>
      </c>
      <c r="C4047" s="5" t="str">
        <f>IFERROR(__xludf.DUMMYFUNCTION("GOOGLETRANSLATE(D:D,""auto"",""en"")"),"Wuhan demolition area and the area on the card point")</f>
        <v>Wuhan demolition area and the area on the card point</v>
      </c>
      <c r="D4047" s="4" t="s">
        <v>6126</v>
      </c>
      <c r="E4047" s="4">
        <v>0.0</v>
      </c>
      <c r="F4047" s="4">
        <v>46.0</v>
      </c>
      <c r="G4047" s="4" t="s">
        <v>6127</v>
      </c>
    </row>
    <row r="4048">
      <c r="A4048" s="1">
        <v>4046.0</v>
      </c>
      <c r="B4048" s="4" t="s">
        <v>6051</v>
      </c>
      <c r="C4048" s="5" t="str">
        <f>IFERROR(__xludf.DUMMYFUNCTION("GOOGLETRANSLATE(D:D,""auto"",""en"")"),"Spain pigeons siege passers")</f>
        <v>Spain pigeons siege passers</v>
      </c>
      <c r="D4048" s="4" t="s">
        <v>6128</v>
      </c>
      <c r="E4048" s="4">
        <v>0.0</v>
      </c>
      <c r="F4048" s="4">
        <v>47.0</v>
      </c>
      <c r="G4048" s="4" t="s">
        <v>6129</v>
      </c>
    </row>
    <row r="4049">
      <c r="A4049" s="1">
        <v>4047.0</v>
      </c>
      <c r="B4049" s="4" t="s">
        <v>6051</v>
      </c>
      <c r="C4049" s="5" t="str">
        <f>IFERROR(__xludf.DUMMYFUNCTION("GOOGLETRANSLATE(D:D,""auto"",""en"")"),"Experts say the fight a protracted war")</f>
        <v>Experts say the fight a protracted war</v>
      </c>
      <c r="D4049" s="4" t="s">
        <v>6130</v>
      </c>
      <c r="E4049" s="4">
        <v>0.0</v>
      </c>
      <c r="F4049" s="4">
        <v>48.0</v>
      </c>
      <c r="G4049" s="4" t="s">
        <v>6131</v>
      </c>
    </row>
    <row r="4050">
      <c r="A4050" s="1">
        <v>4048.0</v>
      </c>
      <c r="B4050" s="4" t="s">
        <v>6051</v>
      </c>
      <c r="C4050" s="5" t="str">
        <f>IFERROR(__xludf.DUMMYFUNCTION("GOOGLETRANSLATE(D:D,""auto"",""en"")"),"Wu Lei sound for the first time after diagnosis")</f>
        <v>Wu Lei sound for the first time after diagnosis</v>
      </c>
      <c r="D4050" s="4" t="s">
        <v>6132</v>
      </c>
      <c r="E4050" s="4">
        <v>0.0</v>
      </c>
      <c r="F4050" s="4">
        <v>49.0</v>
      </c>
      <c r="G4050" s="4" t="s">
        <v>6133</v>
      </c>
    </row>
    <row r="4051">
      <c r="A4051" s="1">
        <v>4049.0</v>
      </c>
      <c r="B4051" s="4" t="s">
        <v>6051</v>
      </c>
      <c r="C4051" s="5" t="str">
        <f>IFERROR(__xludf.DUMMYFUNCTION("GOOGLETRANSLATE(D:D,""auto"",""en"")"),"New Zealand Airport flyers Event")</f>
        <v>New Zealand Airport flyers Event</v>
      </c>
      <c r="D4051" s="4" t="s">
        <v>6134</v>
      </c>
      <c r="E4051" s="4">
        <v>0.0</v>
      </c>
      <c r="F4051" s="4">
        <v>50.0</v>
      </c>
      <c r="G4051" s="4" t="s">
        <v>6135</v>
      </c>
    </row>
    <row r="4052">
      <c r="A4052" s="1">
        <v>4050.0</v>
      </c>
      <c r="B4052" s="4" t="s">
        <v>6136</v>
      </c>
      <c r="C4052" s="5" t="str">
        <f>IFERROR(__xludf.DUMMYFUNCTION("GOOGLETRANSLATE(D:D,""auto"",""en"")"),"US to build 18 shelters hospital")</f>
        <v>US to build 18 shelters hospital</v>
      </c>
      <c r="D4052" s="4" t="s">
        <v>6110</v>
      </c>
      <c r="E4052" s="4">
        <v>0.0</v>
      </c>
      <c r="F4052" s="4">
        <v>1.0</v>
      </c>
      <c r="G4052" s="4" t="s">
        <v>6111</v>
      </c>
    </row>
    <row r="4053">
      <c r="A4053" s="1">
        <v>4051.0</v>
      </c>
      <c r="B4053" s="4" t="s">
        <v>6136</v>
      </c>
      <c r="C4053" s="5" t="str">
        <f>IFERROR(__xludf.DUMMYFUNCTION("GOOGLETRANSLATE(D:D,""auto"",""en"")"),"East Olympic rings performances fail")</f>
        <v>East Olympic rings performances fail</v>
      </c>
      <c r="D4053" s="4" t="s">
        <v>6137</v>
      </c>
      <c r="E4053" s="4">
        <v>0.0</v>
      </c>
      <c r="F4053" s="4">
        <v>2.0</v>
      </c>
      <c r="G4053" s="4" t="s">
        <v>6138</v>
      </c>
    </row>
    <row r="4054">
      <c r="A4054" s="1">
        <v>4052.0</v>
      </c>
      <c r="B4054" s="4" t="s">
        <v>6136</v>
      </c>
      <c r="C4054" s="5" t="str">
        <f>IFERROR(__xludf.DUMMYFUNCTION("GOOGLETRANSLATE(D:D,""auto"",""en"")"),"Spanish Minister of Health to tears")</f>
        <v>Spanish Minister of Health to tears</v>
      </c>
      <c r="D4054" s="4" t="s">
        <v>6112</v>
      </c>
      <c r="E4054" s="4">
        <v>0.0</v>
      </c>
      <c r="F4054" s="4">
        <v>3.0</v>
      </c>
      <c r="G4054" s="4" t="s">
        <v>6113</v>
      </c>
    </row>
    <row r="4055">
      <c r="A4055" s="1">
        <v>4053.0</v>
      </c>
      <c r="B4055" s="4" t="s">
        <v>6136</v>
      </c>
      <c r="C4055" s="5" t="str">
        <f>IFERROR(__xludf.DUMMYFUNCTION("GOOGLETRANSLATE(D:D,""auto"",""en"")"),"Wu Lei sound for the first time after diagnosis")</f>
        <v>Wu Lei sound for the first time after diagnosis</v>
      </c>
      <c r="D4055" s="4" t="s">
        <v>6132</v>
      </c>
      <c r="E4055" s="4">
        <v>0.0</v>
      </c>
      <c r="F4055" s="4">
        <v>4.0</v>
      </c>
      <c r="G4055" s="4" t="s">
        <v>6133</v>
      </c>
    </row>
    <row r="4056">
      <c r="A4056" s="1">
        <v>4054.0</v>
      </c>
      <c r="B4056" s="4" t="s">
        <v>6136</v>
      </c>
      <c r="C4056" s="5" t="str">
        <f>IFERROR(__xludf.DUMMYFUNCTION("GOOGLETRANSLATE(D:D,""auto"",""en"")"),"The doctor patient was stabbed with a knife")</f>
        <v>The doctor patient was stabbed with a knife</v>
      </c>
      <c r="D4056" s="4" t="s">
        <v>6096</v>
      </c>
      <c r="E4056" s="4">
        <v>0.0</v>
      </c>
      <c r="F4056" s="4">
        <v>5.0</v>
      </c>
      <c r="G4056" s="4" t="s">
        <v>6097</v>
      </c>
    </row>
    <row r="4057">
      <c r="A4057" s="1">
        <v>4055.0</v>
      </c>
      <c r="B4057" s="4" t="s">
        <v>6136</v>
      </c>
      <c r="C4057" s="5" t="str">
        <f>IFERROR(__xludf.DUMMYFUNCTION("GOOGLETRANSLATE(D:D,""auto"",""en"")"),"Jiangsu first appearance outside input")</f>
        <v>Jiangsu first appearance outside input</v>
      </c>
      <c r="D4057" s="4" t="s">
        <v>6139</v>
      </c>
      <c r="E4057" s="4">
        <v>0.0</v>
      </c>
      <c r="F4057" s="4">
        <v>6.0</v>
      </c>
      <c r="G4057" s="4" t="s">
        <v>6140</v>
      </c>
    </row>
    <row r="4058">
      <c r="A4058" s="1">
        <v>4056.0</v>
      </c>
      <c r="B4058" s="4" t="s">
        <v>6136</v>
      </c>
      <c r="C4058" s="5" t="str">
        <f>IFERROR(__xludf.DUMMYFUNCTION("GOOGLETRANSLATE(D:D,""auto"",""en"")"),"US growing over 5,000 confirmed")</f>
        <v>US growing over 5,000 confirmed</v>
      </c>
      <c r="D4058" s="4" t="s">
        <v>6141</v>
      </c>
      <c r="E4058" s="4">
        <v>0.0</v>
      </c>
      <c r="F4058" s="4">
        <v>7.0</v>
      </c>
      <c r="G4058" s="4" t="s">
        <v>6142</v>
      </c>
    </row>
    <row r="4059">
      <c r="A4059" s="1">
        <v>4057.0</v>
      </c>
      <c r="B4059" s="4" t="s">
        <v>6136</v>
      </c>
      <c r="C4059" s="5" t="str">
        <f>IFERROR(__xludf.DUMMYFUNCTION("GOOGLETRANSLATE(D:D,""auto"",""en"")"),"The new crown vaccination reaction")</f>
        <v>The new crown vaccination reaction</v>
      </c>
      <c r="D4059" s="4" t="s">
        <v>6143</v>
      </c>
      <c r="E4059" s="4">
        <v>0.0</v>
      </c>
      <c r="F4059" s="4">
        <v>8.0</v>
      </c>
      <c r="G4059" s="4" t="s">
        <v>6144</v>
      </c>
    </row>
    <row r="4060">
      <c r="A4060" s="1">
        <v>4058.0</v>
      </c>
      <c r="B4060" s="4" t="s">
        <v>6136</v>
      </c>
      <c r="C4060" s="5" t="str">
        <f>IFERROR(__xludf.DUMMYFUNCTION("GOOGLETRANSLATE(D:D,""auto"",""en"")"),"Australian Prime Minister to talk about cases Source")</f>
        <v>Australian Prime Minister to talk about cases Source</v>
      </c>
      <c r="D4060" s="4" t="s">
        <v>6145</v>
      </c>
      <c r="E4060" s="4">
        <v>0.0</v>
      </c>
      <c r="F4060" s="4">
        <v>9.0</v>
      </c>
      <c r="G4060" s="4" t="s">
        <v>6146</v>
      </c>
    </row>
    <row r="4061">
      <c r="A4061" s="1">
        <v>4059.0</v>
      </c>
      <c r="B4061" s="4" t="s">
        <v>6136</v>
      </c>
      <c r="C4061" s="5" t="str">
        <f>IFERROR(__xludf.DUMMYFUNCTION("GOOGLETRANSLATE(D:D,""auto"",""en"")"),"Serbian President kissed the flag")</f>
        <v>Serbian President kissed the flag</v>
      </c>
      <c r="D4061" s="4" t="s">
        <v>6147</v>
      </c>
      <c r="E4061" s="4">
        <v>0.0</v>
      </c>
      <c r="F4061" s="4">
        <v>10.0</v>
      </c>
      <c r="G4061" s="4" t="s">
        <v>6148</v>
      </c>
    </row>
    <row r="4062">
      <c r="A4062" s="1">
        <v>4060.0</v>
      </c>
      <c r="B4062" s="4" t="s">
        <v>6136</v>
      </c>
      <c r="C4062" s="5" t="str">
        <f>IFERROR(__xludf.DUMMYFUNCTION("GOOGLETRANSLATE(D:D,""auto"",""en"")"),"Luneng Fellaini was diagnosed")</f>
        <v>Luneng Fellaini was diagnosed</v>
      </c>
      <c r="D4062" s="4" t="s">
        <v>6149</v>
      </c>
      <c r="E4062" s="4">
        <v>0.0</v>
      </c>
      <c r="F4062" s="4">
        <v>11.0</v>
      </c>
      <c r="G4062" s="4" t="s">
        <v>6150</v>
      </c>
    </row>
    <row r="4063">
      <c r="A4063" s="1">
        <v>4061.0</v>
      </c>
      <c r="B4063" s="4" t="s">
        <v>6136</v>
      </c>
      <c r="C4063" s="5" t="str">
        <f>IFERROR(__xludf.DUMMYFUNCTION("GOOGLETRANSLATE(D:D,""auto"",""en"")"),"Hebei first imported case")</f>
        <v>Hebei first imported case</v>
      </c>
      <c r="D4063" s="4" t="s">
        <v>6151</v>
      </c>
      <c r="E4063" s="4">
        <v>0.0</v>
      </c>
      <c r="F4063" s="4">
        <v>12.0</v>
      </c>
      <c r="G4063" s="4" t="s">
        <v>6152</v>
      </c>
    </row>
    <row r="4064">
      <c r="A4064" s="1">
        <v>4062.0</v>
      </c>
      <c r="B4064" s="4" t="s">
        <v>6136</v>
      </c>
      <c r="C4064" s="5" t="str">
        <f>IFERROR(__xludf.DUMMYFUNCTION("GOOGLETRANSLATE(D:D,""auto"",""en"")"),"Ye Zhong Nanshan, according to dialogue")</f>
        <v>Ye Zhong Nanshan, according to dialogue</v>
      </c>
      <c r="D4064" s="4" t="s">
        <v>6153</v>
      </c>
      <c r="E4064" s="4">
        <v>0.0</v>
      </c>
      <c r="F4064" s="4">
        <v>13.0</v>
      </c>
      <c r="G4064" s="4" t="s">
        <v>6154</v>
      </c>
    </row>
    <row r="4065">
      <c r="A4065" s="1">
        <v>4063.0</v>
      </c>
      <c r="B4065" s="4" t="s">
        <v>6136</v>
      </c>
      <c r="C4065" s="5" t="str">
        <f>IFERROR(__xludf.DUMMYFUNCTION("GOOGLETRANSLATE(D:D,""auto"",""en"")"),"Shenzhen manhole tanker fire")</f>
        <v>Shenzhen manhole tanker fire</v>
      </c>
      <c r="D4065" s="4" t="s">
        <v>6155</v>
      </c>
      <c r="E4065" s="4">
        <v>0.0</v>
      </c>
      <c r="F4065" s="4">
        <v>14.0</v>
      </c>
      <c r="G4065" s="4" t="s">
        <v>6156</v>
      </c>
    </row>
    <row r="4066">
      <c r="A4066" s="1">
        <v>4064.0</v>
      </c>
      <c r="B4066" s="4" t="s">
        <v>6136</v>
      </c>
      <c r="C4066" s="5" t="str">
        <f>IFERROR(__xludf.DUMMYFUNCTION("GOOGLETRANSLATE(D:D,""auto"",""en"")"),"Foreign son refused to focus on isolation")</f>
        <v>Foreign son refused to focus on isolation</v>
      </c>
      <c r="D4066" s="4" t="s">
        <v>6157</v>
      </c>
      <c r="E4066" s="4">
        <v>0.0</v>
      </c>
      <c r="F4066" s="4">
        <v>15.0</v>
      </c>
      <c r="G4066" s="4" t="s">
        <v>6158</v>
      </c>
    </row>
    <row r="4067">
      <c r="A4067" s="1">
        <v>4065.0</v>
      </c>
      <c r="B4067" s="4" t="s">
        <v>6136</v>
      </c>
      <c r="C4067" s="5" t="str">
        <f>IFERROR(__xludf.DUMMYFUNCTION("GOOGLETRANSLATE(D:D,""auto"",""en"")"),"45 cases nationwide increased foreign input")</f>
        <v>45 cases nationwide increased foreign input</v>
      </c>
      <c r="D4067" s="4" t="s">
        <v>6159</v>
      </c>
      <c r="E4067" s="4">
        <v>0.0</v>
      </c>
      <c r="F4067" s="4">
        <v>16.0</v>
      </c>
      <c r="G4067" s="4" t="s">
        <v>6160</v>
      </c>
    </row>
    <row r="4068">
      <c r="A4068" s="1">
        <v>4066.0</v>
      </c>
      <c r="B4068" s="4" t="s">
        <v>6136</v>
      </c>
      <c r="C4068" s="5" t="str">
        <f>IFERROR(__xludf.DUMMYFUNCTION("GOOGLETRANSLATE(D:D,""auto"",""en"")"),"Exposure Ouyang Nana entry Ali")</f>
        <v>Exposure Ouyang Nana entry Ali</v>
      </c>
      <c r="D4068" s="4" t="s">
        <v>6161</v>
      </c>
      <c r="E4068" s="4">
        <v>0.0</v>
      </c>
      <c r="F4068" s="4">
        <v>17.0</v>
      </c>
      <c r="G4068" s="4" t="s">
        <v>6162</v>
      </c>
    </row>
    <row r="4069">
      <c r="A4069" s="1">
        <v>4067.0</v>
      </c>
      <c r="B4069" s="4" t="s">
        <v>6136</v>
      </c>
      <c r="C4069" s="5" t="str">
        <f>IFERROR(__xludf.DUMMYFUNCTION("GOOGLETRANSLATE(D:D,""auto"",""en"")"),"Singapore announced the closure States")</f>
        <v>Singapore announced the closure States</v>
      </c>
      <c r="D4069" s="4" t="s">
        <v>6163</v>
      </c>
      <c r="E4069" s="4">
        <v>0.0</v>
      </c>
      <c r="F4069" s="4">
        <v>18.0</v>
      </c>
      <c r="G4069" s="4" t="s">
        <v>6164</v>
      </c>
    </row>
    <row r="4070">
      <c r="A4070" s="1">
        <v>4068.0</v>
      </c>
      <c r="B4070" s="4" t="s">
        <v>6136</v>
      </c>
      <c r="C4070" s="5" t="str">
        <f>IFERROR(__xludf.DUMMYFUNCTION("GOOGLETRANSLATE(D:D,""auto"",""en"")"),"Hubei Province in the passenger recovery")</f>
        <v>Hubei Province in the passenger recovery</v>
      </c>
      <c r="D4070" s="4" t="s">
        <v>6165</v>
      </c>
      <c r="E4070" s="4">
        <v>0.0</v>
      </c>
      <c r="F4070" s="4">
        <v>19.0</v>
      </c>
      <c r="G4070" s="4" t="s">
        <v>6166</v>
      </c>
    </row>
    <row r="4071">
      <c r="A4071" s="1">
        <v>4069.0</v>
      </c>
      <c r="B4071" s="4" t="s">
        <v>6136</v>
      </c>
      <c r="C4071" s="5" t="str">
        <f>IFERROR(__xludf.DUMMYFUNCTION("GOOGLETRANSLATE(D:D,""auto"",""en"")"),"Flights to Beijing 12 entry points")</f>
        <v>Flights to Beijing 12 entry points</v>
      </c>
      <c r="D4071" s="4" t="s">
        <v>6167</v>
      </c>
      <c r="E4071" s="4">
        <v>0.0</v>
      </c>
      <c r="F4071" s="4">
        <v>20.0</v>
      </c>
      <c r="G4071" s="4" t="s">
        <v>6168</v>
      </c>
    </row>
    <row r="4072">
      <c r="A4072" s="1">
        <v>4070.0</v>
      </c>
      <c r="B4072" s="4" t="s">
        <v>6136</v>
      </c>
      <c r="C4072" s="5" t="str">
        <f>IFERROR(__xludf.DUMMYFUNCTION("GOOGLETRANSLATE(D:D,""auto"",""en"")"),"An increase of 44 cases were diagnosed in Hong Kong")</f>
        <v>An increase of 44 cases were diagnosed in Hong Kong</v>
      </c>
      <c r="D4072" s="4" t="s">
        <v>6169</v>
      </c>
      <c r="E4072" s="4">
        <v>0.0</v>
      </c>
      <c r="F4072" s="4">
        <v>21.0</v>
      </c>
      <c r="G4072" s="4" t="s">
        <v>6170</v>
      </c>
    </row>
    <row r="4073">
      <c r="A4073" s="1">
        <v>4071.0</v>
      </c>
      <c r="B4073" s="4" t="s">
        <v>6136</v>
      </c>
      <c r="C4073" s="5" t="str">
        <f>IFERROR(__xludf.DUMMYFUNCTION("GOOGLETRANSLATE(D:D,""auto"",""en"")"),"Hua Chunying spokesman asked the United States")</f>
        <v>Hua Chunying spokesman asked the United States</v>
      </c>
      <c r="D4073" s="4" t="s">
        <v>6171</v>
      </c>
      <c r="E4073" s="4">
        <v>0.0</v>
      </c>
      <c r="F4073" s="4">
        <v>22.0</v>
      </c>
      <c r="G4073" s="4" t="s">
        <v>6172</v>
      </c>
    </row>
    <row r="4074">
      <c r="A4074" s="1">
        <v>4072.0</v>
      </c>
      <c r="B4074" s="4" t="s">
        <v>6136</v>
      </c>
      <c r="C4074" s="5" t="str">
        <f>IFERROR(__xludf.DUMMYFUNCTION("GOOGLETRANSLATE(D:D,""auto"",""en"")"),"Germany is willing to aid patients in France")</f>
        <v>Germany is willing to aid patients in France</v>
      </c>
      <c r="D4074" s="4" t="s">
        <v>6173</v>
      </c>
      <c r="E4074" s="4">
        <v>0.0</v>
      </c>
      <c r="F4074" s="4">
        <v>23.0</v>
      </c>
      <c r="G4074" s="4" t="s">
        <v>6174</v>
      </c>
    </row>
    <row r="4075">
      <c r="A4075" s="1">
        <v>4073.0</v>
      </c>
      <c r="B4075" s="4" t="s">
        <v>6136</v>
      </c>
      <c r="C4075" s="5" t="str">
        <f>IFERROR(__xludf.DUMMYFUNCTION("GOOGLETRANSLATE(D:D,""auto"",""en"")"),"Hubei Province from the Chinese policy")</f>
        <v>Hubei Province from the Chinese policy</v>
      </c>
      <c r="D4075" s="4" t="s">
        <v>6175</v>
      </c>
      <c r="E4075" s="4">
        <v>0.0</v>
      </c>
      <c r="F4075" s="4">
        <v>24.0</v>
      </c>
      <c r="G4075" s="4" t="s">
        <v>6176</v>
      </c>
    </row>
    <row r="4076">
      <c r="A4076" s="1">
        <v>4074.0</v>
      </c>
      <c r="B4076" s="4" t="s">
        <v>6136</v>
      </c>
      <c r="C4076" s="5" t="str">
        <f>IFERROR(__xludf.DUMMYFUNCTION("GOOGLETRANSLATE(D:D,""auto"",""en"")"),"Beijing informed Huang Mouying event")</f>
        <v>Beijing informed Huang Mouying event</v>
      </c>
      <c r="D4076" s="4" t="s">
        <v>6177</v>
      </c>
      <c r="E4076" s="4">
        <v>0.0</v>
      </c>
      <c r="F4076" s="4">
        <v>25.0</v>
      </c>
      <c r="G4076" s="4" t="s">
        <v>6178</v>
      </c>
    </row>
    <row r="4077">
      <c r="A4077" s="1">
        <v>4075.0</v>
      </c>
      <c r="B4077" s="4" t="s">
        <v>6136</v>
      </c>
      <c r="C4077" s="5" t="str">
        <f>IFERROR(__xludf.DUMMYFUNCTION("GOOGLETRANSLATE(D:D,""auto"",""en"")"),"The United States or one day surge 500 000")</f>
        <v>The United States or one day surge 500 000</v>
      </c>
      <c r="D4077" s="4" t="s">
        <v>6179</v>
      </c>
      <c r="E4077" s="4">
        <v>0.0</v>
      </c>
      <c r="F4077" s="4">
        <v>26.0</v>
      </c>
      <c r="G4077" s="4" t="s">
        <v>6180</v>
      </c>
    </row>
    <row r="4078">
      <c r="A4078" s="1">
        <v>4076.0</v>
      </c>
      <c r="B4078" s="4" t="s">
        <v>6136</v>
      </c>
      <c r="C4078" s="5" t="str">
        <f>IFERROR(__xludf.DUMMYFUNCTION("GOOGLETRANSLATE(D:D,""auto"",""en"")"),"Hangzhou was heavy rain raid")</f>
        <v>Hangzhou was heavy rain raid</v>
      </c>
      <c r="D4078" s="4" t="s">
        <v>6106</v>
      </c>
      <c r="E4078" s="4">
        <v>0.0</v>
      </c>
      <c r="F4078" s="4">
        <v>27.0</v>
      </c>
      <c r="G4078" s="4" t="s">
        <v>6107</v>
      </c>
    </row>
    <row r="4079">
      <c r="A4079" s="1">
        <v>4077.0</v>
      </c>
      <c r="B4079" s="4" t="s">
        <v>6136</v>
      </c>
      <c r="C4079" s="5" t="str">
        <f>IFERROR(__xludf.DUMMYFUNCTION("GOOGLETRANSLATE(D:D,""auto"",""en"")"),"Lida Xiao Chuan net to be interviewed")</f>
        <v>Lida Xiao Chuan net to be interviewed</v>
      </c>
      <c r="D4079" s="4" t="s">
        <v>6108</v>
      </c>
      <c r="E4079" s="4">
        <v>0.0</v>
      </c>
      <c r="F4079" s="4">
        <v>28.0</v>
      </c>
      <c r="G4079" s="4" t="s">
        <v>6109</v>
      </c>
    </row>
    <row r="4080">
      <c r="A4080" s="1">
        <v>4078.0</v>
      </c>
      <c r="B4080" s="4" t="s">
        <v>6136</v>
      </c>
      <c r="C4080" s="5" t="str">
        <f>IFERROR(__xludf.DUMMYFUNCTION("GOOGLETRANSLATE(D:D,""auto"",""en"")"),"Rudd help China")</f>
        <v>Rudd help China</v>
      </c>
      <c r="D4080" s="4" t="s">
        <v>6181</v>
      </c>
      <c r="E4080" s="4">
        <v>0.0</v>
      </c>
      <c r="F4080" s="4">
        <v>29.0</v>
      </c>
      <c r="G4080" s="4" t="s">
        <v>6182</v>
      </c>
    </row>
    <row r="4081">
      <c r="A4081" s="1">
        <v>4079.0</v>
      </c>
      <c r="B4081" s="4" t="s">
        <v>6136</v>
      </c>
      <c r="C4081" s="5" t="str">
        <f>IFERROR(__xludf.DUMMYFUNCTION("GOOGLETRANSLATE(D:D,""auto"",""en"")"),"Italian epidemic or prior to China")</f>
        <v>Italian epidemic or prior to China</v>
      </c>
      <c r="D4081" s="4" t="s">
        <v>6183</v>
      </c>
      <c r="E4081" s="4">
        <v>0.0</v>
      </c>
      <c r="F4081" s="4">
        <v>30.0</v>
      </c>
      <c r="G4081" s="4" t="s">
        <v>6184</v>
      </c>
    </row>
    <row r="4082">
      <c r="A4082" s="1">
        <v>4080.0</v>
      </c>
      <c r="B4082" s="4" t="s">
        <v>6136</v>
      </c>
      <c r="C4082" s="5" t="str">
        <f>IFERROR(__xludf.DUMMYFUNCTION("GOOGLETRANSLATE(D:D,""auto"",""en"")"),"The Italian-day operation of the crematorium")</f>
        <v>The Italian-day operation of the crematorium</v>
      </c>
      <c r="D4082" s="4" t="s">
        <v>6185</v>
      </c>
      <c r="E4082" s="4">
        <v>0.0</v>
      </c>
      <c r="F4082" s="4">
        <v>31.0</v>
      </c>
      <c r="G4082" s="4" t="s">
        <v>6186</v>
      </c>
    </row>
    <row r="4083">
      <c r="A4083" s="1">
        <v>4081.0</v>
      </c>
      <c r="B4083" s="4" t="s">
        <v>6136</v>
      </c>
      <c r="C4083" s="5" t="str">
        <f>IFERROR(__xludf.DUMMYFUNCTION("GOOGLETRANSLATE(D:D,""auto"",""en"")"),"Trump complained impact of the epidemic")</f>
        <v>Trump complained impact of the epidemic</v>
      </c>
      <c r="D4083" s="4" t="s">
        <v>6187</v>
      </c>
      <c r="E4083" s="4">
        <v>0.0</v>
      </c>
      <c r="F4083" s="4">
        <v>32.0</v>
      </c>
      <c r="G4083" s="4" t="s">
        <v>6188</v>
      </c>
    </row>
    <row r="4084">
      <c r="A4084" s="1">
        <v>4082.0</v>
      </c>
      <c r="B4084" s="4" t="s">
        <v>6136</v>
      </c>
      <c r="C4084" s="5" t="str">
        <f>IFERROR(__xludf.DUMMYFUNCTION("GOOGLETRANSLATE(D:D,""auto"",""en"")"),"FoFo remarks Yin Zhengyi")</f>
        <v>FoFo remarks Yin Zhengyi</v>
      </c>
      <c r="D4084" s="4" t="s">
        <v>6189</v>
      </c>
      <c r="E4084" s="4">
        <v>0.0</v>
      </c>
      <c r="F4084" s="4">
        <v>33.0</v>
      </c>
      <c r="G4084" s="4" t="s">
        <v>6190</v>
      </c>
    </row>
    <row r="4085">
      <c r="A4085" s="1">
        <v>4083.0</v>
      </c>
      <c r="B4085" s="4" t="s">
        <v>6136</v>
      </c>
      <c r="C4085" s="5" t="str">
        <f>IFERROR(__xludf.DUMMYFUNCTION("GOOGLETRANSLATE(D:D,""auto"",""en"")"),"Trump talk about the use of masks")</f>
        <v>Trump talk about the use of masks</v>
      </c>
      <c r="D4085" s="4" t="s">
        <v>6191</v>
      </c>
      <c r="E4085" s="4">
        <v>0.0</v>
      </c>
      <c r="F4085" s="4">
        <v>34.0</v>
      </c>
      <c r="G4085" s="4" t="s">
        <v>6192</v>
      </c>
    </row>
    <row r="4086">
      <c r="A4086" s="1">
        <v>4084.0</v>
      </c>
      <c r="B4086" s="4" t="s">
        <v>6136</v>
      </c>
      <c r="C4086" s="5" t="str">
        <f>IFERROR(__xludf.DUMMYFUNCTION("GOOGLETRANSLATE(D:D,""auto"",""en"")"),"LVMH to buy 40 million masks")</f>
        <v>LVMH to buy 40 million masks</v>
      </c>
      <c r="D4086" s="4" t="s">
        <v>6193</v>
      </c>
      <c r="E4086" s="4">
        <v>0.0</v>
      </c>
      <c r="F4086" s="4">
        <v>35.0</v>
      </c>
      <c r="G4086" s="4" t="s">
        <v>6194</v>
      </c>
    </row>
    <row r="4087">
      <c r="A4087" s="1">
        <v>4085.0</v>
      </c>
      <c r="B4087" s="4" t="s">
        <v>6136</v>
      </c>
      <c r="C4087" s="5" t="str">
        <f>IFERROR(__xludf.DUMMYFUNCTION("GOOGLETRANSLATE(D:D,""auto"",""en"")"),"Walking the dog day was 38 times")</f>
        <v>Walking the dog day was 38 times</v>
      </c>
      <c r="D4087" s="4" t="s">
        <v>6195</v>
      </c>
      <c r="E4087" s="4">
        <v>0.0</v>
      </c>
      <c r="F4087" s="4">
        <v>36.0</v>
      </c>
      <c r="G4087" s="4" t="s">
        <v>6196</v>
      </c>
    </row>
    <row r="4088">
      <c r="A4088" s="1">
        <v>4086.0</v>
      </c>
      <c r="B4088" s="4" t="s">
        <v>6136</v>
      </c>
      <c r="C4088" s="5" t="str">
        <f>IFERROR(__xludf.DUMMYFUNCTION("GOOGLETRANSLATE(D:D,""auto"",""en"")"),"E-aid personnel into the cause of knitting")</f>
        <v>E-aid personnel into the cause of knitting</v>
      </c>
      <c r="D4088" s="4" t="s">
        <v>6197</v>
      </c>
      <c r="E4088" s="4">
        <v>0.0</v>
      </c>
      <c r="F4088" s="4">
        <v>37.0</v>
      </c>
      <c r="G4088" s="4" t="s">
        <v>6198</v>
      </c>
    </row>
    <row r="4089">
      <c r="A4089" s="1">
        <v>4087.0</v>
      </c>
      <c r="B4089" s="4" t="s">
        <v>6136</v>
      </c>
      <c r="C4089" s="5" t="str">
        <f>IFERROR(__xludf.DUMMYFUNCTION("GOOGLETRANSLATE(D:D,""auto"",""en"")"),"Serbia god edit records")</f>
        <v>Serbia god edit records</v>
      </c>
      <c r="D4089" s="4" t="s">
        <v>6199</v>
      </c>
      <c r="E4089" s="4">
        <v>0.0</v>
      </c>
      <c r="F4089" s="4">
        <v>38.0</v>
      </c>
      <c r="G4089" s="4" t="s">
        <v>6200</v>
      </c>
    </row>
    <row r="4090">
      <c r="A4090" s="1">
        <v>4088.0</v>
      </c>
      <c r="B4090" s="4" t="s">
        <v>6136</v>
      </c>
      <c r="C4090" s="5" t="str">
        <f>IFERROR(__xludf.DUMMYFUNCTION("GOOGLETRANSLATE(D:D,""auto"",""en"")"),"White House secret power was traced to content")</f>
        <v>White House secret power was traced to content</v>
      </c>
      <c r="D4090" s="4" t="s">
        <v>6201</v>
      </c>
      <c r="E4090" s="4">
        <v>0.0</v>
      </c>
      <c r="F4090" s="4">
        <v>39.0</v>
      </c>
      <c r="G4090" s="4" t="s">
        <v>6202</v>
      </c>
    </row>
    <row r="4091">
      <c r="A4091" s="1">
        <v>4089.0</v>
      </c>
      <c r="B4091" s="4" t="s">
        <v>6136</v>
      </c>
      <c r="C4091" s="5" t="str">
        <f>IFERROR(__xludf.DUMMYFUNCTION("GOOGLETRANSLATE(D:D,""auto"",""en"")"),"Hua Chunying issued a document asking the United States")</f>
        <v>Hua Chunying issued a document asking the United States</v>
      </c>
      <c r="D4091" s="4" t="s">
        <v>6088</v>
      </c>
      <c r="E4091" s="4">
        <v>0.0</v>
      </c>
      <c r="F4091" s="4">
        <v>40.0</v>
      </c>
      <c r="G4091" s="4" t="s">
        <v>6089</v>
      </c>
    </row>
    <row r="4092">
      <c r="A4092" s="1">
        <v>4090.0</v>
      </c>
      <c r="B4092" s="4" t="s">
        <v>6136</v>
      </c>
      <c r="C4092" s="5" t="str">
        <f>IFERROR(__xludf.DUMMYFUNCTION("GOOGLETRANSLATE(D:D,""auto"",""en"")"),"Jiangxi first appearance outside input")</f>
        <v>Jiangxi first appearance outside input</v>
      </c>
      <c r="D4092" s="4" t="s">
        <v>6203</v>
      </c>
      <c r="E4092" s="4">
        <v>0.0</v>
      </c>
      <c r="F4092" s="4">
        <v>41.0</v>
      </c>
      <c r="G4092" s="4" t="s">
        <v>6204</v>
      </c>
    </row>
    <row r="4093">
      <c r="A4093" s="1">
        <v>4091.0</v>
      </c>
      <c r="B4093" s="4" t="s">
        <v>6136</v>
      </c>
      <c r="C4093" s="5" t="str">
        <f>IFERROR(__xludf.DUMMYFUNCTION("GOOGLETRANSLATE(D:D,""auto"",""en"")"),"Who have had to sit Xi'an subway")</f>
        <v>Who have had to sit Xi'an subway</v>
      </c>
      <c r="D4093" s="4" t="s">
        <v>6205</v>
      </c>
      <c r="E4093" s="4">
        <v>0.0</v>
      </c>
      <c r="F4093" s="4">
        <v>42.0</v>
      </c>
      <c r="G4093" s="4" t="s">
        <v>6206</v>
      </c>
    </row>
    <row r="4094">
      <c r="A4094" s="1">
        <v>4092.0</v>
      </c>
      <c r="B4094" s="4" t="s">
        <v>6136</v>
      </c>
      <c r="C4094" s="5" t="str">
        <f>IFERROR(__xludf.DUMMYFUNCTION("GOOGLETRANSLATE(D:D,""auto"",""en"")"),"Jiangsu determine start dates")</f>
        <v>Jiangsu determine start dates</v>
      </c>
      <c r="D4094" s="4" t="s">
        <v>6207</v>
      </c>
      <c r="E4094" s="4">
        <v>0.0</v>
      </c>
      <c r="F4094" s="4">
        <v>43.0</v>
      </c>
      <c r="G4094" s="4" t="s">
        <v>6208</v>
      </c>
    </row>
    <row r="4095">
      <c r="A4095" s="1">
        <v>4093.0</v>
      </c>
      <c r="B4095" s="4" t="s">
        <v>6136</v>
      </c>
      <c r="C4095" s="5" t="str">
        <f>IFERROR(__xludf.DUMMYFUNCTION("GOOGLETRANSLATE(D:D,""auto"",""en"")"),"Rural epidemic has repeatedly risk")</f>
        <v>Rural epidemic has repeatedly risk</v>
      </c>
      <c r="D4095" s="4" t="s">
        <v>6209</v>
      </c>
      <c r="E4095" s="4">
        <v>0.0</v>
      </c>
      <c r="F4095" s="4">
        <v>44.0</v>
      </c>
      <c r="G4095" s="4" t="s">
        <v>6210</v>
      </c>
    </row>
    <row r="4096">
      <c r="A4096" s="1">
        <v>4094.0</v>
      </c>
      <c r="B4096" s="4" t="s">
        <v>6136</v>
      </c>
      <c r="C4096" s="5" t="str">
        <f>IFERROR(__xludf.DUMMYFUNCTION("GOOGLETRANSLATE(D:D,""auto"",""en"")"),"Guo Fengyun live concert")</f>
        <v>Guo Fengyun live concert</v>
      </c>
      <c r="D4096" s="4" t="s">
        <v>6211</v>
      </c>
      <c r="E4096" s="4">
        <v>0.0</v>
      </c>
      <c r="F4096" s="4">
        <v>45.0</v>
      </c>
      <c r="G4096" s="4" t="s">
        <v>6212</v>
      </c>
    </row>
    <row r="4097">
      <c r="A4097" s="1">
        <v>4095.0</v>
      </c>
      <c r="B4097" s="4" t="s">
        <v>6136</v>
      </c>
      <c r="C4097" s="5" t="str">
        <f>IFERROR(__xludf.DUMMYFUNCTION("GOOGLETRANSLATE(D:D,""auto"",""en"")"),"Quarantine around the point should withdraw the withdrawal do")</f>
        <v>Quarantine around the point should withdraw the withdrawal do</v>
      </c>
      <c r="D4097" s="4" t="s">
        <v>6213</v>
      </c>
      <c r="E4097" s="4">
        <v>0.0</v>
      </c>
      <c r="F4097" s="4">
        <v>46.0</v>
      </c>
      <c r="G4097" s="4" t="s">
        <v>6214</v>
      </c>
    </row>
    <row r="4098">
      <c r="A4098" s="1">
        <v>4096.0</v>
      </c>
      <c r="B4098" s="4" t="s">
        <v>6136</v>
      </c>
      <c r="C4098" s="5" t="str">
        <f>IFERROR(__xludf.DUMMYFUNCTION("GOOGLETRANSLATE(D:D,""auto"",""en"")"),"US military headquarters now confirmed")</f>
        <v>US military headquarters now confirmed</v>
      </c>
      <c r="D4098" s="4" t="s">
        <v>6215</v>
      </c>
      <c r="E4098" s="4">
        <v>0.0</v>
      </c>
      <c r="F4098" s="4">
        <v>47.0</v>
      </c>
      <c r="G4098" s="4" t="s">
        <v>6216</v>
      </c>
    </row>
    <row r="4099">
      <c r="A4099" s="1">
        <v>4097.0</v>
      </c>
      <c r="B4099" s="4" t="s">
        <v>6136</v>
      </c>
      <c r="C4099" s="5" t="str">
        <f>IFERROR(__xludf.DUMMYFUNCTION("GOOGLETRANSLATE(D:D,""auto"",""en"")"),"Poland girls Chinese rumor")</f>
        <v>Poland girls Chinese rumor</v>
      </c>
      <c r="D4099" s="4" t="s">
        <v>6217</v>
      </c>
      <c r="E4099" s="4">
        <v>0.0</v>
      </c>
      <c r="F4099" s="4">
        <v>48.0</v>
      </c>
      <c r="G4099" s="4" t="s">
        <v>6218</v>
      </c>
    </row>
    <row r="4100">
      <c r="A4100" s="1">
        <v>4098.0</v>
      </c>
      <c r="B4100" s="4" t="s">
        <v>6136</v>
      </c>
      <c r="C4100" s="5" t="str">
        <f>IFERROR(__xludf.DUMMYFUNCTION("GOOGLETRANSLATE(D:D,""auto"",""en"")"),"486 theater box office return to work")</f>
        <v>486 theater box office return to work</v>
      </c>
      <c r="D4100" s="4" t="s">
        <v>6219</v>
      </c>
      <c r="E4100" s="4">
        <v>0.0</v>
      </c>
      <c r="F4100" s="4">
        <v>49.0</v>
      </c>
      <c r="G4100" s="4" t="s">
        <v>6220</v>
      </c>
    </row>
    <row r="4101">
      <c r="A4101" s="1">
        <v>4099.0</v>
      </c>
      <c r="B4101" s="4" t="s">
        <v>6136</v>
      </c>
      <c r="C4101" s="5" t="str">
        <f>IFERROR(__xludf.DUMMYFUNCTION("GOOGLETRANSLATE(D:D,""auto"",""en"")"),"Yu confirmed one case outside input")</f>
        <v>Yu confirmed one case outside input</v>
      </c>
      <c r="D4101" s="4" t="s">
        <v>6221</v>
      </c>
      <c r="E4101" s="4">
        <v>0.0</v>
      </c>
      <c r="F4101" s="4">
        <v>50.0</v>
      </c>
      <c r="G4101" s="4" t="s">
        <v>6222</v>
      </c>
    </row>
    <row r="4102">
      <c r="A4102" s="1">
        <v>4100.0</v>
      </c>
      <c r="B4102" s="4" t="s">
        <v>6223</v>
      </c>
      <c r="C4102" s="5" t="str">
        <f>IFERROR(__xludf.DUMMYFUNCTION("GOOGLETRANSLATE(D:D,""auto"",""en"")"),"White House secret power was traced to content")</f>
        <v>White House secret power was traced to content</v>
      </c>
      <c r="D4102" s="4" t="s">
        <v>6201</v>
      </c>
      <c r="E4102" s="4">
        <v>0.0</v>
      </c>
      <c r="F4102" s="4">
        <v>1.0</v>
      </c>
      <c r="G4102" s="4" t="s">
        <v>6202</v>
      </c>
    </row>
    <row r="4103">
      <c r="A4103" s="1">
        <v>4101.0</v>
      </c>
      <c r="B4103" s="4" t="s">
        <v>6223</v>
      </c>
      <c r="C4103" s="5" t="str">
        <f>IFERROR(__xludf.DUMMYFUNCTION("GOOGLETRANSLATE(D:D,""auto"",""en"")"),"Paperclip producer apology")</f>
        <v>Paperclip producer apology</v>
      </c>
      <c r="D4103" s="4" t="s">
        <v>6224</v>
      </c>
      <c r="E4103" s="4">
        <v>0.0</v>
      </c>
      <c r="F4103" s="4">
        <v>2.0</v>
      </c>
      <c r="G4103" s="4" t="s">
        <v>6225</v>
      </c>
    </row>
    <row r="4104">
      <c r="A4104" s="1">
        <v>4102.0</v>
      </c>
      <c r="B4104" s="4" t="s">
        <v>6223</v>
      </c>
      <c r="C4104" s="5" t="str">
        <f>IFERROR(__xludf.DUMMYFUNCTION("GOOGLETRANSLATE(D:D,""auto"",""en"")"),"Hua Chunying spokesman asked the United States")</f>
        <v>Hua Chunying spokesman asked the United States</v>
      </c>
      <c r="D4104" s="4" t="s">
        <v>6171</v>
      </c>
      <c r="E4104" s="4">
        <v>0.0</v>
      </c>
      <c r="F4104" s="4">
        <v>3.0</v>
      </c>
      <c r="G4104" s="4" t="s">
        <v>6172</v>
      </c>
    </row>
    <row r="4105">
      <c r="A4105" s="1">
        <v>4103.0</v>
      </c>
      <c r="B4105" s="4" t="s">
        <v>6223</v>
      </c>
      <c r="C4105" s="5" t="str">
        <f>IFERROR(__xludf.DUMMYFUNCTION("GOOGLETRANSLATE(D:D,""auto"",""en"")"),"Li Jiaqi assistant tears apology")</f>
        <v>Li Jiaqi assistant tears apology</v>
      </c>
      <c r="D4105" s="4" t="s">
        <v>6226</v>
      </c>
      <c r="E4105" s="4">
        <v>0.0</v>
      </c>
      <c r="F4105" s="4">
        <v>4.0</v>
      </c>
      <c r="G4105" s="4" t="s">
        <v>6227</v>
      </c>
    </row>
    <row r="4106">
      <c r="A4106" s="1">
        <v>4104.0</v>
      </c>
      <c r="B4106" s="4" t="s">
        <v>6223</v>
      </c>
      <c r="C4106" s="5" t="str">
        <f>IFERROR(__xludf.DUMMYFUNCTION("GOOGLETRANSLATE(D:D,""auto"",""en"")"),"Italy asked China tube ICU")</f>
        <v>Italy asked China tube ICU</v>
      </c>
      <c r="D4106" s="4" t="s">
        <v>6228</v>
      </c>
      <c r="E4106" s="4">
        <v>0.0</v>
      </c>
      <c r="F4106" s="4">
        <v>5.0</v>
      </c>
      <c r="G4106" s="4" t="s">
        <v>6229</v>
      </c>
    </row>
    <row r="4107">
      <c r="A4107" s="1">
        <v>4105.0</v>
      </c>
      <c r="B4107" s="4" t="s">
        <v>6223</v>
      </c>
      <c r="C4107" s="5" t="str">
        <f>IFERROR(__xludf.DUMMYFUNCTION("GOOGLETRANSLATE(D:D,""auto"",""en"")"),"Iran rejects US aid")</f>
        <v>Iran rejects US aid</v>
      </c>
      <c r="D4107" s="4" t="s">
        <v>6230</v>
      </c>
      <c r="E4107" s="4">
        <v>0.0</v>
      </c>
      <c r="F4107" s="4">
        <v>6.0</v>
      </c>
      <c r="G4107" s="4" t="s">
        <v>6231</v>
      </c>
    </row>
    <row r="4108">
      <c r="A4108" s="1">
        <v>4106.0</v>
      </c>
      <c r="B4108" s="4" t="s">
        <v>6223</v>
      </c>
      <c r="C4108" s="5" t="str">
        <f>IFERROR(__xludf.DUMMYFUNCTION("GOOGLETRANSLATE(D:D,""auto"",""en"")"),"Henan one case by outside input")</f>
        <v>Henan one case by outside input</v>
      </c>
      <c r="D4108" s="4" t="s">
        <v>6232</v>
      </c>
      <c r="E4108" s="4">
        <v>0.0</v>
      </c>
      <c r="F4108" s="4">
        <v>7.0</v>
      </c>
      <c r="G4108" s="4" t="s">
        <v>6233</v>
      </c>
    </row>
    <row r="4109">
      <c r="A4109" s="1">
        <v>4107.0</v>
      </c>
      <c r="B4109" s="4" t="s">
        <v>6223</v>
      </c>
      <c r="C4109" s="5" t="str">
        <f>IFERROR(__xludf.DUMMYFUNCTION("GOOGLETRANSLATE(D:D,""auto"",""en"")"),"TVB actor Liang Tian died")</f>
        <v>TVB actor Liang Tian died</v>
      </c>
      <c r="D4109" s="4" t="s">
        <v>6234</v>
      </c>
      <c r="E4109" s="4">
        <v>0.0</v>
      </c>
      <c r="F4109" s="4">
        <v>8.0</v>
      </c>
      <c r="G4109" s="4" t="s">
        <v>6235</v>
      </c>
    </row>
    <row r="4110">
      <c r="A4110" s="1">
        <v>4108.0</v>
      </c>
      <c r="B4110" s="4" t="s">
        <v>6223</v>
      </c>
      <c r="C4110" s="5" t="str">
        <f>IFERROR(__xludf.DUMMYFUNCTION("GOOGLETRANSLATE(D:D,""auto"",""en"")"),"Beijing informed Huang Mouying event")</f>
        <v>Beijing informed Huang Mouying event</v>
      </c>
      <c r="D4110" s="4" t="s">
        <v>6177</v>
      </c>
      <c r="E4110" s="4">
        <v>0.0</v>
      </c>
      <c r="F4110" s="4">
        <v>9.0</v>
      </c>
      <c r="G4110" s="4" t="s">
        <v>6178</v>
      </c>
    </row>
    <row r="4111">
      <c r="A4111" s="1">
        <v>4109.0</v>
      </c>
      <c r="B4111" s="4" t="s">
        <v>6223</v>
      </c>
      <c r="C4111" s="5" t="str">
        <f>IFERROR(__xludf.DUMMYFUNCTION("GOOGLETRANSLATE(D:D,""auto"",""en"")"),"Taiwan media exposure Liu Zhen died")</f>
        <v>Taiwan media exposure Liu Zhen died</v>
      </c>
      <c r="D4111" s="4" t="s">
        <v>6236</v>
      </c>
      <c r="E4111" s="4">
        <v>0.0</v>
      </c>
      <c r="F4111" s="4">
        <v>10.0</v>
      </c>
      <c r="G4111" s="4" t="s">
        <v>6237</v>
      </c>
    </row>
    <row r="4112">
      <c r="A4112" s="1">
        <v>4110.0</v>
      </c>
      <c r="B4112" s="4" t="s">
        <v>6223</v>
      </c>
      <c r="C4112" s="5" t="str">
        <f>IFERROR(__xludf.DUMMYFUNCTION("GOOGLETRANSLATE(D:D,""auto"",""en"")"),"Trump letter to US Health Care")</f>
        <v>Trump letter to US Health Care</v>
      </c>
      <c r="D4112" s="4" t="s">
        <v>6238</v>
      </c>
      <c r="E4112" s="4">
        <v>0.0</v>
      </c>
      <c r="F4112" s="4">
        <v>11.0</v>
      </c>
      <c r="G4112" s="4" t="s">
        <v>6239</v>
      </c>
    </row>
    <row r="4113">
      <c r="A4113" s="1">
        <v>4111.0</v>
      </c>
      <c r="B4113" s="4" t="s">
        <v>6223</v>
      </c>
      <c r="C4113" s="5" t="str">
        <f>IFERROR(__xludf.DUMMYFUNCTION("GOOGLETRANSLATE(D:D,""auto"",""en"")"),"Scolded Chinese people wearing masks detained")</f>
        <v>Scolded Chinese people wearing masks detained</v>
      </c>
      <c r="D4113" s="4" t="s">
        <v>6240</v>
      </c>
      <c r="E4113" s="4">
        <v>0.0</v>
      </c>
      <c r="F4113" s="4">
        <v>12.0</v>
      </c>
      <c r="G4113" s="4" t="s">
        <v>6241</v>
      </c>
    </row>
    <row r="4114">
      <c r="A4114" s="1">
        <v>4112.0</v>
      </c>
      <c r="B4114" s="4" t="s">
        <v>6223</v>
      </c>
      <c r="C4114" s="5" t="str">
        <f>IFERROR(__xludf.DUMMYFUNCTION("GOOGLETRANSLATE(D:D,""auto"",""en"")"),"31 provinces added 39 cases")</f>
        <v>31 provinces added 39 cases</v>
      </c>
      <c r="D4114" s="4" t="s">
        <v>6242</v>
      </c>
      <c r="E4114" s="4">
        <v>0.0</v>
      </c>
      <c r="F4114" s="4">
        <v>13.0</v>
      </c>
      <c r="G4114" s="4" t="s">
        <v>6243</v>
      </c>
    </row>
    <row r="4115">
      <c r="A4115" s="1">
        <v>4113.0</v>
      </c>
      <c r="B4115" s="4" t="s">
        <v>6223</v>
      </c>
      <c r="C4115" s="5" t="str">
        <f>IFERROR(__xludf.DUMMYFUNCTION("GOOGLETRANSLATE(D:D,""auto"",""en"")"),"The Italian 4826 health care infections")</f>
        <v>The Italian 4826 health care infections</v>
      </c>
      <c r="D4115" s="4" t="s">
        <v>6244</v>
      </c>
      <c r="E4115" s="4">
        <v>0.0</v>
      </c>
      <c r="F4115" s="4">
        <v>14.0</v>
      </c>
      <c r="G4115" s="4" t="s">
        <v>6245</v>
      </c>
    </row>
    <row r="4116">
      <c r="A4116" s="1">
        <v>4114.0</v>
      </c>
      <c r="B4116" s="4" t="s">
        <v>6223</v>
      </c>
      <c r="C4116" s="5" t="str">
        <f>IFERROR(__xludf.DUMMYFUNCTION("GOOGLETRANSLATE(D:D,""auto"",""en"")"),"Women returning to downtown Chongqing Airport")</f>
        <v>Women returning to downtown Chongqing Airport</v>
      </c>
      <c r="D4116" s="4" t="s">
        <v>6246</v>
      </c>
      <c r="E4116" s="4">
        <v>0.0</v>
      </c>
      <c r="F4116" s="4">
        <v>15.0</v>
      </c>
      <c r="G4116" s="4" t="s">
        <v>6247</v>
      </c>
    </row>
    <row r="4117">
      <c r="A4117" s="1">
        <v>4115.0</v>
      </c>
      <c r="B4117" s="4" t="s">
        <v>6223</v>
      </c>
      <c r="C4117" s="5" t="str">
        <f>IFERROR(__xludf.DUMMYFUNCTION("GOOGLETRANSLATE(D:D,""auto"",""en"")"),"Liu Zhen Xin Long kiss goodbye")</f>
        <v>Liu Zhen Xin Long kiss goodbye</v>
      </c>
      <c r="D4117" s="4" t="s">
        <v>6248</v>
      </c>
      <c r="E4117" s="4">
        <v>0.0</v>
      </c>
      <c r="F4117" s="4">
        <v>16.0</v>
      </c>
      <c r="G4117" s="4" t="s">
        <v>6249</v>
      </c>
    </row>
    <row r="4118">
      <c r="A4118" s="1">
        <v>4116.0</v>
      </c>
      <c r="B4118" s="4" t="s">
        <v>6223</v>
      </c>
      <c r="C4118" s="5" t="str">
        <f>IFERROR(__xludf.DUMMYFUNCTION("GOOGLETRANSLATE(D:D,""auto"",""en"")"),"Shanghai changed two emergency response")</f>
        <v>Shanghai changed two emergency response</v>
      </c>
      <c r="D4118" s="4" t="s">
        <v>6250</v>
      </c>
      <c r="E4118" s="4">
        <v>0.0</v>
      </c>
      <c r="F4118" s="4">
        <v>17.0</v>
      </c>
      <c r="G4118" s="4" t="s">
        <v>6251</v>
      </c>
    </row>
    <row r="4119">
      <c r="A4119" s="1">
        <v>4117.0</v>
      </c>
      <c r="B4119" s="4" t="s">
        <v>6223</v>
      </c>
      <c r="C4119" s="5" t="str">
        <f>IFERROR(__xludf.DUMMYFUNCTION("GOOGLETRANSLATE(D:D,""auto"",""en"")"),"Liu is really the last one issued")</f>
        <v>Liu is really the last one issued</v>
      </c>
      <c r="D4119" s="4" t="s">
        <v>6252</v>
      </c>
      <c r="E4119" s="4">
        <v>0.0</v>
      </c>
      <c r="F4119" s="4">
        <v>18.0</v>
      </c>
      <c r="G4119" s="4" t="s">
        <v>6253</v>
      </c>
    </row>
    <row r="4120">
      <c r="A4120" s="1">
        <v>4118.0</v>
      </c>
      <c r="B4120" s="4" t="s">
        <v>6223</v>
      </c>
      <c r="C4120" s="5" t="str">
        <f>IFERROR(__xludf.DUMMYFUNCTION("GOOGLETRANSLATE(D:D,""auto"",""en"")"),"British deaths now 18 years old")</f>
        <v>British deaths now 18 years old</v>
      </c>
      <c r="D4120" s="4" t="s">
        <v>6254</v>
      </c>
      <c r="E4120" s="4">
        <v>0.0</v>
      </c>
      <c r="F4120" s="4">
        <v>19.0</v>
      </c>
      <c r="G4120" s="4" t="s">
        <v>6255</v>
      </c>
    </row>
    <row r="4121">
      <c r="A4121" s="1">
        <v>4119.0</v>
      </c>
      <c r="B4121" s="4" t="s">
        <v>6223</v>
      </c>
      <c r="C4121" s="5" t="str">
        <f>IFERROR(__xludf.DUMMYFUNCTION("GOOGLETRANSLATE(D:D,""auto"",""en"")"),"National Grid issued an important decision")</f>
        <v>National Grid issued an important decision</v>
      </c>
      <c r="D4121" s="4" t="s">
        <v>6256</v>
      </c>
      <c r="E4121" s="4">
        <v>0.0</v>
      </c>
      <c r="F4121" s="4">
        <v>20.0</v>
      </c>
      <c r="G4121" s="4" t="s">
        <v>6257</v>
      </c>
    </row>
    <row r="4122">
      <c r="A4122" s="1">
        <v>4120.0</v>
      </c>
      <c r="B4122" s="4" t="s">
        <v>6223</v>
      </c>
      <c r="C4122" s="5" t="str">
        <f>IFERROR(__xludf.DUMMYFUNCTION("GOOGLETRANSLATE(D:D,""auto"",""en"")"),"Trump let it be high-handed style")</f>
        <v>Trump let it be high-handed style</v>
      </c>
      <c r="D4122" s="4" t="s">
        <v>6258</v>
      </c>
      <c r="E4122" s="4">
        <v>0.0</v>
      </c>
      <c r="F4122" s="4">
        <v>21.0</v>
      </c>
      <c r="G4122" s="4" t="s">
        <v>6259</v>
      </c>
    </row>
    <row r="4123">
      <c r="A4123" s="1">
        <v>4121.0</v>
      </c>
      <c r="B4123" s="4" t="s">
        <v>6223</v>
      </c>
      <c r="C4123" s="5" t="str">
        <f>IFERROR(__xludf.DUMMYFUNCTION("GOOGLETRANSLATE(D:D,""auto"",""en"")"),"Serbian Chinese red lights")</f>
        <v>Serbian Chinese red lights</v>
      </c>
      <c r="D4123" s="4" t="s">
        <v>6260</v>
      </c>
      <c r="E4123" s="4">
        <v>0.0</v>
      </c>
      <c r="F4123" s="4">
        <v>22.0</v>
      </c>
      <c r="G4123" s="4" t="s">
        <v>6261</v>
      </c>
    </row>
    <row r="4124">
      <c r="A4124" s="1">
        <v>4122.0</v>
      </c>
      <c r="B4124" s="4" t="s">
        <v>6223</v>
      </c>
      <c r="C4124" s="5" t="str">
        <f>IFERROR(__xludf.DUMMYFUNCTION("GOOGLETRANSLATE(D:D,""auto"",""en"")"),"Djokovic thanked China")</f>
        <v>Djokovic thanked China</v>
      </c>
      <c r="D4124" s="4" t="s">
        <v>6262</v>
      </c>
      <c r="E4124" s="4">
        <v>0.0</v>
      </c>
      <c r="F4124" s="4">
        <v>23.0</v>
      </c>
      <c r="G4124" s="4" t="s">
        <v>6263</v>
      </c>
    </row>
    <row r="4125">
      <c r="A4125" s="1">
        <v>4123.0</v>
      </c>
      <c r="B4125" s="4" t="s">
        <v>6223</v>
      </c>
      <c r="C4125" s="5" t="str">
        <f>IFERROR(__xludf.DUMMYFUNCTION("GOOGLETRANSLATE(D:D,""auto"",""en"")"),"Italy nearly 1 percent mortality rate")</f>
        <v>Italy nearly 1 percent mortality rate</v>
      </c>
      <c r="D4125" s="4" t="s">
        <v>6264</v>
      </c>
      <c r="E4125" s="4">
        <v>0.0</v>
      </c>
      <c r="F4125" s="4">
        <v>24.0</v>
      </c>
      <c r="G4125" s="4" t="s">
        <v>6265</v>
      </c>
    </row>
    <row r="4126">
      <c r="A4126" s="1">
        <v>4124.0</v>
      </c>
      <c r="B4126" s="4" t="s">
        <v>6223</v>
      </c>
      <c r="C4126" s="5" t="str">
        <f>IFERROR(__xludf.DUMMYFUNCTION("GOOGLETRANSLATE(D:D,""auto"",""en"")"),"German Chancellor Angela Merkel is isolated")</f>
        <v>German Chancellor Angela Merkel is isolated</v>
      </c>
      <c r="D4126" s="4" t="s">
        <v>6266</v>
      </c>
      <c r="E4126" s="4">
        <v>0.0</v>
      </c>
      <c r="F4126" s="4">
        <v>25.0</v>
      </c>
      <c r="G4126" s="4" t="s">
        <v>6267</v>
      </c>
    </row>
    <row r="4127">
      <c r="A4127" s="1">
        <v>4125.0</v>
      </c>
      <c r="B4127" s="4" t="s">
        <v>6223</v>
      </c>
      <c r="C4127" s="5" t="str">
        <f>IFERROR(__xludf.DUMMYFUNCTION("GOOGLETRANSLATE(D:D,""auto"",""en"")"),"Liu Zhen small S mourn")</f>
        <v>Liu Zhen small S mourn</v>
      </c>
      <c r="D4127" s="4" t="s">
        <v>6268</v>
      </c>
      <c r="E4127" s="4">
        <v>0.0</v>
      </c>
      <c r="F4127" s="4">
        <v>26.0</v>
      </c>
      <c r="G4127" s="4" t="s">
        <v>6269</v>
      </c>
    </row>
    <row r="4128">
      <c r="A4128" s="1">
        <v>4126.0</v>
      </c>
      <c r="B4128" s="4" t="s">
        <v>6223</v>
      </c>
      <c r="C4128" s="5" t="str">
        <f>IFERROR(__xludf.DUMMYFUNCTION("GOOGLETRANSLATE(D:D,""auto"",""en"")"),"Netherlands destroyed one million bouquet of flowers")</f>
        <v>Netherlands destroyed one million bouquet of flowers</v>
      </c>
      <c r="D4128" s="4" t="s">
        <v>6270</v>
      </c>
      <c r="E4128" s="4">
        <v>0.0</v>
      </c>
      <c r="F4128" s="4">
        <v>27.0</v>
      </c>
      <c r="G4128" s="4" t="s">
        <v>6271</v>
      </c>
    </row>
    <row r="4129">
      <c r="A4129" s="1">
        <v>4127.0</v>
      </c>
      <c r="B4129" s="4" t="s">
        <v>6223</v>
      </c>
      <c r="C4129" s="5" t="str">
        <f>IFERROR(__xludf.DUMMYFUNCTION("GOOGLETRANSLATE(D:D,""auto"",""en"")"),"Jiang Wenli party denied US citizenship")</f>
        <v>Jiang Wenli party denied US citizenship</v>
      </c>
      <c r="D4129" s="4" t="s">
        <v>6272</v>
      </c>
      <c r="E4129" s="4">
        <v>0.0</v>
      </c>
      <c r="F4129" s="4">
        <v>28.0</v>
      </c>
      <c r="G4129" s="4" t="s">
        <v>6273</v>
      </c>
    </row>
    <row r="4130">
      <c r="A4130" s="1">
        <v>4128.0</v>
      </c>
      <c r="B4130" s="4" t="s">
        <v>6223</v>
      </c>
      <c r="C4130" s="5" t="str">
        <f>IFERROR(__xludf.DUMMYFUNCTION("GOOGLETRANSLATE(D:D,""auto"",""en"")"),"Ma then help")</f>
        <v>Ma then help</v>
      </c>
      <c r="D4130" s="4" t="s">
        <v>6274</v>
      </c>
      <c r="E4130" s="4">
        <v>0.0</v>
      </c>
      <c r="F4130" s="4">
        <v>29.0</v>
      </c>
      <c r="G4130" s="4" t="s">
        <v>6275</v>
      </c>
    </row>
    <row r="4131">
      <c r="A4131" s="1">
        <v>4129.0</v>
      </c>
      <c r="B4131" s="4" t="s">
        <v>6223</v>
      </c>
      <c r="C4131" s="5" t="str">
        <f>IFERROR(__xludf.DUMMYFUNCTION("GOOGLETRANSLATE(D:D,""auto"",""en"")"),"Three operators announced rectification")</f>
        <v>Three operators announced rectification</v>
      </c>
      <c r="D4131" s="4" t="s">
        <v>6276</v>
      </c>
      <c r="E4131" s="4">
        <v>0.0</v>
      </c>
      <c r="F4131" s="4">
        <v>30.0</v>
      </c>
      <c r="G4131" s="4" t="s">
        <v>6277</v>
      </c>
    </row>
    <row r="4132">
      <c r="A4132" s="1">
        <v>4130.0</v>
      </c>
      <c r="B4132" s="4" t="s">
        <v>6223</v>
      </c>
      <c r="C4132" s="5" t="str">
        <f>IFERROR(__xludf.DUMMYFUNCTION("GOOGLETRANSLATE(D:D,""auto"",""en"")"),"Beijing to talk about Shandong imported cases")</f>
        <v>Beijing to talk about Shandong imported cases</v>
      </c>
      <c r="D4132" s="4" t="s">
        <v>6278</v>
      </c>
      <c r="E4132" s="4">
        <v>0.0</v>
      </c>
      <c r="F4132" s="4">
        <v>31.0</v>
      </c>
      <c r="G4132" s="4" t="s">
        <v>6279</v>
      </c>
    </row>
    <row r="4133">
      <c r="A4133" s="1">
        <v>4131.0</v>
      </c>
      <c r="B4133" s="4" t="s">
        <v>6223</v>
      </c>
      <c r="C4133" s="5" t="str">
        <f>IFERROR(__xludf.DUMMYFUNCTION("GOOGLETRANSLATE(D:D,""auto"",""en"")"),"Shenyang Food Shop banner event")</f>
        <v>Shenyang Food Shop banner event</v>
      </c>
      <c r="D4133" s="4" t="s">
        <v>6280</v>
      </c>
      <c r="E4133" s="4">
        <v>0.0</v>
      </c>
      <c r="F4133" s="4">
        <v>32.0</v>
      </c>
      <c r="G4133" s="4" t="s">
        <v>6281</v>
      </c>
    </row>
    <row r="4134">
      <c r="A4134" s="1">
        <v>4132.0</v>
      </c>
      <c r="B4134" s="4" t="s">
        <v>6223</v>
      </c>
      <c r="C4134" s="5" t="str">
        <f>IFERROR(__xludf.DUMMYFUNCTION("GOOGLETRANSLATE(D:D,""auto"",""en"")"),"Wuhan is now one hundred meters traffic jam")</f>
        <v>Wuhan is now one hundred meters traffic jam</v>
      </c>
      <c r="D4134" s="4" t="s">
        <v>6282</v>
      </c>
      <c r="E4134" s="4">
        <v>0.0</v>
      </c>
      <c r="F4134" s="4">
        <v>33.0</v>
      </c>
      <c r="G4134" s="4" t="s">
        <v>6283</v>
      </c>
    </row>
    <row r="4135">
      <c r="A4135" s="1">
        <v>4133.0</v>
      </c>
      <c r="B4135" s="4" t="s">
        <v>6223</v>
      </c>
      <c r="C4135" s="5" t="str">
        <f>IFERROR(__xludf.DUMMYFUNCTION("GOOGLETRANSLATE(D:D,""auto"",""en"")"),"Studying large or losses")</f>
        <v>Studying large or losses</v>
      </c>
      <c r="D4135" s="4" t="s">
        <v>6284</v>
      </c>
      <c r="E4135" s="4">
        <v>0.0</v>
      </c>
      <c r="F4135" s="4">
        <v>34.0</v>
      </c>
      <c r="G4135" s="4" t="s">
        <v>6285</v>
      </c>
    </row>
    <row r="4136">
      <c r="A4136" s="1">
        <v>4134.0</v>
      </c>
      <c r="B4136" s="4" t="s">
        <v>6223</v>
      </c>
      <c r="C4136" s="5" t="str">
        <f>IFERROR(__xludf.DUMMYFUNCTION("GOOGLETRANSLATE(D:D,""auto"",""en"")"),"Liu Yifei was traced to a large sports")</f>
        <v>Liu Yifei was traced to a large sports</v>
      </c>
      <c r="D4136" s="4" t="s">
        <v>6286</v>
      </c>
      <c r="E4136" s="4">
        <v>0.0</v>
      </c>
      <c r="F4136" s="4">
        <v>35.0</v>
      </c>
      <c r="G4136" s="4" t="s">
        <v>6287</v>
      </c>
    </row>
    <row r="4137">
      <c r="A4137" s="1">
        <v>4135.0</v>
      </c>
      <c r="B4137" s="4" t="s">
        <v>6223</v>
      </c>
      <c r="C4137" s="5" t="str">
        <f>IFERROR(__xludf.DUMMYFUNCTION("GOOGLETRANSLATE(D:D,""auto"",""en"")"),"One case by outside input Liaoning")</f>
        <v>One case by outside input Liaoning</v>
      </c>
      <c r="D4137" s="4" t="s">
        <v>6288</v>
      </c>
      <c r="E4137" s="4">
        <v>0.0</v>
      </c>
      <c r="F4137" s="4">
        <v>36.0</v>
      </c>
      <c r="G4137" s="4" t="s">
        <v>6289</v>
      </c>
    </row>
    <row r="4138">
      <c r="A4138" s="1">
        <v>4136.0</v>
      </c>
      <c r="B4138" s="4" t="s">
        <v>6223</v>
      </c>
      <c r="C4138" s="5" t="str">
        <f>IFERROR(__xludf.DUMMYFUNCTION("GOOGLETRANSLATE(D:D,""auto"",""en"")"),"Beijing heavy traffic on Monday")</f>
        <v>Beijing heavy traffic on Monday</v>
      </c>
      <c r="D4138" s="4" t="s">
        <v>6290</v>
      </c>
      <c r="E4138" s="4">
        <v>0.0</v>
      </c>
      <c r="F4138" s="4">
        <v>37.0</v>
      </c>
      <c r="G4138" s="4" t="s">
        <v>6291</v>
      </c>
    </row>
    <row r="4139">
      <c r="A4139" s="1">
        <v>4137.0</v>
      </c>
      <c r="B4139" s="4" t="s">
        <v>6223</v>
      </c>
      <c r="C4139" s="5" t="str">
        <f>IFERROR(__xludf.DUMMYFUNCTION("GOOGLETRANSLATE(D:D,""auto"",""en"")"),"Li Lanjuan asked two questions")</f>
        <v>Li Lanjuan asked two questions</v>
      </c>
      <c r="D4139" s="4" t="s">
        <v>6292</v>
      </c>
      <c r="E4139" s="4">
        <v>0.0</v>
      </c>
      <c r="F4139" s="4">
        <v>38.0</v>
      </c>
      <c r="G4139" s="4" t="s">
        <v>6293</v>
      </c>
    </row>
    <row r="4140">
      <c r="A4140" s="1">
        <v>4138.0</v>
      </c>
      <c r="B4140" s="4" t="s">
        <v>6223</v>
      </c>
      <c r="C4140" s="5" t="str">
        <f>IFERROR(__xludf.DUMMYFUNCTION("GOOGLETRANSLATE(D:D,""auto"",""en"")"),"500 million people in the United States or unemployed")</f>
        <v>500 million people in the United States or unemployed</v>
      </c>
      <c r="D4140" s="4" t="s">
        <v>6294</v>
      </c>
      <c r="E4140" s="4">
        <v>0.0</v>
      </c>
      <c r="F4140" s="4">
        <v>39.0</v>
      </c>
      <c r="G4140" s="4" t="s">
        <v>6295</v>
      </c>
    </row>
    <row r="4141">
      <c r="A4141" s="1">
        <v>4139.0</v>
      </c>
      <c r="B4141" s="4" t="s">
        <v>6223</v>
      </c>
      <c r="C4141" s="5" t="str">
        <f>IFERROR(__xludf.DUMMYFUNCTION("GOOGLETRANSLATE(D:D,""auto"",""en"")"),"Liu Zhen memorial time")</f>
        <v>Liu Zhen memorial time</v>
      </c>
      <c r="D4141" s="4" t="s">
        <v>6296</v>
      </c>
      <c r="E4141" s="4">
        <v>0.0</v>
      </c>
      <c r="F4141" s="4">
        <v>40.0</v>
      </c>
      <c r="G4141" s="4" t="s">
        <v>6297</v>
      </c>
    </row>
    <row r="4142">
      <c r="A4142" s="1">
        <v>4140.0</v>
      </c>
      <c r="B4142" s="4" t="s">
        <v>6223</v>
      </c>
      <c r="C4142" s="5" t="str">
        <f>IFERROR(__xludf.DUMMYFUNCTION("GOOGLETRANSLATE(D:D,""auto"",""en"")"),"Mayor of New York to talk about Trump")</f>
        <v>Mayor of New York to talk about Trump</v>
      </c>
      <c r="D4142" s="4" t="s">
        <v>6298</v>
      </c>
      <c r="E4142" s="4">
        <v>0.0</v>
      </c>
      <c r="F4142" s="4">
        <v>41.0</v>
      </c>
      <c r="G4142" s="4" t="s">
        <v>6299</v>
      </c>
    </row>
    <row r="4143">
      <c r="A4143" s="1">
        <v>4141.0</v>
      </c>
      <c r="B4143" s="4" t="s">
        <v>6223</v>
      </c>
      <c r="C4143" s="5" t="str">
        <f>IFERROR(__xludf.DUMMYFUNCTION("GOOGLETRANSLATE(D:D,""auto"",""en"")"),"Madonna remarks Yin Zhengyi")</f>
        <v>Madonna remarks Yin Zhengyi</v>
      </c>
      <c r="D4143" s="4" t="s">
        <v>6300</v>
      </c>
      <c r="E4143" s="4">
        <v>0.0</v>
      </c>
      <c r="F4143" s="4">
        <v>42.0</v>
      </c>
      <c r="G4143" s="4" t="s">
        <v>6301</v>
      </c>
    </row>
    <row r="4144">
      <c r="A4144" s="1">
        <v>4142.0</v>
      </c>
      <c r="B4144" s="4" t="s">
        <v>6223</v>
      </c>
      <c r="C4144" s="5" t="str">
        <f>IFERROR(__xludf.DUMMYFUNCTION("GOOGLETRANSLATE(D:D,""auto"",""en"")"),"Iran will produce Chinese anti-poison")</f>
        <v>Iran will produce Chinese anti-poison</v>
      </c>
      <c r="D4144" s="4" t="s">
        <v>6302</v>
      </c>
      <c r="E4144" s="4">
        <v>0.0</v>
      </c>
      <c r="F4144" s="4">
        <v>43.0</v>
      </c>
      <c r="G4144" s="4" t="s">
        <v>6303</v>
      </c>
    </row>
    <row r="4145">
      <c r="A4145" s="1">
        <v>4143.0</v>
      </c>
      <c r="B4145" s="4" t="s">
        <v>6223</v>
      </c>
      <c r="C4145" s="5" t="str">
        <f>IFERROR(__xludf.DUMMYFUNCTION("GOOGLETRANSLATE(D:D,""auto"",""en"")"),"Jiangxi Dingnan winds exceed 11")</f>
        <v>Jiangxi Dingnan winds exceed 11</v>
      </c>
      <c r="D4145" s="4" t="s">
        <v>6304</v>
      </c>
      <c r="E4145" s="4">
        <v>0.0</v>
      </c>
      <c r="F4145" s="4">
        <v>44.0</v>
      </c>
      <c r="G4145" s="4" t="s">
        <v>6305</v>
      </c>
    </row>
    <row r="4146">
      <c r="A4146" s="1">
        <v>4144.0</v>
      </c>
      <c r="B4146" s="4" t="s">
        <v>6223</v>
      </c>
      <c r="C4146" s="5" t="str">
        <f>IFERROR(__xludf.DUMMYFUNCTION("GOOGLETRANSLATE(D:D,""auto"",""en"")"),"British actor infection exposure a year ago")</f>
        <v>British actor infection exposure a year ago</v>
      </c>
      <c r="D4146" s="4" t="s">
        <v>6306</v>
      </c>
      <c r="E4146" s="4">
        <v>0.0</v>
      </c>
      <c r="F4146" s="4">
        <v>45.0</v>
      </c>
      <c r="G4146" s="4" t="s">
        <v>6307</v>
      </c>
    </row>
    <row r="4147">
      <c r="A4147" s="1">
        <v>4145.0</v>
      </c>
      <c r="B4147" s="4" t="s">
        <v>6223</v>
      </c>
      <c r="C4147" s="5" t="str">
        <f>IFERROR(__xludf.DUMMYFUNCTION("GOOGLETRANSLATE(D:D,""auto"",""en"")"),"Rural epidemic has repeatedly risk")</f>
        <v>Rural epidemic has repeatedly risk</v>
      </c>
      <c r="D4147" s="4" t="s">
        <v>6209</v>
      </c>
      <c r="E4147" s="4">
        <v>0.0</v>
      </c>
      <c r="F4147" s="4">
        <v>46.0</v>
      </c>
      <c r="G4147" s="4" t="s">
        <v>6210</v>
      </c>
    </row>
    <row r="4148">
      <c r="A4148" s="1">
        <v>4146.0</v>
      </c>
      <c r="B4148" s="4" t="s">
        <v>6223</v>
      </c>
      <c r="C4148" s="5" t="str">
        <f>IFERROR(__xludf.DUMMYFUNCTION("GOOGLETRANSLATE(D:D,""auto"",""en"")"),"Jiangsu determine start dates")</f>
        <v>Jiangsu determine start dates</v>
      </c>
      <c r="D4148" s="4" t="s">
        <v>6207</v>
      </c>
      <c r="E4148" s="4">
        <v>0.0</v>
      </c>
      <c r="F4148" s="4">
        <v>47.0</v>
      </c>
      <c r="G4148" s="4" t="s">
        <v>6208</v>
      </c>
    </row>
    <row r="4149">
      <c r="A4149" s="1">
        <v>4147.0</v>
      </c>
      <c r="B4149" s="4" t="s">
        <v>6223</v>
      </c>
      <c r="C4149" s="5" t="str">
        <f>IFERROR(__xludf.DUMMYFUNCTION("GOOGLETRANSLATE(D:D,""auto"",""en"")"),"Hengda profit warning")</f>
        <v>Hengda profit warning</v>
      </c>
      <c r="D4149" s="4" t="s">
        <v>6308</v>
      </c>
      <c r="E4149" s="4">
        <v>0.0</v>
      </c>
      <c r="F4149" s="4">
        <v>48.0</v>
      </c>
      <c r="G4149" s="4" t="s">
        <v>6309</v>
      </c>
    </row>
    <row r="4150">
      <c r="A4150" s="1">
        <v>4148.0</v>
      </c>
      <c r="B4150" s="4" t="s">
        <v>6223</v>
      </c>
      <c r="C4150" s="5" t="str">
        <f>IFERROR(__xludf.DUMMYFUNCTION("GOOGLETRANSLATE(D:D,""auto"",""en"")"),"Domingo diagnosed with pneumonia new crown")</f>
        <v>Domingo diagnosed with pneumonia new crown</v>
      </c>
      <c r="D4150" s="4" t="s">
        <v>6310</v>
      </c>
      <c r="E4150" s="4">
        <v>0.0</v>
      </c>
      <c r="F4150" s="4">
        <v>49.0</v>
      </c>
      <c r="G4150" s="4" t="s">
        <v>6311</v>
      </c>
    </row>
    <row r="4151">
      <c r="A4151" s="1">
        <v>4149.0</v>
      </c>
      <c r="B4151" s="4" t="s">
        <v>6223</v>
      </c>
      <c r="C4151" s="5" t="str">
        <f>IFERROR(__xludf.DUMMYFUNCTION("GOOGLETRANSLATE(D:D,""auto"",""en"")"),"N Publication No. request Room art")</f>
        <v>N Publication No. request Room art</v>
      </c>
      <c r="D4151" s="4" t="s">
        <v>6312</v>
      </c>
      <c r="E4151" s="4">
        <v>0.0</v>
      </c>
      <c r="F4151" s="4">
        <v>50.0</v>
      </c>
      <c r="G4151" s="4" t="s">
        <v>6313</v>
      </c>
    </row>
    <row r="4152">
      <c r="A4152" s="1">
        <v>4150.0</v>
      </c>
      <c r="B4152" s="4" t="s">
        <v>6314</v>
      </c>
      <c r="C4152" s="5" t="str">
        <f>IFERROR(__xludf.DUMMYFUNCTION("GOOGLETRANSLATE(D:D,""auto"",""en"")"),"Trump let it be high-handed style")</f>
        <v>Trump let it be high-handed style</v>
      </c>
      <c r="D4152" s="4" t="s">
        <v>6258</v>
      </c>
      <c r="E4152" s="4">
        <v>0.0</v>
      </c>
      <c r="F4152" s="4">
        <v>1.0</v>
      </c>
      <c r="G4152" s="4" t="s">
        <v>6259</v>
      </c>
    </row>
    <row r="4153">
      <c r="A4153" s="1">
        <v>4151.0</v>
      </c>
      <c r="B4153" s="4" t="s">
        <v>6314</v>
      </c>
      <c r="C4153" s="5" t="str">
        <f>IFERROR(__xludf.DUMMYFUNCTION("GOOGLETRANSLATE(D:D,""auto"",""en"")"),"US Embassy disease control positions removed")</f>
        <v>US Embassy disease control positions removed</v>
      </c>
      <c r="D4153" s="4" t="s">
        <v>6315</v>
      </c>
      <c r="E4153" s="4">
        <v>0.0</v>
      </c>
      <c r="F4153" s="4">
        <v>2.0</v>
      </c>
      <c r="G4153" s="4" t="s">
        <v>6316</v>
      </c>
    </row>
    <row r="4154">
      <c r="A4154" s="1">
        <v>4152.0</v>
      </c>
      <c r="B4154" s="4" t="s">
        <v>6314</v>
      </c>
      <c r="C4154" s="5" t="str">
        <f>IFERROR(__xludf.DUMMYFUNCTION("GOOGLETRANSLATE(D:D,""auto"",""en"")"),"Friends talk about the final status Liu Zhen")</f>
        <v>Friends talk about the final status Liu Zhen</v>
      </c>
      <c r="D4154" s="4" t="s">
        <v>6317</v>
      </c>
      <c r="E4154" s="4">
        <v>0.0</v>
      </c>
      <c r="F4154" s="4">
        <v>3.0</v>
      </c>
      <c r="G4154" s="4" t="s">
        <v>6318</v>
      </c>
    </row>
    <row r="4155">
      <c r="A4155" s="1">
        <v>4153.0</v>
      </c>
      <c r="B4155" s="4" t="s">
        <v>6314</v>
      </c>
      <c r="C4155" s="5" t="str">
        <f>IFERROR(__xludf.DUMMYFUNCTION("GOOGLETRANSLATE(D:D,""auto"",""en"")"),"Suspended China is rebooting")</f>
        <v>Suspended China is rebooting</v>
      </c>
      <c r="D4155" s="4" t="s">
        <v>6319</v>
      </c>
      <c r="E4155" s="4">
        <v>0.0</v>
      </c>
      <c r="F4155" s="4">
        <v>4.0</v>
      </c>
      <c r="G4155" s="4" t="s">
        <v>6320</v>
      </c>
    </row>
    <row r="4156">
      <c r="A4156" s="1">
        <v>4154.0</v>
      </c>
      <c r="B4156" s="4" t="s">
        <v>6314</v>
      </c>
      <c r="C4156" s="5" t="str">
        <f>IFERROR(__xludf.DUMMYFUNCTION("GOOGLETRANSLATE(D:D,""auto"",""en"")"),"Xiangyang now enter asymptomatic")</f>
        <v>Xiangyang now enter asymptomatic</v>
      </c>
      <c r="D4156" s="4" t="s">
        <v>6321</v>
      </c>
      <c r="E4156" s="4">
        <v>0.0</v>
      </c>
      <c r="F4156" s="4">
        <v>5.0</v>
      </c>
      <c r="G4156" s="4" t="s">
        <v>6322</v>
      </c>
    </row>
    <row r="4157">
      <c r="A4157" s="1">
        <v>4155.0</v>
      </c>
      <c r="B4157" s="4" t="s">
        <v>6314</v>
      </c>
      <c r="C4157" s="5" t="str">
        <f>IFERROR(__xludf.DUMMYFUNCTION("GOOGLETRANSLATE(D:D,""auto"",""en"")"),"Shanxi is now the first case of foreign input")</f>
        <v>Shanxi is now the first case of foreign input</v>
      </c>
      <c r="D4157" s="4" t="s">
        <v>6323</v>
      </c>
      <c r="E4157" s="4">
        <v>0.0</v>
      </c>
      <c r="F4157" s="4">
        <v>6.0</v>
      </c>
      <c r="G4157" s="4" t="s">
        <v>6324</v>
      </c>
    </row>
    <row r="4158">
      <c r="A4158" s="1">
        <v>4156.0</v>
      </c>
      <c r="B4158" s="4" t="s">
        <v>6314</v>
      </c>
      <c r="C4158" s="5" t="str">
        <f>IFERROR(__xludf.DUMMYFUNCTION("GOOGLETRANSLATE(D:D,""auto"",""en"")"),"Italy 1 patient cure")</f>
        <v>Italy 1 patient cure</v>
      </c>
      <c r="D4158" s="4" t="s">
        <v>6325</v>
      </c>
      <c r="E4158" s="4">
        <v>0.0</v>
      </c>
      <c r="F4158" s="4">
        <v>7.0</v>
      </c>
      <c r="G4158" s="4" t="s">
        <v>6326</v>
      </c>
    </row>
    <row r="4159">
      <c r="A4159" s="1">
        <v>4157.0</v>
      </c>
      <c r="B4159" s="4" t="s">
        <v>6314</v>
      </c>
      <c r="C4159" s="5" t="str">
        <f>IFERROR(__xludf.DUMMYFUNCTION("GOOGLETRANSLATE(D:D,""auto"",""en"")"),"Running woman was taken away from the community")</f>
        <v>Running woman was taken away from the community</v>
      </c>
      <c r="D4159" s="4" t="s">
        <v>6327</v>
      </c>
      <c r="E4159" s="4">
        <v>0.0</v>
      </c>
      <c r="F4159" s="4">
        <v>8.0</v>
      </c>
      <c r="G4159" s="4" t="s">
        <v>6328</v>
      </c>
    </row>
    <row r="4160">
      <c r="A4160" s="1">
        <v>4158.0</v>
      </c>
      <c r="B4160" s="4" t="s">
        <v>6314</v>
      </c>
      <c r="C4160" s="5" t="str">
        <f>IFERROR(__xludf.DUMMYFUNCTION("GOOGLETRANSLATE(D:D,""auto"",""en"")"),"Over 35,000 cases diagnosed United States")</f>
        <v>Over 35,000 cases diagnosed United States</v>
      </c>
      <c r="D4160" s="4" t="s">
        <v>6329</v>
      </c>
      <c r="E4160" s="4">
        <v>0.0</v>
      </c>
      <c r="F4160" s="4">
        <v>9.0</v>
      </c>
      <c r="G4160" s="4" t="s">
        <v>6330</v>
      </c>
    </row>
    <row r="4161">
      <c r="A4161" s="1">
        <v>4159.0</v>
      </c>
      <c r="B4161" s="4" t="s">
        <v>6314</v>
      </c>
      <c r="C4161" s="5" t="str">
        <f>IFERROR(__xludf.DUMMYFUNCTION("GOOGLETRANSLATE(D:D,""auto"",""en"")"),"Rui Dexi Wei Chenggu child medicine")</f>
        <v>Rui Dexi Wei Chenggu child medicine</v>
      </c>
      <c r="D4161" s="4" t="s">
        <v>6331</v>
      </c>
      <c r="E4161" s="4">
        <v>0.0</v>
      </c>
      <c r="F4161" s="4">
        <v>10.0</v>
      </c>
      <c r="G4161" s="4" t="s">
        <v>6332</v>
      </c>
    </row>
    <row r="4162">
      <c r="A4162" s="1">
        <v>4160.0</v>
      </c>
      <c r="B4162" s="4" t="s">
        <v>6314</v>
      </c>
      <c r="C4162" s="5" t="str">
        <f>IFERROR(__xludf.DUMMYFUNCTION("GOOGLETRANSLATE(D:D,""auto"",""en"")"),"Virus survived 17 days in the cabin")</f>
        <v>Virus survived 17 days in the cabin</v>
      </c>
      <c r="D4162" s="4" t="s">
        <v>6333</v>
      </c>
      <c r="E4162" s="4">
        <v>0.0</v>
      </c>
      <c r="F4162" s="4">
        <v>11.0</v>
      </c>
      <c r="G4162" s="4" t="s">
        <v>6334</v>
      </c>
    </row>
    <row r="4163">
      <c r="A4163" s="1">
        <v>4161.0</v>
      </c>
      <c r="B4163" s="4" t="s">
        <v>6314</v>
      </c>
      <c r="C4163" s="5" t="str">
        <f>IFERROR(__xludf.DUMMYFUNCTION("GOOGLETRANSLATE(D:D,""auto"",""en"")"),"Wuhan, Hubei will lift off control")</f>
        <v>Wuhan, Hubei will lift off control</v>
      </c>
      <c r="D4163" s="4" t="s">
        <v>6335</v>
      </c>
      <c r="E4163" s="4">
        <v>0.0</v>
      </c>
      <c r="F4163" s="4">
        <v>12.0</v>
      </c>
      <c r="G4163" s="4" t="s">
        <v>6336</v>
      </c>
    </row>
    <row r="4164">
      <c r="A4164" s="1">
        <v>4162.0</v>
      </c>
      <c r="B4164" s="4" t="s">
        <v>6314</v>
      </c>
      <c r="C4164" s="5" t="str">
        <f>IFERROR(__xludf.DUMMYFUNCTION("GOOGLETRANSLATE(D:D,""auto"",""en"")"),"Eiffel Tower lit tribute")</f>
        <v>Eiffel Tower lit tribute</v>
      </c>
      <c r="D4164" s="4" t="s">
        <v>6337</v>
      </c>
      <c r="E4164" s="4">
        <v>0.0</v>
      </c>
      <c r="F4164" s="4">
        <v>13.0</v>
      </c>
      <c r="G4164" s="4" t="s">
        <v>6338</v>
      </c>
    </row>
    <row r="4165">
      <c r="A4165" s="1">
        <v>4163.0</v>
      </c>
      <c r="B4165" s="4" t="s">
        <v>6314</v>
      </c>
      <c r="C4165" s="5" t="str">
        <f>IFERROR(__xludf.DUMMYFUNCTION("GOOGLETRANSLATE(D:D,""auto"",""en"")"),"Fauci position to talk about Trump")</f>
        <v>Fauci position to talk about Trump</v>
      </c>
      <c r="D4165" s="4" t="s">
        <v>6339</v>
      </c>
      <c r="E4165" s="4">
        <v>0.0</v>
      </c>
      <c r="F4165" s="4">
        <v>14.0</v>
      </c>
      <c r="G4165" s="4" t="s">
        <v>6340</v>
      </c>
    </row>
    <row r="4166">
      <c r="A4166" s="1">
        <v>4164.0</v>
      </c>
      <c r="B4166" s="4" t="s">
        <v>6314</v>
      </c>
      <c r="C4166" s="5" t="str">
        <f>IFERROR(__xludf.DUMMYFUNCTION("GOOGLETRANSLATE(D:D,""auto"",""en"")"),"12-year-old boy returning home alone")</f>
        <v>12-year-old boy returning home alone</v>
      </c>
      <c r="D4166" s="4" t="s">
        <v>6341</v>
      </c>
      <c r="E4166" s="4">
        <v>0.0</v>
      </c>
      <c r="F4166" s="4">
        <v>15.0</v>
      </c>
      <c r="G4166" s="4" t="s">
        <v>6342</v>
      </c>
    </row>
    <row r="4167">
      <c r="A4167" s="1">
        <v>4165.0</v>
      </c>
      <c r="B4167" s="4" t="s">
        <v>6314</v>
      </c>
      <c r="C4167" s="5" t="str">
        <f>IFERROR(__xludf.DUMMYFUNCTION("GOOGLETRANSLATE(D:D,""auto"",""en"")"),"US lawmakers shouted Trump")</f>
        <v>US lawmakers shouted Trump</v>
      </c>
      <c r="D4167" s="4" t="s">
        <v>6343</v>
      </c>
      <c r="E4167" s="4">
        <v>0.0</v>
      </c>
      <c r="F4167" s="4">
        <v>16.0</v>
      </c>
      <c r="G4167" s="4" t="s">
        <v>6344</v>
      </c>
    </row>
    <row r="4168">
      <c r="A4168" s="1">
        <v>4166.0</v>
      </c>
      <c r="B4168" s="4" t="s">
        <v>6314</v>
      </c>
      <c r="C4168" s="5" t="str">
        <f>IFERROR(__xludf.DUMMYFUNCTION("GOOGLETRANSLATE(D:D,""auto"",""en"")"),"Anthony Wong questioned Zhong Nanshan")</f>
        <v>Anthony Wong questioned Zhong Nanshan</v>
      </c>
      <c r="D4168" s="4" t="s">
        <v>6345</v>
      </c>
      <c r="E4168" s="4">
        <v>0.0</v>
      </c>
      <c r="F4168" s="4">
        <v>17.0</v>
      </c>
      <c r="G4168" s="4" t="s">
        <v>6346</v>
      </c>
    </row>
    <row r="4169">
      <c r="A4169" s="1">
        <v>4167.0</v>
      </c>
      <c r="B4169" s="4" t="s">
        <v>6314</v>
      </c>
      <c r="C4169" s="5" t="str">
        <f>IFERROR(__xludf.DUMMYFUNCTION("GOOGLETRANSLATE(D:D,""auto"",""en"")"),"266 million people take the initiative receipt")</f>
        <v>266 million people take the initiative receipt</v>
      </c>
      <c r="D4169" s="4" t="s">
        <v>6347</v>
      </c>
      <c r="E4169" s="4">
        <v>0.0</v>
      </c>
      <c r="F4169" s="4">
        <v>18.0</v>
      </c>
      <c r="G4169" s="4" t="s">
        <v>6348</v>
      </c>
    </row>
    <row r="4170">
      <c r="A4170" s="1">
        <v>4168.0</v>
      </c>
      <c r="B4170" s="4" t="s">
        <v>6314</v>
      </c>
      <c r="C4170" s="5" t="str">
        <f>IFERROR(__xludf.DUMMYFUNCTION("GOOGLETRANSLATE(D:D,""auto"",""en"")"),"Liu Zhen memorial hall will be open")</f>
        <v>Liu Zhen memorial hall will be open</v>
      </c>
      <c r="D4170" s="4" t="s">
        <v>6349</v>
      </c>
      <c r="E4170" s="4">
        <v>0.0</v>
      </c>
      <c r="F4170" s="4">
        <v>19.0</v>
      </c>
      <c r="G4170" s="4" t="s">
        <v>6350</v>
      </c>
    </row>
    <row r="4171">
      <c r="A4171" s="1">
        <v>4169.0</v>
      </c>
      <c r="B4171" s="4" t="s">
        <v>6314</v>
      </c>
      <c r="C4171" s="5" t="str">
        <f>IFERROR(__xludf.DUMMYFUNCTION("GOOGLETRANSLATE(D:D,""auto"",""en"")"),"Liu is really the last one issued")</f>
        <v>Liu is really the last one issued</v>
      </c>
      <c r="D4171" s="4" t="s">
        <v>6252</v>
      </c>
      <c r="E4171" s="4">
        <v>0.0</v>
      </c>
      <c r="F4171" s="4">
        <v>20.0</v>
      </c>
      <c r="G4171" s="4" t="s">
        <v>6253</v>
      </c>
    </row>
    <row r="4172">
      <c r="A4172" s="1">
        <v>4170.0</v>
      </c>
      <c r="B4172" s="4" t="s">
        <v>6314</v>
      </c>
      <c r="C4172" s="5" t="str">
        <f>IFERROR(__xludf.DUMMYFUNCTION("GOOGLETRANSLATE(D:D,""auto"",""en"")"),"31 million people in the United States has completed detection")</f>
        <v>31 million people in the United States has completed detection</v>
      </c>
      <c r="D4172" s="4" t="s">
        <v>6351</v>
      </c>
      <c r="E4172" s="4">
        <v>0.0</v>
      </c>
      <c r="F4172" s="4">
        <v>21.0</v>
      </c>
      <c r="G4172" s="4" t="s">
        <v>6352</v>
      </c>
    </row>
    <row r="4173">
      <c r="A4173" s="1">
        <v>4171.0</v>
      </c>
      <c r="B4173" s="4" t="s">
        <v>6314</v>
      </c>
      <c r="C4173" s="5" t="str">
        <f>IFERROR(__xludf.DUMMYFUNCTION("GOOGLETRANSLATE(D:D,""auto"",""en"")"),"Trump called for the protection of Asian")</f>
        <v>Trump called for the protection of Asian</v>
      </c>
      <c r="D4173" s="4" t="s">
        <v>6353</v>
      </c>
      <c r="E4173" s="4">
        <v>0.0</v>
      </c>
      <c r="F4173" s="4">
        <v>22.0</v>
      </c>
      <c r="G4173" s="4" t="s">
        <v>6354</v>
      </c>
    </row>
    <row r="4174">
      <c r="A4174" s="1">
        <v>4172.0</v>
      </c>
      <c r="B4174" s="4" t="s">
        <v>6314</v>
      </c>
      <c r="C4174" s="5" t="str">
        <f>IFERROR(__xludf.DUMMYFUNCTION("GOOGLETRANSLATE(D:D,""auto"",""en"")"),"Lucia Posse's death")</f>
        <v>Lucia Posse's death</v>
      </c>
      <c r="D4174" s="4" t="s">
        <v>6355</v>
      </c>
      <c r="E4174" s="4">
        <v>0.0</v>
      </c>
      <c r="F4174" s="4">
        <v>23.0</v>
      </c>
      <c r="G4174" s="4" t="s">
        <v>6356</v>
      </c>
    </row>
    <row r="4175">
      <c r="A4175" s="1">
        <v>4173.0</v>
      </c>
      <c r="B4175" s="4" t="s">
        <v>6314</v>
      </c>
      <c r="C4175" s="5" t="str">
        <f>IFERROR(__xludf.DUMMYFUNCTION("GOOGLETRANSLATE(D:D,""auto"",""en"")"),"13 provinces definite start dates")</f>
        <v>13 provinces definite start dates</v>
      </c>
      <c r="D4175" s="4" t="s">
        <v>6357</v>
      </c>
      <c r="E4175" s="4">
        <v>0.0</v>
      </c>
      <c r="F4175" s="4">
        <v>24.0</v>
      </c>
      <c r="G4175" s="4" t="s">
        <v>6358</v>
      </c>
    </row>
    <row r="4176">
      <c r="A4176" s="1">
        <v>4174.0</v>
      </c>
      <c r="B4176" s="4" t="s">
        <v>6314</v>
      </c>
      <c r="C4176" s="5" t="str">
        <f>IFERROR(__xludf.DUMMYFUNCTION("GOOGLETRANSLATE(D:D,""auto"",""en"")"),"ZHANG Wen-hong TB Alert")</f>
        <v>ZHANG Wen-hong TB Alert</v>
      </c>
      <c r="D4176" s="4" t="s">
        <v>6359</v>
      </c>
      <c r="E4176" s="4">
        <v>0.0</v>
      </c>
      <c r="F4176" s="4">
        <v>25.0</v>
      </c>
      <c r="G4176" s="4" t="s">
        <v>6360</v>
      </c>
    </row>
    <row r="4177">
      <c r="A4177" s="1">
        <v>4175.0</v>
      </c>
      <c r="B4177" s="4" t="s">
        <v>6314</v>
      </c>
      <c r="C4177" s="5" t="str">
        <f>IFERROR(__xludf.DUMMYFUNCTION("GOOGLETRANSLATE(D:D,""auto"",""en"")"),"The Italian priest died 60")</f>
        <v>The Italian priest died 60</v>
      </c>
      <c r="D4177" s="4" t="s">
        <v>6361</v>
      </c>
      <c r="E4177" s="4">
        <v>0.0</v>
      </c>
      <c r="F4177" s="4">
        <v>26.0</v>
      </c>
      <c r="G4177" s="4" t="s">
        <v>6362</v>
      </c>
    </row>
    <row r="4178">
      <c r="A4178" s="1">
        <v>4176.0</v>
      </c>
      <c r="B4178" s="4" t="s">
        <v>6314</v>
      </c>
      <c r="C4178" s="5" t="str">
        <f>IFERROR(__xludf.DUMMYFUNCTION("GOOGLETRANSLATE(D:D,""auto"",""en"")"),"Italy 24 doctors killed")</f>
        <v>Italy 24 doctors killed</v>
      </c>
      <c r="D4178" s="4" t="s">
        <v>6363</v>
      </c>
      <c r="E4178" s="4">
        <v>0.0</v>
      </c>
      <c r="F4178" s="4">
        <v>27.0</v>
      </c>
      <c r="G4178" s="4" t="s">
        <v>6364</v>
      </c>
    </row>
    <row r="4179">
      <c r="A4179" s="1">
        <v>4177.0</v>
      </c>
      <c r="B4179" s="4" t="s">
        <v>6314</v>
      </c>
      <c r="C4179" s="5" t="str">
        <f>IFERROR(__xludf.DUMMYFUNCTION("GOOGLETRANSLATE(D:D,""auto"",""en"")"),"Dr. Zhao is disclosed for public display")</f>
        <v>Dr. Zhao is disclosed for public display</v>
      </c>
      <c r="D4179" s="4" t="s">
        <v>6365</v>
      </c>
      <c r="E4179" s="4">
        <v>0.0</v>
      </c>
      <c r="F4179" s="4">
        <v>28.0</v>
      </c>
      <c r="G4179" s="4" t="s">
        <v>6366</v>
      </c>
    </row>
    <row r="4180">
      <c r="A4180" s="1">
        <v>4178.0</v>
      </c>
      <c r="B4180" s="4" t="s">
        <v>6314</v>
      </c>
      <c r="C4180" s="5" t="str">
        <f>IFERROR(__xludf.DUMMYFUNCTION("GOOGLETRANSLATE(D:D,""auto"",""en"")"),"Global diagnosed over 370 000")</f>
        <v>Global diagnosed over 370 000</v>
      </c>
      <c r="D4180" s="4" t="s">
        <v>6367</v>
      </c>
      <c r="E4180" s="4">
        <v>0.0</v>
      </c>
      <c r="F4180" s="4">
        <v>29.0</v>
      </c>
      <c r="G4180" s="4" t="s">
        <v>6368</v>
      </c>
    </row>
    <row r="4181">
      <c r="A4181" s="1">
        <v>4179.0</v>
      </c>
      <c r="B4181" s="4" t="s">
        <v>6314</v>
      </c>
      <c r="C4181" s="5" t="str">
        <f>IFERROR(__xludf.DUMMYFUNCTION("GOOGLETRANSLATE(D:D,""auto"",""en"")"),"Pace born four tires first appeared")</f>
        <v>Pace born four tires first appeared</v>
      </c>
      <c r="D4181" s="4" t="s">
        <v>6369</v>
      </c>
      <c r="E4181" s="4">
        <v>0.0</v>
      </c>
      <c r="F4181" s="4">
        <v>30.0</v>
      </c>
      <c r="G4181" s="4" t="s">
        <v>6370</v>
      </c>
    </row>
    <row r="4182">
      <c r="A4182" s="1">
        <v>4180.0</v>
      </c>
      <c r="B4182" s="4" t="s">
        <v>6314</v>
      </c>
      <c r="C4182" s="5" t="str">
        <f>IFERROR(__xludf.DUMMYFUNCTION("GOOGLETRANSLATE(D:D,""auto"",""en"")"),"Xinlong sound for the first time")</f>
        <v>Xinlong sound for the first time</v>
      </c>
      <c r="D4182" s="4" t="s">
        <v>6371</v>
      </c>
      <c r="E4182" s="4">
        <v>0.0</v>
      </c>
      <c r="F4182" s="4">
        <v>31.0</v>
      </c>
      <c r="G4182" s="4" t="s">
        <v>6372</v>
      </c>
    </row>
    <row r="4183">
      <c r="A4183" s="1">
        <v>4181.0</v>
      </c>
      <c r="B4183" s="4" t="s">
        <v>6314</v>
      </c>
      <c r="C4183" s="5" t="str">
        <f>IFERROR(__xludf.DUMMYFUNCTION("GOOGLETRANSLATE(D:D,""auto"",""en"")"),"USFK female death")</f>
        <v>USFK female death</v>
      </c>
      <c r="D4183" s="4" t="s">
        <v>6373</v>
      </c>
      <c r="E4183" s="4">
        <v>0.0</v>
      </c>
      <c r="F4183" s="4">
        <v>32.0</v>
      </c>
      <c r="G4183" s="4" t="s">
        <v>6374</v>
      </c>
    </row>
    <row r="4184">
      <c r="A4184" s="1">
        <v>4182.0</v>
      </c>
      <c r="B4184" s="4" t="s">
        <v>6314</v>
      </c>
      <c r="C4184" s="5" t="str">
        <f>IFERROR(__xludf.DUMMYFUNCTION("GOOGLETRANSLATE(D:D,""auto"",""en"")"),"Brazil said the gang forcibly closed city")</f>
        <v>Brazil said the gang forcibly closed city</v>
      </c>
      <c r="D4184" s="4" t="s">
        <v>6375</v>
      </c>
      <c r="E4184" s="4">
        <v>0.0</v>
      </c>
      <c r="F4184" s="4">
        <v>33.0</v>
      </c>
      <c r="G4184" s="4" t="s">
        <v>6376</v>
      </c>
    </row>
    <row r="4185">
      <c r="A4185" s="1">
        <v>4183.0</v>
      </c>
      <c r="B4185" s="4" t="s">
        <v>6314</v>
      </c>
      <c r="C4185" s="5" t="str">
        <f>IFERROR(__xludf.DUMMYFUNCTION("GOOGLETRANSLATE(D:D,""auto"",""en"")"),"Hubei confirmed cases increased by 1")</f>
        <v>Hubei confirmed cases increased by 1</v>
      </c>
      <c r="D4185" s="4" t="s">
        <v>6377</v>
      </c>
      <c r="E4185" s="4">
        <v>0.0</v>
      </c>
      <c r="F4185" s="4">
        <v>34.0</v>
      </c>
      <c r="G4185" s="4" t="s">
        <v>6378</v>
      </c>
    </row>
    <row r="4186">
      <c r="A4186" s="1">
        <v>4184.0</v>
      </c>
      <c r="B4186" s="4" t="s">
        <v>6314</v>
      </c>
      <c r="C4186" s="5" t="str">
        <f>IFERROR(__xludf.DUMMYFUNCTION("GOOGLETRANSLATE(D:D,""auto"",""en"")"),"Shenyang Food Shop banner event")</f>
        <v>Shenyang Food Shop banner event</v>
      </c>
      <c r="D4186" s="4" t="s">
        <v>6280</v>
      </c>
      <c r="E4186" s="4">
        <v>0.0</v>
      </c>
      <c r="F4186" s="4">
        <v>35.0</v>
      </c>
      <c r="G4186" s="4" t="s">
        <v>6281</v>
      </c>
    </row>
    <row r="4187">
      <c r="A4187" s="1">
        <v>4185.0</v>
      </c>
      <c r="B4187" s="4" t="s">
        <v>6314</v>
      </c>
      <c r="C4187" s="5" t="str">
        <f>IFERROR(__xludf.DUMMYFUNCTION("GOOGLETRANSLATE(D:D,""auto"",""en"")"),"William Chan buy exposure Suite 5")</f>
        <v>William Chan buy exposure Suite 5</v>
      </c>
      <c r="D4187" s="4" t="s">
        <v>6379</v>
      </c>
      <c r="E4187" s="4">
        <v>0.0</v>
      </c>
      <c r="F4187" s="4">
        <v>36.0</v>
      </c>
      <c r="G4187" s="4" t="s">
        <v>6380</v>
      </c>
    </row>
    <row r="4188">
      <c r="A4188" s="1">
        <v>4186.0</v>
      </c>
      <c r="B4188" s="4" t="s">
        <v>6314</v>
      </c>
      <c r="C4188" s="5" t="str">
        <f>IFERROR(__xludf.DUMMYFUNCTION("GOOGLETRANSLATE(D:D,""auto"",""en"")"),"Apple's market capitalization fell below trillion")</f>
        <v>Apple's market capitalization fell below trillion</v>
      </c>
      <c r="D4188" s="4" t="s">
        <v>6381</v>
      </c>
      <c r="E4188" s="4">
        <v>0.0</v>
      </c>
      <c r="F4188" s="4">
        <v>37.0</v>
      </c>
      <c r="G4188" s="4" t="s">
        <v>6382</v>
      </c>
    </row>
    <row r="4189">
      <c r="A4189" s="1">
        <v>4187.0</v>
      </c>
      <c r="B4189" s="4" t="s">
        <v>6314</v>
      </c>
      <c r="C4189" s="5" t="str">
        <f>IFERROR(__xludf.DUMMYFUNCTION("GOOGLETRANSLATE(D:D,""auto"",""en"")"),"Wang Feng recent photograph of his ex-wife exposed")</f>
        <v>Wang Feng recent photograph of his ex-wife exposed</v>
      </c>
      <c r="D4189" s="4" t="s">
        <v>6383</v>
      </c>
      <c r="E4189" s="4">
        <v>0.0</v>
      </c>
      <c r="F4189" s="4">
        <v>38.0</v>
      </c>
      <c r="G4189" s="4" t="s">
        <v>6384</v>
      </c>
    </row>
    <row r="4190">
      <c r="A4190" s="1">
        <v>4188.0</v>
      </c>
      <c r="B4190" s="4" t="s">
        <v>6314</v>
      </c>
      <c r="C4190" s="5" t="str">
        <f>IFERROR(__xludf.DUMMYFUNCTION("GOOGLETRANSLATE(D:D,""auto"",""en"")"),"Wuhan new cases Department doctors")</f>
        <v>Wuhan new cases Department doctors</v>
      </c>
      <c r="D4190" s="4" t="s">
        <v>6385</v>
      </c>
      <c r="E4190" s="4">
        <v>0.0</v>
      </c>
      <c r="F4190" s="4">
        <v>39.0</v>
      </c>
      <c r="G4190" s="4" t="s">
        <v>6386</v>
      </c>
    </row>
    <row r="4191">
      <c r="A4191" s="1">
        <v>4189.0</v>
      </c>
      <c r="B4191" s="4" t="s">
        <v>6314</v>
      </c>
      <c r="C4191" s="5" t="str">
        <f>IFERROR(__xludf.DUMMYFUNCTION("GOOGLETRANSLATE(D:D,""auto"",""en"")"),"3 cases of foreign input by Jiangsu")</f>
        <v>3 cases of foreign input by Jiangsu</v>
      </c>
      <c r="D4191" s="4" t="s">
        <v>6387</v>
      </c>
      <c r="E4191" s="4">
        <v>0.0</v>
      </c>
      <c r="F4191" s="4">
        <v>40.0</v>
      </c>
      <c r="G4191" s="4" t="s">
        <v>6388</v>
      </c>
    </row>
    <row r="4192">
      <c r="A4192" s="1">
        <v>4190.0</v>
      </c>
      <c r="B4192" s="4" t="s">
        <v>6314</v>
      </c>
      <c r="C4192" s="5" t="str">
        <f>IFERROR(__xludf.DUMMYFUNCTION("GOOGLETRANSLATE(D:D,""auto"",""en"")"),"Beijing suggest that peak shifting to work")</f>
        <v>Beijing suggest that peak shifting to work</v>
      </c>
      <c r="D4192" s="4" t="s">
        <v>6389</v>
      </c>
      <c r="E4192" s="4">
        <v>0.0</v>
      </c>
      <c r="F4192" s="4">
        <v>41.0</v>
      </c>
      <c r="G4192" s="4" t="s">
        <v>6390</v>
      </c>
    </row>
    <row r="4193">
      <c r="A4193" s="1">
        <v>4191.0</v>
      </c>
      <c r="B4193" s="4" t="s">
        <v>6314</v>
      </c>
      <c r="C4193" s="5" t="str">
        <f>IFERROR(__xludf.DUMMYFUNCTION("GOOGLETRANSLATE(D:D,""auto"",""en"")"),"Beijing, or recapture car indicators")</f>
        <v>Beijing, or recapture car indicators</v>
      </c>
      <c r="D4193" s="4" t="s">
        <v>6391</v>
      </c>
      <c r="E4193" s="4">
        <v>0.0</v>
      </c>
      <c r="F4193" s="4">
        <v>42.0</v>
      </c>
      <c r="G4193" s="4" t="s">
        <v>6392</v>
      </c>
    </row>
    <row r="4194">
      <c r="A4194" s="1">
        <v>4192.0</v>
      </c>
      <c r="B4194" s="4" t="s">
        <v>6314</v>
      </c>
      <c r="C4194" s="5" t="str">
        <f>IFERROR(__xludf.DUMMYFUNCTION("GOOGLETRANSLATE(D:D,""auto"",""en"")"),"Man suspected of being infected stairs")</f>
        <v>Man suspected of being infected stairs</v>
      </c>
      <c r="D4194" s="4" t="s">
        <v>6393</v>
      </c>
      <c r="E4194" s="4">
        <v>0.0</v>
      </c>
      <c r="F4194" s="4">
        <v>43.0</v>
      </c>
      <c r="G4194" s="4" t="s">
        <v>6394</v>
      </c>
    </row>
    <row r="4195">
      <c r="A4195" s="1">
        <v>4193.0</v>
      </c>
      <c r="B4195" s="4" t="s">
        <v>6314</v>
      </c>
      <c r="C4195" s="5" t="str">
        <f>IFERROR(__xludf.DUMMYFUNCTION("GOOGLETRANSLATE(D:D,""auto"",""en"")"),"Trump talk about restarting the United States")</f>
        <v>Trump talk about restarting the United States</v>
      </c>
      <c r="D4195" s="4" t="s">
        <v>6395</v>
      </c>
      <c r="E4195" s="4">
        <v>0.0</v>
      </c>
      <c r="F4195" s="4">
        <v>44.0</v>
      </c>
      <c r="G4195" s="4" t="s">
        <v>6396</v>
      </c>
    </row>
    <row r="4196">
      <c r="A4196" s="1">
        <v>4194.0</v>
      </c>
      <c r="B4196" s="4" t="s">
        <v>6314</v>
      </c>
      <c r="C4196" s="5" t="str">
        <f>IFERROR(__xludf.DUMMYFUNCTION("GOOGLETRANSLATE(D:D,""auto"",""en"")"),"Three operators announced rectification")</f>
        <v>Three operators announced rectification</v>
      </c>
      <c r="D4196" s="4" t="s">
        <v>6276</v>
      </c>
      <c r="E4196" s="4">
        <v>0.0</v>
      </c>
      <c r="F4196" s="4">
        <v>45.0</v>
      </c>
      <c r="G4196" s="4" t="s">
        <v>6277</v>
      </c>
    </row>
    <row r="4197">
      <c r="A4197" s="1">
        <v>4195.0</v>
      </c>
      <c r="B4197" s="4" t="s">
        <v>6314</v>
      </c>
      <c r="C4197" s="5" t="str">
        <f>IFERROR(__xludf.DUMMYFUNCTION("GOOGLETRANSLATE(D:D,""auto"",""en"")"),"British actor infection exposure a year ago")</f>
        <v>British actor infection exposure a year ago</v>
      </c>
      <c r="D4197" s="4" t="s">
        <v>6306</v>
      </c>
      <c r="E4197" s="4">
        <v>0.0</v>
      </c>
      <c r="F4197" s="4">
        <v>46.0</v>
      </c>
      <c r="G4197" s="4" t="s">
        <v>6307</v>
      </c>
    </row>
    <row r="4198">
      <c r="A4198" s="1">
        <v>4196.0</v>
      </c>
      <c r="B4198" s="4" t="s">
        <v>6314</v>
      </c>
      <c r="C4198" s="5" t="str">
        <f>IFERROR(__xludf.DUMMYFUNCTION("GOOGLETRANSLATE(D:D,""auto"",""en"")"),"Jiangxi Dingnan winds exceed 11")</f>
        <v>Jiangxi Dingnan winds exceed 11</v>
      </c>
      <c r="D4198" s="4" t="s">
        <v>6304</v>
      </c>
      <c r="E4198" s="4">
        <v>0.0</v>
      </c>
      <c r="F4198" s="4">
        <v>47.0</v>
      </c>
      <c r="G4198" s="4" t="s">
        <v>6305</v>
      </c>
    </row>
    <row r="4199">
      <c r="A4199" s="1">
        <v>4197.0</v>
      </c>
      <c r="B4199" s="4" t="s">
        <v>6314</v>
      </c>
      <c r="C4199" s="5" t="str">
        <f>IFERROR(__xludf.DUMMYFUNCTION("GOOGLETRANSLATE(D:D,""auto"",""en"")"),"US new single-day death over a hundred crown")</f>
        <v>US new single-day death over a hundred crown</v>
      </c>
      <c r="D4199" s="4" t="s">
        <v>6397</v>
      </c>
      <c r="E4199" s="4">
        <v>0.0</v>
      </c>
      <c r="F4199" s="4">
        <v>48.0</v>
      </c>
      <c r="G4199" s="4" t="s">
        <v>6398</v>
      </c>
    </row>
    <row r="4200">
      <c r="A4200" s="1">
        <v>4198.0</v>
      </c>
      <c r="B4200" s="4" t="s">
        <v>6314</v>
      </c>
      <c r="C4200" s="5" t="str">
        <f>IFERROR(__xludf.DUMMYFUNCTION("GOOGLETRANSLATE(D:D,""auto"",""en"")"),"Jiangmen now more mysterious loud noise")</f>
        <v>Jiangmen now more mysterious loud noise</v>
      </c>
      <c r="D4200" s="4" t="s">
        <v>6399</v>
      </c>
      <c r="E4200" s="4">
        <v>0.0</v>
      </c>
      <c r="F4200" s="4">
        <v>49.0</v>
      </c>
      <c r="G4200" s="4" t="s">
        <v>6400</v>
      </c>
    </row>
    <row r="4201">
      <c r="A4201" s="1">
        <v>4199.0</v>
      </c>
      <c r="B4201" s="4" t="s">
        <v>6314</v>
      </c>
      <c r="C4201" s="5" t="str">
        <f>IFERROR(__xludf.DUMMYFUNCTION("GOOGLETRANSLATE(D:D,""auto"",""en"")"),"4 the new indigenous cases")</f>
        <v>4 the new indigenous cases</v>
      </c>
      <c r="D4201" s="4" t="s">
        <v>6401</v>
      </c>
      <c r="E4201" s="4">
        <v>0.0</v>
      </c>
      <c r="F4201" s="4">
        <v>50.0</v>
      </c>
      <c r="G4201" s="4" t="s">
        <v>6402</v>
      </c>
    </row>
    <row r="4202">
      <c r="A4202" s="1">
        <v>4200.0</v>
      </c>
      <c r="B4202" s="4" t="s">
        <v>6403</v>
      </c>
      <c r="C4202" s="5" t="str">
        <f>IFERROR(__xludf.DUMMYFUNCTION("GOOGLETRANSLATE(D:D,""auto"",""en"")"),"Anthony Wong questioned Zhong Nanshan")</f>
        <v>Anthony Wong questioned Zhong Nanshan</v>
      </c>
      <c r="D4202" s="4" t="s">
        <v>6345</v>
      </c>
      <c r="E4202" s="4">
        <v>0.0</v>
      </c>
      <c r="F4202" s="4">
        <v>1.0</v>
      </c>
      <c r="G4202" s="4" t="s">
        <v>6346</v>
      </c>
    </row>
    <row r="4203">
      <c r="A4203" s="1">
        <v>4201.0</v>
      </c>
      <c r="B4203" s="4" t="s">
        <v>6403</v>
      </c>
      <c r="C4203" s="5" t="str">
        <f>IFERROR(__xludf.DUMMYFUNCTION("GOOGLETRANSLATE(D:D,""auto"",""en"")"),"Italian flag hanging Russia")</f>
        <v>Italian flag hanging Russia</v>
      </c>
      <c r="D4203" s="4" t="s">
        <v>6404</v>
      </c>
      <c r="E4203" s="4">
        <v>0.0</v>
      </c>
      <c r="F4203" s="4">
        <v>2.0</v>
      </c>
      <c r="G4203" s="4" t="s">
        <v>6405</v>
      </c>
    </row>
    <row r="4204">
      <c r="A4204" s="1">
        <v>4202.0</v>
      </c>
      <c r="B4204" s="4" t="s">
        <v>6403</v>
      </c>
      <c r="C4204" s="5" t="str">
        <f>IFERROR(__xludf.DUMMYFUNCTION("GOOGLETRANSLATE(D:D,""auto"",""en"")"),"Liu Zhen Buddhist ceremony with funeral")</f>
        <v>Liu Zhen Buddhist ceremony with funeral</v>
      </c>
      <c r="D4204" s="4" t="s">
        <v>6406</v>
      </c>
      <c r="E4204" s="4">
        <v>0.0</v>
      </c>
      <c r="F4204" s="4">
        <v>3.0</v>
      </c>
      <c r="G4204" s="4" t="s">
        <v>6407</v>
      </c>
    </row>
    <row r="4205">
      <c r="A4205" s="1">
        <v>4203.0</v>
      </c>
      <c r="B4205" s="4" t="s">
        <v>6403</v>
      </c>
      <c r="C4205" s="5" t="str">
        <f>IFERROR(__xludf.DUMMYFUNCTION("GOOGLETRANSLATE(D:D,""auto"",""en"")"),"Zhong Nanshan, Chen Tao-ming rumor ornaments")</f>
        <v>Zhong Nanshan, Chen Tao-ming rumor ornaments</v>
      </c>
      <c r="D4205" s="4" t="s">
        <v>6408</v>
      </c>
      <c r="E4205" s="4">
        <v>0.0</v>
      </c>
      <c r="F4205" s="4">
        <v>4.0</v>
      </c>
      <c r="G4205" s="4" t="s">
        <v>6409</v>
      </c>
    </row>
    <row r="4206">
      <c r="A4206" s="1">
        <v>4204.0</v>
      </c>
      <c r="B4206" s="4" t="s">
        <v>6403</v>
      </c>
      <c r="C4206" s="5" t="str">
        <f>IFERROR(__xludf.DUMMYFUNCTION("GOOGLETRANSLATE(D:D,""auto"",""en"")"),"G7 finance ministers issued a joint statement")</f>
        <v>G7 finance ministers issued a joint statement</v>
      </c>
      <c r="D4206" s="4" t="s">
        <v>6410</v>
      </c>
      <c r="E4206" s="4">
        <v>0.0</v>
      </c>
      <c r="F4206" s="4">
        <v>5.0</v>
      </c>
      <c r="G4206" s="4" t="s">
        <v>6411</v>
      </c>
    </row>
    <row r="4207">
      <c r="A4207" s="1">
        <v>4205.0</v>
      </c>
      <c r="B4207" s="4" t="s">
        <v>6403</v>
      </c>
      <c r="C4207" s="5" t="str">
        <f>IFERROR(__xludf.DUMMYFUNCTION("GOOGLETRANSLATE(D:D,""auto"",""en"")"),"Trump to help South Korea")</f>
        <v>Trump to help South Korea</v>
      </c>
      <c r="D4207" s="4" t="s">
        <v>6412</v>
      </c>
      <c r="E4207" s="4">
        <v>0.0</v>
      </c>
      <c r="F4207" s="4">
        <v>6.0</v>
      </c>
      <c r="G4207" s="4" t="s">
        <v>6413</v>
      </c>
    </row>
    <row r="4208">
      <c r="A4208" s="1">
        <v>4206.0</v>
      </c>
      <c r="B4208" s="4" t="s">
        <v>6403</v>
      </c>
      <c r="C4208" s="5" t="str">
        <f>IFERROR(__xludf.DUMMYFUNCTION("GOOGLETRANSLATE(D:D,""auto"",""en"")"),"Xinjiang dump snow")</f>
        <v>Xinjiang dump snow</v>
      </c>
      <c r="D4208" s="4" t="s">
        <v>6414</v>
      </c>
      <c r="E4208" s="4">
        <v>0.0</v>
      </c>
      <c r="F4208" s="4">
        <v>7.0</v>
      </c>
      <c r="G4208" s="4" t="s">
        <v>6415</v>
      </c>
    </row>
    <row r="4209">
      <c r="A4209" s="1">
        <v>4207.0</v>
      </c>
      <c r="B4209" s="4" t="s">
        <v>6403</v>
      </c>
      <c r="C4209" s="5" t="str">
        <f>IFERROR(__xludf.DUMMYFUNCTION("GOOGLETRANSLATE(D:D,""auto"",""en"")"),"Chongqing hail orange warning")</f>
        <v>Chongqing hail orange warning</v>
      </c>
      <c r="D4209" s="4" t="s">
        <v>6416</v>
      </c>
      <c r="E4209" s="4">
        <v>0.0</v>
      </c>
      <c r="F4209" s="4">
        <v>8.0</v>
      </c>
      <c r="G4209" s="4" t="s">
        <v>6417</v>
      </c>
    </row>
    <row r="4210">
      <c r="A4210" s="1">
        <v>4208.0</v>
      </c>
      <c r="B4210" s="4" t="s">
        <v>6403</v>
      </c>
      <c r="C4210" s="5" t="str">
        <f>IFERROR(__xludf.DUMMYFUNCTION("GOOGLETRANSLATE(D:D,""auto"",""en"")"),"Trump name changed to virus")</f>
        <v>Trump name changed to virus</v>
      </c>
      <c r="D4210" s="4" t="s">
        <v>6418</v>
      </c>
      <c r="E4210" s="4">
        <v>0.0</v>
      </c>
      <c r="F4210" s="4">
        <v>9.0</v>
      </c>
      <c r="G4210" s="4" t="s">
        <v>6419</v>
      </c>
    </row>
    <row r="4211">
      <c r="A4211" s="1">
        <v>4209.0</v>
      </c>
      <c r="B4211" s="4" t="s">
        <v>6403</v>
      </c>
      <c r="C4211" s="5" t="str">
        <f>IFERROR(__xludf.DUMMYFUNCTION("GOOGLETRANSLATE(D:D,""auto"",""en"")"),"Gates open letter issued")</f>
        <v>Gates open letter issued</v>
      </c>
      <c r="D4211" s="4" t="s">
        <v>6420</v>
      </c>
      <c r="E4211" s="4">
        <v>0.0</v>
      </c>
      <c r="F4211" s="4">
        <v>10.0</v>
      </c>
      <c r="G4211" s="4" t="s">
        <v>6421</v>
      </c>
    </row>
    <row r="4212">
      <c r="A4212" s="1">
        <v>4210.0</v>
      </c>
      <c r="B4212" s="4" t="s">
        <v>6403</v>
      </c>
      <c r="C4212" s="5" t="str">
        <f>IFERROR(__xludf.DUMMYFUNCTION("GOOGLETRANSLATE(D:D,""auto"",""en"")"),"Beijing Bureau of Commerce to apologize")</f>
        <v>Beijing Bureau of Commerce to apologize</v>
      </c>
      <c r="D4212" s="4" t="s">
        <v>6422</v>
      </c>
      <c r="E4212" s="4">
        <v>0.0</v>
      </c>
      <c r="F4212" s="4">
        <v>11.0</v>
      </c>
      <c r="G4212" s="4" t="s">
        <v>6423</v>
      </c>
    </row>
    <row r="4213">
      <c r="A4213" s="1">
        <v>4211.0</v>
      </c>
      <c r="B4213" s="4" t="s">
        <v>6403</v>
      </c>
      <c r="C4213" s="5" t="str">
        <f>IFERROR(__xludf.DUMMYFUNCTION("GOOGLETRANSLATE(D:D,""auto"",""en"")"),"US spokeswoman Hua Chunying then hate")</f>
        <v>US spokeswoman Hua Chunying then hate</v>
      </c>
      <c r="D4213" s="4" t="s">
        <v>6424</v>
      </c>
      <c r="E4213" s="4">
        <v>0.0</v>
      </c>
      <c r="F4213" s="4">
        <v>12.0</v>
      </c>
      <c r="G4213" s="4" t="s">
        <v>6425</v>
      </c>
    </row>
    <row r="4214">
      <c r="A4214" s="1">
        <v>4212.0</v>
      </c>
      <c r="B4214" s="4" t="s">
        <v>6403</v>
      </c>
      <c r="C4214" s="5" t="str">
        <f>IFERROR(__xludf.DUMMYFUNCTION("GOOGLETRANSLATE(D:D,""auto"",""en"")"),"United States 9 women prisoners escape")</f>
        <v>United States 9 women prisoners escape</v>
      </c>
      <c r="D4214" s="4" t="s">
        <v>6426</v>
      </c>
      <c r="E4214" s="4">
        <v>0.0</v>
      </c>
      <c r="F4214" s="4">
        <v>13.0</v>
      </c>
      <c r="G4214" s="4" t="s">
        <v>6427</v>
      </c>
    </row>
    <row r="4215">
      <c r="A4215" s="1">
        <v>4213.0</v>
      </c>
      <c r="B4215" s="4" t="s">
        <v>6403</v>
      </c>
      <c r="C4215" s="5" t="str">
        <f>IFERROR(__xludf.DUMMYFUNCTION("GOOGLETRANSLATE(D:D,""auto"",""en"")"),"Japan's new single-day record high")</f>
        <v>Japan's new single-day record high</v>
      </c>
      <c r="D4215" s="4" t="s">
        <v>6428</v>
      </c>
      <c r="E4215" s="4">
        <v>0.0</v>
      </c>
      <c r="F4215" s="4">
        <v>14.0</v>
      </c>
      <c r="G4215" s="4" t="s">
        <v>6429</v>
      </c>
    </row>
    <row r="4216">
      <c r="A4216" s="1">
        <v>4214.0</v>
      </c>
      <c r="B4216" s="4" t="s">
        <v>6403</v>
      </c>
      <c r="C4216" s="5" t="str">
        <f>IFERROR(__xludf.DUMMYFUNCTION("GOOGLETRANSLATE(D:D,""auto"",""en"")"),"Anhui clear return to school standards")</f>
        <v>Anhui clear return to school standards</v>
      </c>
      <c r="D4216" s="4" t="s">
        <v>6430</v>
      </c>
      <c r="E4216" s="4">
        <v>0.0</v>
      </c>
      <c r="F4216" s="4">
        <v>15.0</v>
      </c>
      <c r="G4216" s="4" t="s">
        <v>6431</v>
      </c>
    </row>
    <row r="4217">
      <c r="A4217" s="1">
        <v>4215.0</v>
      </c>
      <c r="B4217" s="4" t="s">
        <v>6403</v>
      </c>
      <c r="C4217" s="5" t="str">
        <f>IFERROR(__xludf.DUMMYFUNCTION("GOOGLETRANSLATE(D:D,""auto"",""en"")"),"Yin was eating fajitas chew at 121")</f>
        <v>Yin was eating fajitas chew at 121</v>
      </c>
      <c r="D4217" s="4" t="s">
        <v>6432</v>
      </c>
      <c r="E4217" s="4">
        <v>0.0</v>
      </c>
      <c r="F4217" s="4">
        <v>16.0</v>
      </c>
      <c r="G4217" s="4" t="s">
        <v>6433</v>
      </c>
    </row>
    <row r="4218">
      <c r="A4218" s="1">
        <v>4216.0</v>
      </c>
      <c r="B4218" s="4" t="s">
        <v>6403</v>
      </c>
      <c r="C4218" s="5" t="str">
        <f>IFERROR(__xludf.DUMMYFUNCTION("GOOGLETRANSLATE(D:D,""auto"",""en"")"),"US daily new cases of broken million")</f>
        <v>US daily new cases of broken million</v>
      </c>
      <c r="D4218" s="4" t="s">
        <v>6434</v>
      </c>
      <c r="E4218" s="4">
        <v>0.0</v>
      </c>
      <c r="F4218" s="4">
        <v>17.0</v>
      </c>
      <c r="G4218" s="4" t="s">
        <v>6435</v>
      </c>
    </row>
    <row r="4219">
      <c r="A4219" s="1">
        <v>4217.0</v>
      </c>
      <c r="B4219" s="4" t="s">
        <v>6403</v>
      </c>
      <c r="C4219" s="5" t="str">
        <f>IFERROR(__xludf.DUMMYFUNCTION("GOOGLETRANSLATE(D:D,""auto"",""en"")"),"Global diagnosed over 410 000")</f>
        <v>Global diagnosed over 410 000</v>
      </c>
      <c r="D4219" s="4" t="s">
        <v>6436</v>
      </c>
      <c r="E4219" s="4">
        <v>0.0</v>
      </c>
      <c r="F4219" s="4">
        <v>18.0</v>
      </c>
      <c r="G4219" s="4" t="s">
        <v>6437</v>
      </c>
    </row>
    <row r="4220">
      <c r="A4220" s="1">
        <v>4218.0</v>
      </c>
      <c r="B4220" s="4" t="s">
        <v>6403</v>
      </c>
      <c r="C4220" s="5" t="str">
        <f>IFERROR(__xludf.DUMMYFUNCTION("GOOGLETRANSLATE(D:D,""auto"",""en"")"),"Hillary mocking Trump")</f>
        <v>Hillary mocking Trump</v>
      </c>
      <c r="D4220" s="4" t="s">
        <v>6438</v>
      </c>
      <c r="E4220" s="4">
        <v>0.0</v>
      </c>
      <c r="F4220" s="4">
        <v>19.0</v>
      </c>
      <c r="G4220" s="4" t="s">
        <v>6439</v>
      </c>
    </row>
    <row r="4221">
      <c r="A4221" s="1">
        <v>4219.0</v>
      </c>
      <c r="B4221" s="4" t="s">
        <v>6403</v>
      </c>
      <c r="C4221" s="5" t="str">
        <f>IFERROR(__xludf.DUMMYFUNCTION("GOOGLETRANSLATE(D:D,""auto"",""en"")"),"Nurses are reminded to buy a mask opening")</f>
        <v>Nurses are reminded to buy a mask opening</v>
      </c>
      <c r="D4221" s="4" t="s">
        <v>6440</v>
      </c>
      <c r="E4221" s="4">
        <v>0.0</v>
      </c>
      <c r="F4221" s="4">
        <v>20.0</v>
      </c>
      <c r="G4221" s="4" t="s">
        <v>6441</v>
      </c>
    </row>
    <row r="4222">
      <c r="A4222" s="1">
        <v>4220.0</v>
      </c>
      <c r="B4222" s="4" t="s">
        <v>6403</v>
      </c>
      <c r="C4222" s="5" t="str">
        <f>IFERROR(__xludf.DUMMYFUNCTION("GOOGLETRANSLATE(D:D,""auto"",""en"")"),"Gates said the economy would rather sacrifice")</f>
        <v>Gates said the economy would rather sacrifice</v>
      </c>
      <c r="D4222" s="4" t="s">
        <v>6442</v>
      </c>
      <c r="E4222" s="4">
        <v>0.0</v>
      </c>
      <c r="F4222" s="4">
        <v>21.0</v>
      </c>
      <c r="G4222" s="4" t="s">
        <v>6443</v>
      </c>
    </row>
    <row r="4223">
      <c r="A4223" s="1">
        <v>4221.0</v>
      </c>
      <c r="B4223" s="4" t="s">
        <v>6403</v>
      </c>
      <c r="C4223" s="5" t="str">
        <f>IFERROR(__xludf.DUMMYFUNCTION("GOOGLETRANSLATE(D:D,""auto"",""en"")"),"Taobao private beta response")</f>
        <v>Taobao private beta response</v>
      </c>
      <c r="D4223" s="4" t="s">
        <v>6444</v>
      </c>
      <c r="E4223" s="4">
        <v>0.0</v>
      </c>
      <c r="F4223" s="4">
        <v>22.0</v>
      </c>
      <c r="G4223" s="4" t="s">
        <v>6445</v>
      </c>
    </row>
    <row r="4224">
      <c r="A4224" s="1">
        <v>4222.0</v>
      </c>
      <c r="B4224" s="4" t="s">
        <v>6403</v>
      </c>
      <c r="C4224" s="5" t="str">
        <f>IFERROR(__xludf.DUMMYFUNCTION("GOOGLETRANSLATE(D:D,""auto"",""en"")"),"The list of high risk countries to adjust")</f>
        <v>The list of high risk countries to adjust</v>
      </c>
      <c r="D4224" s="4" t="s">
        <v>6446</v>
      </c>
      <c r="E4224" s="4">
        <v>0.0</v>
      </c>
      <c r="F4224" s="4">
        <v>23.0</v>
      </c>
      <c r="G4224" s="4" t="s">
        <v>6447</v>
      </c>
    </row>
    <row r="4225">
      <c r="A4225" s="1">
        <v>4223.0</v>
      </c>
      <c r="B4225" s="4" t="s">
        <v>6403</v>
      </c>
      <c r="C4225" s="5" t="str">
        <f>IFERROR(__xludf.DUMMYFUNCTION("GOOGLETRANSLATE(D:D,""auto"",""en"")"),"Britain's Prince Charles infection")</f>
        <v>Britain's Prince Charles infection</v>
      </c>
      <c r="D4225" s="4" t="s">
        <v>6448</v>
      </c>
      <c r="E4225" s="4">
        <v>0.0</v>
      </c>
      <c r="F4225" s="4">
        <v>24.0</v>
      </c>
      <c r="G4225" s="4" t="s">
        <v>6449</v>
      </c>
    </row>
    <row r="4226">
      <c r="A4226" s="1">
        <v>4224.0</v>
      </c>
      <c r="B4226" s="4" t="s">
        <v>6403</v>
      </c>
      <c r="C4226" s="5" t="str">
        <f>IFERROR(__xludf.DUMMYFUNCTION("GOOGLETRANSLATE(D:D,""auto"",""en"")"),"Wu Lei nucleic acid test was negative")</f>
        <v>Wu Lei nucleic acid test was negative</v>
      </c>
      <c r="D4226" s="4" t="s">
        <v>6450</v>
      </c>
      <c r="E4226" s="4">
        <v>0.0</v>
      </c>
      <c r="F4226" s="4">
        <v>25.0</v>
      </c>
      <c r="G4226" s="4" t="s">
        <v>6451</v>
      </c>
    </row>
    <row r="4227">
      <c r="A4227" s="1">
        <v>4225.0</v>
      </c>
      <c r="B4227" s="4" t="s">
        <v>6403</v>
      </c>
      <c r="C4227" s="5" t="str">
        <f>IFERROR(__xludf.DUMMYFUNCTION("GOOGLETRANSLATE(D:D,""auto"",""en"")"),"266 million people take the initiative receipt")</f>
        <v>266 million people take the initiative receipt</v>
      </c>
      <c r="D4227" s="4" t="s">
        <v>6347</v>
      </c>
      <c r="E4227" s="4">
        <v>0.0</v>
      </c>
      <c r="F4227" s="4">
        <v>26.0</v>
      </c>
      <c r="G4227" s="4" t="s">
        <v>6348</v>
      </c>
    </row>
    <row r="4228">
      <c r="A4228" s="1">
        <v>4226.0</v>
      </c>
      <c r="B4228" s="4" t="s">
        <v>6403</v>
      </c>
      <c r="C4228" s="5" t="str">
        <f>IFERROR(__xludf.DUMMYFUNCTION("GOOGLETRANSLATE(D:D,""auto"",""en"")"),"Inner four cases by outside input")</f>
        <v>Inner four cases by outside input</v>
      </c>
      <c r="D4228" s="4" t="s">
        <v>6452</v>
      </c>
      <c r="E4228" s="4">
        <v>0.0</v>
      </c>
      <c r="F4228" s="4">
        <v>27.0</v>
      </c>
      <c r="G4228" s="4" t="s">
        <v>6453</v>
      </c>
    </row>
    <row r="4229">
      <c r="A4229" s="1">
        <v>4227.0</v>
      </c>
      <c r="B4229" s="4" t="s">
        <v>6403</v>
      </c>
      <c r="C4229" s="5" t="str">
        <f>IFERROR(__xludf.DUMMYFUNCTION("GOOGLETRANSLATE(D:D,""auto"",""en"")"),"Trump press conference hide seconds")</f>
        <v>Trump press conference hide seconds</v>
      </c>
      <c r="D4229" s="4" t="s">
        <v>6454</v>
      </c>
      <c r="E4229" s="4">
        <v>0.0</v>
      </c>
      <c r="F4229" s="4">
        <v>28.0</v>
      </c>
      <c r="G4229" s="4" t="s">
        <v>6455</v>
      </c>
    </row>
    <row r="4230">
      <c r="A4230" s="1">
        <v>4228.0</v>
      </c>
      <c r="B4230" s="4" t="s">
        <v>6403</v>
      </c>
      <c r="C4230" s="5" t="str">
        <f>IFERROR(__xludf.DUMMYFUNCTION("GOOGLETRANSLATE(D:D,""auto"",""en"")"),"The United States or to the epicenter of the epidemic")</f>
        <v>The United States or to the epicenter of the epidemic</v>
      </c>
      <c r="D4230" s="4" t="s">
        <v>6456</v>
      </c>
      <c r="E4230" s="4">
        <v>0.0</v>
      </c>
      <c r="F4230" s="4">
        <v>29.0</v>
      </c>
      <c r="G4230" s="4" t="s">
        <v>6457</v>
      </c>
    </row>
    <row r="4231">
      <c r="A4231" s="1">
        <v>4229.0</v>
      </c>
      <c r="B4231" s="4" t="s">
        <v>6403</v>
      </c>
      <c r="C4231" s="5" t="str">
        <f>IFERROR(__xludf.DUMMYFUNCTION("GOOGLETRANSLATE(D:D,""auto"",""en"")"),"7.5 earthquake in the Kuril Islands")</f>
        <v>7.5 earthquake in the Kuril Islands</v>
      </c>
      <c r="D4231" s="4" t="s">
        <v>6458</v>
      </c>
      <c r="E4231" s="4">
        <v>0.0</v>
      </c>
      <c r="F4231" s="4">
        <v>30.0</v>
      </c>
      <c r="G4231" s="4" t="s">
        <v>6459</v>
      </c>
    </row>
    <row r="4232">
      <c r="A4232" s="1">
        <v>4230.0</v>
      </c>
      <c r="B4232" s="4" t="s">
        <v>6403</v>
      </c>
      <c r="C4232" s="5" t="str">
        <f>IFERROR(__xludf.DUMMYFUNCTION("GOOGLETRANSLATE(D:D,""auto"",""en"")"),"Harvard president confirmed couple")</f>
        <v>Harvard president confirmed couple</v>
      </c>
      <c r="D4232" s="4" t="s">
        <v>6460</v>
      </c>
      <c r="E4232" s="4">
        <v>0.0</v>
      </c>
      <c r="F4232" s="4">
        <v>31.0</v>
      </c>
      <c r="G4232" s="4" t="s">
        <v>6461</v>
      </c>
    </row>
    <row r="4233">
      <c r="A4233" s="1">
        <v>4231.0</v>
      </c>
      <c r="B4233" s="4" t="s">
        <v>6403</v>
      </c>
      <c r="C4233" s="5" t="str">
        <f>IFERROR(__xludf.DUMMYFUNCTION("GOOGLETRANSLATE(D:D,""auto"",""en"")"),"Italy seized respirator")</f>
        <v>Italy seized respirator</v>
      </c>
      <c r="D4233" s="4" t="s">
        <v>6462</v>
      </c>
      <c r="E4233" s="4">
        <v>0.0</v>
      </c>
      <c r="F4233" s="4">
        <v>32.0</v>
      </c>
      <c r="G4233" s="4" t="s">
        <v>6463</v>
      </c>
    </row>
    <row r="4234">
      <c r="A4234" s="1">
        <v>4232.0</v>
      </c>
      <c r="B4234" s="4" t="s">
        <v>6403</v>
      </c>
      <c r="C4234" s="5" t="str">
        <f>IFERROR(__xludf.DUMMYFUNCTION("GOOGLETRANSLATE(D:D,""auto"",""en"")"),"Beijing issued a heating temperature so")</f>
        <v>Beijing issued a heating temperature so</v>
      </c>
      <c r="D4234" s="4" t="s">
        <v>6464</v>
      </c>
      <c r="E4234" s="4">
        <v>0.0</v>
      </c>
      <c r="F4234" s="4">
        <v>33.0</v>
      </c>
      <c r="G4234" s="4" t="s">
        <v>6465</v>
      </c>
    </row>
    <row r="4235">
      <c r="A4235" s="1">
        <v>4233.0</v>
      </c>
      <c r="B4235" s="4" t="s">
        <v>6403</v>
      </c>
      <c r="C4235" s="5" t="str">
        <f>IFERROR(__xludf.DUMMYFUNCTION("GOOGLETRANSLATE(D:D,""auto"",""en"")"),"Police responded Yulin nurse case")</f>
        <v>Police responded Yulin nurse case</v>
      </c>
      <c r="D4235" s="4" t="s">
        <v>6466</v>
      </c>
      <c r="E4235" s="4">
        <v>0.0</v>
      </c>
      <c r="F4235" s="4">
        <v>34.0</v>
      </c>
      <c r="G4235" s="4" t="s">
        <v>6467</v>
      </c>
    </row>
    <row r="4236">
      <c r="A4236" s="1">
        <v>4234.0</v>
      </c>
      <c r="B4236" s="4" t="s">
        <v>6403</v>
      </c>
      <c r="C4236" s="5" t="str">
        <f>IFERROR(__xludf.DUMMYFUNCTION("GOOGLETRANSLATE(D:D,""auto"",""en"")"),"China expert group set off to go to Italy")</f>
        <v>China expert group set off to go to Italy</v>
      </c>
      <c r="D4236" s="4" t="s">
        <v>6468</v>
      </c>
      <c r="E4236" s="4">
        <v>0.0</v>
      </c>
      <c r="F4236" s="4">
        <v>35.0</v>
      </c>
      <c r="G4236" s="4" t="s">
        <v>6469</v>
      </c>
    </row>
    <row r="4237">
      <c r="A4237" s="1">
        <v>4235.0</v>
      </c>
      <c r="B4237" s="4" t="s">
        <v>6403</v>
      </c>
      <c r="C4237" s="5" t="str">
        <f>IFERROR(__xludf.DUMMYFUNCTION("GOOGLETRANSLATE(D:D,""auto"",""en"")"),"CCTV to talk about women's airport row")</f>
        <v>CCTV to talk about women's airport row</v>
      </c>
      <c r="D4237" s="4" t="s">
        <v>6470</v>
      </c>
      <c r="E4237" s="4">
        <v>0.0</v>
      </c>
      <c r="F4237" s="4">
        <v>36.0</v>
      </c>
      <c r="G4237" s="4" t="s">
        <v>6471</v>
      </c>
    </row>
    <row r="4238">
      <c r="A4238" s="1">
        <v>4236.0</v>
      </c>
      <c r="B4238" s="4" t="s">
        <v>6403</v>
      </c>
      <c r="C4238" s="5" t="str">
        <f>IFERROR(__xludf.DUMMYFUNCTION("GOOGLETRANSLATE(D:D,""auto"",""en"")"),"EU road on the verge of collapse")</f>
        <v>EU road on the verge of collapse</v>
      </c>
      <c r="D4238" s="4" t="s">
        <v>6472</v>
      </c>
      <c r="E4238" s="4">
        <v>0.0</v>
      </c>
      <c r="F4238" s="4">
        <v>37.0</v>
      </c>
      <c r="G4238" s="4" t="s">
        <v>6473</v>
      </c>
    </row>
    <row r="4239">
      <c r="A4239" s="1">
        <v>4237.0</v>
      </c>
      <c r="B4239" s="4" t="s">
        <v>6403</v>
      </c>
      <c r="C4239" s="5" t="str">
        <f>IFERROR(__xludf.DUMMYFUNCTION("GOOGLETRANSLATE(D:D,""auto"",""en"")"),"US lawmakers shouted Trump")</f>
        <v>US lawmakers shouted Trump</v>
      </c>
      <c r="D4239" s="4" t="s">
        <v>6343</v>
      </c>
      <c r="E4239" s="4">
        <v>0.0</v>
      </c>
      <c r="F4239" s="4">
        <v>38.0</v>
      </c>
      <c r="G4239" s="4" t="s">
        <v>6344</v>
      </c>
    </row>
    <row r="4240">
      <c r="A4240" s="1">
        <v>4238.0</v>
      </c>
      <c r="B4240" s="4" t="s">
        <v>6403</v>
      </c>
      <c r="C4240" s="5" t="str">
        <f>IFERROR(__xludf.DUMMYFUNCTION("GOOGLETRANSLATE(D:D,""auto"",""en"")"),"US media issued an open letter to Chinese")</f>
        <v>US media issued an open letter to Chinese</v>
      </c>
      <c r="D4240" s="4" t="s">
        <v>6474</v>
      </c>
      <c r="E4240" s="4">
        <v>0.0</v>
      </c>
      <c r="F4240" s="4">
        <v>39.0</v>
      </c>
      <c r="G4240" s="4" t="s">
        <v>6475</v>
      </c>
    </row>
    <row r="4241">
      <c r="A4241" s="1">
        <v>4239.0</v>
      </c>
      <c r="B4241" s="4" t="s">
        <v>6403</v>
      </c>
      <c r="C4241" s="5" t="str">
        <f>IFERROR(__xludf.DUMMYFUNCTION("GOOGLETRANSLATE(D:D,""auto"",""en"")"),"Man suspected of being infected stairs")</f>
        <v>Man suspected of being infected stairs</v>
      </c>
      <c r="D4241" s="4" t="s">
        <v>6393</v>
      </c>
      <c r="E4241" s="4">
        <v>0.0</v>
      </c>
      <c r="F4241" s="4">
        <v>40.0</v>
      </c>
      <c r="G4241" s="4" t="s">
        <v>6394</v>
      </c>
    </row>
    <row r="4242">
      <c r="A4242" s="1">
        <v>4240.0</v>
      </c>
      <c r="B4242" s="4" t="s">
        <v>6403</v>
      </c>
      <c r="C4242" s="5" t="str">
        <f>IFERROR(__xludf.DUMMYFUNCTION("GOOGLETRANSLATE(D:D,""auto"",""en"")"),"Zhejiang encourage one week off 2.5 days")</f>
        <v>Zhejiang encourage one week off 2.5 days</v>
      </c>
      <c r="D4242" s="4" t="s">
        <v>6476</v>
      </c>
      <c r="E4242" s="4">
        <v>0.0</v>
      </c>
      <c r="F4242" s="4">
        <v>41.0</v>
      </c>
      <c r="G4242" s="4" t="s">
        <v>6477</v>
      </c>
    </row>
    <row r="4243">
      <c r="A4243" s="1">
        <v>4241.0</v>
      </c>
      <c r="B4243" s="4" t="s">
        <v>6403</v>
      </c>
      <c r="C4243" s="5" t="str">
        <f>IFERROR(__xludf.DUMMYFUNCTION("GOOGLETRANSLATE(D:D,""auto"",""en"")"),"Hungarian Prime Minister Pick")</f>
        <v>Hungarian Prime Minister Pick</v>
      </c>
      <c r="D4243" s="4" t="s">
        <v>6478</v>
      </c>
      <c r="E4243" s="4">
        <v>0.0</v>
      </c>
      <c r="F4243" s="4">
        <v>42.0</v>
      </c>
      <c r="G4243" s="4" t="s">
        <v>6479</v>
      </c>
    </row>
    <row r="4244">
      <c r="A4244" s="1">
        <v>4242.0</v>
      </c>
      <c r="B4244" s="4" t="s">
        <v>6403</v>
      </c>
      <c r="C4244" s="5" t="str">
        <f>IFERROR(__xludf.DUMMYFUNCTION("GOOGLETRANSLATE(D:D,""auto"",""en"")"),"Liu Zhen memorial hall will be open")</f>
        <v>Liu Zhen memorial hall will be open</v>
      </c>
      <c r="D4244" s="4" t="s">
        <v>6349</v>
      </c>
      <c r="E4244" s="4">
        <v>0.0</v>
      </c>
      <c r="F4244" s="4">
        <v>43.0</v>
      </c>
      <c r="G4244" s="4" t="s">
        <v>6350</v>
      </c>
    </row>
    <row r="4245">
      <c r="A4245" s="1">
        <v>4243.0</v>
      </c>
      <c r="B4245" s="4" t="s">
        <v>6403</v>
      </c>
      <c r="C4245" s="5" t="str">
        <f>IFERROR(__xludf.DUMMYFUNCTION("GOOGLETRANSLATE(D:D,""auto"",""en"")"),"Twitter account refused to seal China")</f>
        <v>Twitter account refused to seal China</v>
      </c>
      <c r="D4245" s="4" t="s">
        <v>6480</v>
      </c>
      <c r="E4245" s="4">
        <v>0.0</v>
      </c>
      <c r="F4245" s="4">
        <v>44.0</v>
      </c>
      <c r="G4245" s="4" t="s">
        <v>6481</v>
      </c>
    </row>
    <row r="4246">
      <c r="A4246" s="1">
        <v>4244.0</v>
      </c>
      <c r="B4246" s="4" t="s">
        <v>6403</v>
      </c>
      <c r="C4246" s="5" t="str">
        <f>IFERROR(__xludf.DUMMYFUNCTION("GOOGLETRANSLATE(D:D,""auto"",""en"")"),"Edison sound denounced discrimination")</f>
        <v>Edison sound denounced discrimination</v>
      </c>
      <c r="D4246" s="4" t="s">
        <v>6482</v>
      </c>
      <c r="E4246" s="4">
        <v>0.0</v>
      </c>
      <c r="F4246" s="4">
        <v>45.0</v>
      </c>
      <c r="G4246" s="4" t="s">
        <v>6483</v>
      </c>
    </row>
    <row r="4247">
      <c r="A4247" s="1">
        <v>4245.0</v>
      </c>
      <c r="B4247" s="4" t="s">
        <v>6403</v>
      </c>
      <c r="C4247" s="5" t="str">
        <f>IFERROR(__xludf.DUMMYFUNCTION("GOOGLETRANSLATE(D:D,""auto"",""en"")"),"Italy 50 priests died")</f>
        <v>Italy 50 priests died</v>
      </c>
      <c r="D4247" s="4" t="s">
        <v>6484</v>
      </c>
      <c r="E4247" s="4">
        <v>0.0</v>
      </c>
      <c r="F4247" s="4">
        <v>46.0</v>
      </c>
      <c r="G4247" s="4" t="s">
        <v>6485</v>
      </c>
    </row>
    <row r="4248">
      <c r="A4248" s="1">
        <v>4246.0</v>
      </c>
      <c r="B4248" s="4" t="s">
        <v>6403</v>
      </c>
      <c r="C4248" s="5" t="str">
        <f>IFERROR(__xludf.DUMMYFUNCTION("GOOGLETRANSLATE(D:D,""auto"",""en"")"),"Spanish doctor collapse into tears")</f>
        <v>Spanish doctor collapse into tears</v>
      </c>
      <c r="D4248" s="4" t="s">
        <v>6486</v>
      </c>
      <c r="E4248" s="4">
        <v>0.0</v>
      </c>
      <c r="F4248" s="4">
        <v>47.0</v>
      </c>
      <c r="G4248" s="4" t="s">
        <v>6487</v>
      </c>
    </row>
    <row r="4249">
      <c r="A4249" s="1">
        <v>4247.0</v>
      </c>
      <c r="B4249" s="4" t="s">
        <v>6403</v>
      </c>
      <c r="C4249" s="5" t="str">
        <f>IFERROR(__xludf.DUMMYFUNCTION("GOOGLETRANSLATE(D:D,""auto"",""en"")"),"1 case outside input by Jilin")</f>
        <v>1 case outside input by Jilin</v>
      </c>
      <c r="D4249" s="4" t="s">
        <v>6488</v>
      </c>
      <c r="E4249" s="4">
        <v>0.0</v>
      </c>
      <c r="F4249" s="4">
        <v>48.0</v>
      </c>
      <c r="G4249" s="4" t="s">
        <v>6489</v>
      </c>
    </row>
    <row r="4250">
      <c r="A4250" s="1">
        <v>4248.0</v>
      </c>
      <c r="B4250" s="4" t="s">
        <v>6403</v>
      </c>
      <c r="C4250" s="5" t="str">
        <f>IFERROR(__xludf.DUMMYFUNCTION("GOOGLETRANSLATE(D:D,""auto"",""en"")"),"Brazil said the gang forcibly closed city")</f>
        <v>Brazil said the gang forcibly closed city</v>
      </c>
      <c r="D4250" s="4" t="s">
        <v>6375</v>
      </c>
      <c r="E4250" s="4">
        <v>0.0</v>
      </c>
      <c r="F4250" s="4">
        <v>49.0</v>
      </c>
      <c r="G4250" s="4" t="s">
        <v>6376</v>
      </c>
    </row>
    <row r="4251">
      <c r="A4251" s="1">
        <v>4249.0</v>
      </c>
      <c r="B4251" s="4" t="s">
        <v>6403</v>
      </c>
      <c r="C4251" s="5" t="str">
        <f>IFERROR(__xludf.DUMMYFUNCTION("GOOGLETRANSLATE(D:D,""auto"",""en"")"),"China has built 130,000 5G base station")</f>
        <v>China has built 130,000 5G base station</v>
      </c>
      <c r="D4251" s="4" t="s">
        <v>6490</v>
      </c>
      <c r="E4251" s="4">
        <v>0.0</v>
      </c>
      <c r="F4251" s="4">
        <v>50.0</v>
      </c>
      <c r="G4251" s="4" t="s">
        <v>6491</v>
      </c>
    </row>
    <row r="4252">
      <c r="A4252" s="1">
        <v>4250.0</v>
      </c>
      <c r="B4252" s="4" t="s">
        <v>6492</v>
      </c>
      <c r="C4252" s="5" t="str">
        <f>IFERROR(__xludf.DUMMYFUNCTION("GOOGLETRANSLATE(D:D,""auto"",""en"")"),"Sichuan announced start dates")</f>
        <v>Sichuan announced start dates</v>
      </c>
      <c r="D4252" s="4" t="s">
        <v>6493</v>
      </c>
      <c r="E4252" s="4">
        <v>0.0</v>
      </c>
      <c r="F4252" s="4">
        <v>1.0</v>
      </c>
      <c r="G4252" s="4" t="s">
        <v>6494</v>
      </c>
    </row>
    <row r="4253">
      <c r="A4253" s="1">
        <v>4251.0</v>
      </c>
      <c r="B4253" s="4" t="s">
        <v>6492</v>
      </c>
      <c r="C4253" s="5" t="str">
        <f>IFERROR(__xludf.DUMMYFUNCTION("GOOGLETRANSLATE(D:D,""auto"",""en"")"),"New York, thousands of police leave")</f>
        <v>New York, thousands of police leave</v>
      </c>
      <c r="D4253" s="4" t="s">
        <v>6495</v>
      </c>
      <c r="E4253" s="4">
        <v>0.0</v>
      </c>
      <c r="F4253" s="4">
        <v>2.0</v>
      </c>
      <c r="G4253" s="4" t="s">
        <v>6496</v>
      </c>
    </row>
    <row r="4254">
      <c r="A4254" s="1">
        <v>4252.0</v>
      </c>
      <c r="B4254" s="4" t="s">
        <v>6492</v>
      </c>
      <c r="C4254" s="5" t="str">
        <f>IFERROR(__xludf.DUMMYFUNCTION("GOOGLETRANSLATE(D:D,""auto"",""en"")"),"Italy or meet peak epidemic")</f>
        <v>Italy or meet peak epidemic</v>
      </c>
      <c r="D4254" s="4" t="s">
        <v>6497</v>
      </c>
      <c r="E4254" s="4">
        <v>0.0</v>
      </c>
      <c r="F4254" s="4">
        <v>3.0</v>
      </c>
      <c r="G4254" s="4" t="s">
        <v>6498</v>
      </c>
    </row>
    <row r="4255">
      <c r="A4255" s="1">
        <v>4253.0</v>
      </c>
      <c r="B4255" s="4" t="s">
        <v>6492</v>
      </c>
      <c r="C4255" s="5" t="str">
        <f>IFERROR(__xludf.DUMMYFUNCTION("GOOGLETRANSLATE(D:D,""auto"",""en"")"),"Tokyo demolition countdown clock")</f>
        <v>Tokyo demolition countdown clock</v>
      </c>
      <c r="D4255" s="4" t="s">
        <v>6499</v>
      </c>
      <c r="E4255" s="4">
        <v>0.0</v>
      </c>
      <c r="F4255" s="4">
        <v>4.0</v>
      </c>
      <c r="G4255" s="4" t="s">
        <v>6500</v>
      </c>
    </row>
    <row r="4256">
      <c r="A4256" s="1">
        <v>4254.0</v>
      </c>
      <c r="B4256" s="4" t="s">
        <v>6492</v>
      </c>
      <c r="C4256" s="5" t="str">
        <f>IFERROR(__xludf.DUMMYFUNCTION("GOOGLETRANSLATE(D:D,""auto"",""en"")"),"First aid is intended to return the expert group")</f>
        <v>First aid is intended to return the expert group</v>
      </c>
      <c r="D4256" s="4" t="s">
        <v>6501</v>
      </c>
      <c r="E4256" s="4">
        <v>0.0</v>
      </c>
      <c r="F4256" s="4">
        <v>5.0</v>
      </c>
      <c r="G4256" s="4" t="s">
        <v>6502</v>
      </c>
    </row>
    <row r="4257">
      <c r="A4257" s="1">
        <v>4255.0</v>
      </c>
      <c r="B4257" s="4" t="s">
        <v>6492</v>
      </c>
      <c r="C4257" s="5" t="str">
        <f>IFERROR(__xludf.DUMMYFUNCTION("GOOGLETRANSLATE(D:D,""auto"",""en"")"),"Anhui Start dates announced")</f>
        <v>Anhui Start dates announced</v>
      </c>
      <c r="D4257" s="4" t="s">
        <v>6503</v>
      </c>
      <c r="E4257" s="4">
        <v>0.0</v>
      </c>
      <c r="F4257" s="4">
        <v>6.0</v>
      </c>
      <c r="G4257" s="4" t="s">
        <v>6504</v>
      </c>
    </row>
    <row r="4258">
      <c r="A4258" s="1">
        <v>4256.0</v>
      </c>
      <c r="B4258" s="4" t="s">
        <v>6492</v>
      </c>
      <c r="C4258" s="5" t="str">
        <f>IFERROR(__xludf.DUMMYFUNCTION("GOOGLETRANSLATE(D:D,""auto"",""en"")"),"Province 31 new cases of 67 cases")</f>
        <v>Province 31 new cases of 67 cases</v>
      </c>
      <c r="D4258" s="4" t="s">
        <v>6505</v>
      </c>
      <c r="E4258" s="4">
        <v>0.0</v>
      </c>
      <c r="F4258" s="4">
        <v>7.0</v>
      </c>
      <c r="G4258" s="4" t="s">
        <v>6506</v>
      </c>
    </row>
    <row r="4259">
      <c r="A4259" s="1">
        <v>4257.0</v>
      </c>
      <c r="B4259" s="4" t="s">
        <v>6492</v>
      </c>
      <c r="C4259" s="5" t="str">
        <f>IFERROR(__xludf.DUMMYFUNCTION("GOOGLETRANSLATE(D:D,""auto"",""en"")"),"Italy mortality rate over 10%")</f>
        <v>Italy mortality rate over 10%</v>
      </c>
      <c r="D4259" s="4" t="s">
        <v>6507</v>
      </c>
      <c r="E4259" s="4">
        <v>0.0</v>
      </c>
      <c r="F4259" s="4">
        <v>8.0</v>
      </c>
      <c r="G4259" s="4" t="s">
        <v>6508</v>
      </c>
    </row>
    <row r="4260">
      <c r="A4260" s="1">
        <v>4258.0</v>
      </c>
      <c r="B4260" s="4" t="s">
        <v>6492</v>
      </c>
      <c r="C4260" s="5" t="str">
        <f>IFERROR(__xludf.DUMMYFUNCTION("GOOGLETRANSLATE(D:D,""auto"",""en"")"),"Masks export orders surge")</f>
        <v>Masks export orders surge</v>
      </c>
      <c r="D4260" s="4" t="s">
        <v>6509</v>
      </c>
      <c r="E4260" s="4">
        <v>0.0</v>
      </c>
      <c r="F4260" s="4">
        <v>9.0</v>
      </c>
      <c r="G4260" s="4" t="s">
        <v>6510</v>
      </c>
    </row>
    <row r="4261">
      <c r="A4261" s="1">
        <v>4259.0</v>
      </c>
      <c r="B4261" s="4" t="s">
        <v>6492</v>
      </c>
      <c r="C4261" s="5" t="str">
        <f>IFERROR(__xludf.DUMMYFUNCTION("GOOGLETRANSLATE(D:D,""auto"",""en"")"),"US new crown hindered the development of vaccines")</f>
        <v>US new crown hindered the development of vaccines</v>
      </c>
      <c r="D4261" s="4" t="s">
        <v>6511</v>
      </c>
      <c r="E4261" s="4">
        <v>0.0</v>
      </c>
      <c r="F4261" s="4">
        <v>10.0</v>
      </c>
      <c r="G4261" s="4" t="s">
        <v>6512</v>
      </c>
    </row>
    <row r="4262">
      <c r="A4262" s="1">
        <v>4260.0</v>
      </c>
      <c r="B4262" s="4" t="s">
        <v>6492</v>
      </c>
      <c r="C4262" s="5" t="str">
        <f>IFERROR(__xludf.DUMMYFUNCTION("GOOGLETRANSLATE(D:D,""auto"",""en"")"),"Liu Zhen official commemorative movie")</f>
        <v>Liu Zhen official commemorative movie</v>
      </c>
      <c r="D4262" s="4" t="s">
        <v>6513</v>
      </c>
      <c r="E4262" s="4">
        <v>0.0</v>
      </c>
      <c r="F4262" s="4">
        <v>11.0</v>
      </c>
      <c r="G4262" s="4" t="s">
        <v>6514</v>
      </c>
    </row>
    <row r="4263">
      <c r="A4263" s="1">
        <v>4261.0</v>
      </c>
      <c r="B4263" s="4" t="s">
        <v>6492</v>
      </c>
      <c r="C4263" s="5" t="str">
        <f>IFERROR(__xludf.DUMMYFUNCTION("GOOGLETRANSLATE(D:D,""auto"",""en"")"),"Fujian Start dates")</f>
        <v>Fujian Start dates</v>
      </c>
      <c r="D4263" s="4" t="s">
        <v>6515</v>
      </c>
      <c r="E4263" s="4">
        <v>0.0</v>
      </c>
      <c r="F4263" s="4">
        <v>12.0</v>
      </c>
      <c r="G4263" s="4" t="s">
        <v>6516</v>
      </c>
    </row>
    <row r="4264">
      <c r="A4264" s="1">
        <v>4262.0</v>
      </c>
      <c r="B4264" s="4" t="s">
        <v>6492</v>
      </c>
      <c r="C4264" s="5" t="str">
        <f>IFERROR(__xludf.DUMMYFUNCTION("GOOGLETRANSLATE(D:D,""auto"",""en"")"),"Dalian is now the first case of foreign input")</f>
        <v>Dalian is now the first case of foreign input</v>
      </c>
      <c r="D4264" s="4" t="s">
        <v>6517</v>
      </c>
      <c r="E4264" s="4">
        <v>0.0</v>
      </c>
      <c r="F4264" s="4">
        <v>13.0</v>
      </c>
      <c r="G4264" s="4" t="s">
        <v>6518</v>
      </c>
    </row>
    <row r="4265">
      <c r="A4265" s="1">
        <v>4263.0</v>
      </c>
      <c r="B4265" s="4" t="s">
        <v>6492</v>
      </c>
      <c r="C4265" s="5" t="str">
        <f>IFERROR(__xludf.DUMMYFUNCTION("GOOGLETRANSLATE(D:D,""auto"",""en"")"),"Go to set up a field hospital in Italy")</f>
        <v>Go to set up a field hospital in Italy</v>
      </c>
      <c r="D4265" s="4" t="s">
        <v>6519</v>
      </c>
      <c r="E4265" s="4">
        <v>0.0</v>
      </c>
      <c r="F4265" s="4">
        <v>14.0</v>
      </c>
      <c r="G4265" s="4" t="s">
        <v>6520</v>
      </c>
    </row>
    <row r="4266">
      <c r="A4266" s="1">
        <v>4264.0</v>
      </c>
      <c r="B4266" s="4" t="s">
        <v>6492</v>
      </c>
      <c r="C4266" s="5" t="str">
        <f>IFERROR(__xludf.DUMMYFUNCTION("GOOGLETRANSLATE(D:D,""auto"",""en"")"),"Restaurant closed due to the collapse of girl")</f>
        <v>Restaurant closed due to the collapse of girl</v>
      </c>
      <c r="D4266" s="4" t="s">
        <v>6521</v>
      </c>
      <c r="E4266" s="4">
        <v>0.0</v>
      </c>
      <c r="F4266" s="4">
        <v>15.0</v>
      </c>
      <c r="G4266" s="4" t="s">
        <v>6522</v>
      </c>
    </row>
    <row r="4267">
      <c r="A4267" s="1">
        <v>4265.0</v>
      </c>
      <c r="B4267" s="4" t="s">
        <v>6492</v>
      </c>
      <c r="C4267" s="5" t="str">
        <f>IFERROR(__xludf.DUMMYFUNCTION("GOOGLETRANSLATE(D:D,""auto"",""en"")"),"China has provided assistance to 89 countries")</f>
        <v>China has provided assistance to 89 countries</v>
      </c>
      <c r="D4267" s="4" t="s">
        <v>6523</v>
      </c>
      <c r="E4267" s="4">
        <v>0.0</v>
      </c>
      <c r="F4267" s="4">
        <v>16.0</v>
      </c>
      <c r="G4267" s="4" t="s">
        <v>6524</v>
      </c>
    </row>
    <row r="4268">
      <c r="A4268" s="1">
        <v>4266.0</v>
      </c>
      <c r="B4268" s="4" t="s">
        <v>6492</v>
      </c>
      <c r="C4268" s="5" t="str">
        <f>IFERROR(__xludf.DUMMYFUNCTION("GOOGLETRANSLATE(D:D,""auto"",""en"")"),"US purchase of medical supplies to countries")</f>
        <v>US purchase of medical supplies to countries</v>
      </c>
      <c r="D4268" s="4" t="s">
        <v>6525</v>
      </c>
      <c r="E4268" s="4">
        <v>0.0</v>
      </c>
      <c r="F4268" s="4">
        <v>17.0</v>
      </c>
      <c r="G4268" s="4" t="s">
        <v>6526</v>
      </c>
    </row>
    <row r="4269">
      <c r="A4269" s="1">
        <v>4267.0</v>
      </c>
      <c r="B4269" s="4" t="s">
        <v>6492</v>
      </c>
      <c r="C4269" s="5" t="str">
        <f>IFERROR(__xludf.DUMMYFUNCTION("GOOGLETRANSLATE(D:D,""auto"",""en"")"),"Armed wish to meet female nurses")</f>
        <v>Armed wish to meet female nurses</v>
      </c>
      <c r="D4269" s="4" t="s">
        <v>6527</v>
      </c>
      <c r="E4269" s="4">
        <v>0.0</v>
      </c>
      <c r="F4269" s="4">
        <v>18.0</v>
      </c>
      <c r="G4269" s="4" t="s">
        <v>6528</v>
      </c>
    </row>
    <row r="4270">
      <c r="A4270" s="1">
        <v>4268.0</v>
      </c>
      <c r="B4270" s="4" t="s">
        <v>6492</v>
      </c>
      <c r="C4270" s="5" t="str">
        <f>IFERROR(__xludf.DUMMYFUNCTION("GOOGLETRANSLATE(D:D,""auto"",""en"")"),"Hubei back to Beijing to be isolated at their own expense")</f>
        <v>Hubei back to Beijing to be isolated at their own expense</v>
      </c>
      <c r="D4270" s="4" t="s">
        <v>6529</v>
      </c>
      <c r="E4270" s="4">
        <v>0.0</v>
      </c>
      <c r="F4270" s="4">
        <v>19.0</v>
      </c>
      <c r="G4270" s="4" t="s">
        <v>6530</v>
      </c>
    </row>
    <row r="4271">
      <c r="A4271" s="1">
        <v>4269.0</v>
      </c>
      <c r="B4271" s="4" t="s">
        <v>6492</v>
      </c>
      <c r="C4271" s="5" t="str">
        <f>IFERROR(__xludf.DUMMYFUNCTION("GOOGLETRANSLATE(D:D,""auto"",""en"")"),"A hospital for medical retirement benefits")</f>
        <v>A hospital for medical retirement benefits</v>
      </c>
      <c r="D4271" s="4" t="s">
        <v>6531</v>
      </c>
      <c r="E4271" s="4">
        <v>0.0</v>
      </c>
      <c r="F4271" s="4">
        <v>20.0</v>
      </c>
      <c r="G4271" s="4" t="s">
        <v>6532</v>
      </c>
    </row>
    <row r="4272">
      <c r="A4272" s="1">
        <v>4270.0</v>
      </c>
      <c r="B4272" s="4" t="s">
        <v>6492</v>
      </c>
      <c r="C4272" s="5" t="str">
        <f>IFERROR(__xludf.DUMMYFUNCTION("GOOGLETRANSLATE(D:D,""auto"",""en"")"),"US Security officials have been dismissed")</f>
        <v>US Security officials have been dismissed</v>
      </c>
      <c r="D4272" s="4" t="s">
        <v>6533</v>
      </c>
      <c r="E4272" s="4">
        <v>0.0</v>
      </c>
      <c r="F4272" s="4">
        <v>21.0</v>
      </c>
      <c r="G4272" s="4" t="s">
        <v>6534</v>
      </c>
    </row>
    <row r="4273">
      <c r="A4273" s="1">
        <v>4271.0</v>
      </c>
      <c r="B4273" s="4" t="s">
        <v>6492</v>
      </c>
      <c r="C4273" s="5" t="str">
        <f>IFERROR(__xludf.DUMMYFUNCTION("GOOGLETRANSLATE(D:D,""auto"",""en"")"),"Ruhu personnel shall be isolated")</f>
        <v>Ruhu personnel shall be isolated</v>
      </c>
      <c r="D4273" s="4" t="s">
        <v>6535</v>
      </c>
      <c r="E4273" s="4">
        <v>0.0</v>
      </c>
      <c r="F4273" s="4">
        <v>22.0</v>
      </c>
      <c r="G4273" s="4" t="s">
        <v>6536</v>
      </c>
    </row>
    <row r="4274">
      <c r="A4274" s="1">
        <v>4272.0</v>
      </c>
      <c r="B4274" s="4" t="s">
        <v>6492</v>
      </c>
      <c r="C4274" s="5" t="str">
        <f>IFERROR(__xludf.DUMMYFUNCTION("GOOGLETRANSLATE(D:D,""auto"",""en"")"),"Shanghai part of the bank lowered the down payment")</f>
        <v>Shanghai part of the bank lowered the down payment</v>
      </c>
      <c r="D4274" s="4" t="s">
        <v>6537</v>
      </c>
      <c r="E4274" s="4">
        <v>0.0</v>
      </c>
      <c r="F4274" s="4">
        <v>23.0</v>
      </c>
      <c r="G4274" s="4" t="s">
        <v>6538</v>
      </c>
    </row>
    <row r="4275">
      <c r="A4275" s="1">
        <v>4273.0</v>
      </c>
      <c r="B4275" s="4" t="s">
        <v>6492</v>
      </c>
      <c r="C4275" s="5" t="str">
        <f>IFERROR(__xludf.DUMMYFUNCTION("GOOGLETRANSLATE(D:D,""auto"",""en"")"),"Especially G20 summit opening")</f>
        <v>Especially G20 summit opening</v>
      </c>
      <c r="D4275" s="4" t="s">
        <v>6539</v>
      </c>
      <c r="E4275" s="4">
        <v>0.0</v>
      </c>
      <c r="F4275" s="4">
        <v>24.0</v>
      </c>
      <c r="G4275" s="4" t="s">
        <v>6540</v>
      </c>
    </row>
    <row r="4276">
      <c r="A4276" s="1">
        <v>4274.0</v>
      </c>
      <c r="B4276" s="4" t="s">
        <v>6492</v>
      </c>
      <c r="C4276" s="5" t="str">
        <f>IFERROR(__xludf.DUMMYFUNCTION("GOOGLETRANSLATE(D:D,""auto"",""en"")"),"Poland allows the sale of masks Ali")</f>
        <v>Poland allows the sale of masks Ali</v>
      </c>
      <c r="D4276" s="4" t="s">
        <v>6541</v>
      </c>
      <c r="E4276" s="4">
        <v>0.0</v>
      </c>
      <c r="F4276" s="4">
        <v>25.0</v>
      </c>
      <c r="G4276" s="4" t="s">
        <v>6542</v>
      </c>
    </row>
    <row r="4277">
      <c r="A4277" s="1">
        <v>4275.0</v>
      </c>
      <c r="B4277" s="4" t="s">
        <v>6492</v>
      </c>
      <c r="C4277" s="5" t="str">
        <f>IFERROR(__xludf.DUMMYFUNCTION("GOOGLETRANSLATE(D:D,""auto"",""en"")"),"Trump name changed to virus")</f>
        <v>Trump name changed to virus</v>
      </c>
      <c r="D4277" s="4" t="s">
        <v>6418</v>
      </c>
      <c r="E4277" s="4">
        <v>0.0</v>
      </c>
      <c r="F4277" s="4">
        <v>26.0</v>
      </c>
      <c r="G4277" s="4" t="s">
        <v>6419</v>
      </c>
    </row>
    <row r="4278">
      <c r="A4278" s="1">
        <v>4276.0</v>
      </c>
      <c r="B4278" s="4" t="s">
        <v>6492</v>
      </c>
      <c r="C4278" s="5" t="str">
        <f>IFERROR(__xludf.DUMMYFUNCTION("GOOGLETRANSLATE(D:D,""auto"",""en"")"),"On the official mobile phone users reduce violence")</f>
        <v>On the official mobile phone users reduce violence</v>
      </c>
      <c r="D4278" s="4" t="s">
        <v>6543</v>
      </c>
      <c r="E4278" s="4">
        <v>0.0</v>
      </c>
      <c r="F4278" s="4">
        <v>27.0</v>
      </c>
      <c r="G4278" s="4" t="s">
        <v>6544</v>
      </c>
    </row>
    <row r="4279">
      <c r="A4279" s="1">
        <v>4277.0</v>
      </c>
      <c r="B4279" s="4" t="s">
        <v>6492</v>
      </c>
      <c r="C4279" s="5" t="str">
        <f>IFERROR(__xludf.DUMMYFUNCTION("GOOGLETRANSLATE(D:D,""auto"",""en"")"),"Nearly a decade at the latest cold wave warning")</f>
        <v>Nearly a decade at the latest cold wave warning</v>
      </c>
      <c r="D4279" s="4" t="s">
        <v>6545</v>
      </c>
      <c r="E4279" s="4">
        <v>0.0</v>
      </c>
      <c r="F4279" s="4">
        <v>28.0</v>
      </c>
      <c r="G4279" s="4" t="s">
        <v>6546</v>
      </c>
    </row>
    <row r="4280">
      <c r="A4280" s="1">
        <v>4278.0</v>
      </c>
      <c r="B4280" s="4" t="s">
        <v>6492</v>
      </c>
      <c r="C4280" s="5" t="str">
        <f>IFERROR(__xludf.DUMMYFUNCTION("GOOGLETRANSLATE(D:D,""auto"",""en"")"),"United States 3 consecutive days add broken million")</f>
        <v>United States 3 consecutive days add broken million</v>
      </c>
      <c r="D4280" s="4" t="s">
        <v>6547</v>
      </c>
      <c r="E4280" s="4">
        <v>0.0</v>
      </c>
      <c r="F4280" s="4">
        <v>29.0</v>
      </c>
      <c r="G4280" s="4" t="s">
        <v>6548</v>
      </c>
    </row>
    <row r="4281">
      <c r="A4281" s="1">
        <v>4279.0</v>
      </c>
      <c r="B4281" s="4" t="s">
        <v>6492</v>
      </c>
      <c r="C4281" s="5" t="str">
        <f>IFERROR(__xludf.DUMMYFUNCTION("GOOGLETRANSLATE(D:D,""auto"",""en"")"),"Italy confirmed over 70,000")</f>
        <v>Italy confirmed over 70,000</v>
      </c>
      <c r="D4281" s="4" t="s">
        <v>6549</v>
      </c>
      <c r="E4281" s="4">
        <v>0.0</v>
      </c>
      <c r="F4281" s="4">
        <v>30.0</v>
      </c>
      <c r="G4281" s="4" t="s">
        <v>6550</v>
      </c>
    </row>
    <row r="4282">
      <c r="A4282" s="1">
        <v>4280.0</v>
      </c>
      <c r="B4282" s="4" t="s">
        <v>6492</v>
      </c>
      <c r="C4282" s="5" t="str">
        <f>IFERROR(__xludf.DUMMYFUNCTION("GOOGLETRANSLATE(D:D,""auto"",""en"")"),"Even behind Lee Chong Wei Lin Dan")</f>
        <v>Even behind Lee Chong Wei Lin Dan</v>
      </c>
      <c r="D4282" s="4" t="s">
        <v>6551</v>
      </c>
      <c r="E4282" s="4">
        <v>0.0</v>
      </c>
      <c r="F4282" s="4">
        <v>31.0</v>
      </c>
      <c r="G4282" s="4" t="s">
        <v>6552</v>
      </c>
    </row>
    <row r="4283">
      <c r="A4283" s="1">
        <v>4281.0</v>
      </c>
      <c r="B4283" s="4" t="s">
        <v>6492</v>
      </c>
      <c r="C4283" s="5" t="str">
        <f>IFERROR(__xludf.DUMMYFUNCTION("GOOGLETRANSLATE(D:D,""auto"",""en"")"),"Multinational Xie Zhongguo timely")</f>
        <v>Multinational Xie Zhongguo timely</v>
      </c>
      <c r="D4283" s="4" t="s">
        <v>6553</v>
      </c>
      <c r="E4283" s="4">
        <v>0.0</v>
      </c>
      <c r="F4283" s="4">
        <v>32.0</v>
      </c>
      <c r="G4283" s="4" t="s">
        <v>6554</v>
      </c>
    </row>
    <row r="4284">
      <c r="A4284" s="1">
        <v>4282.0</v>
      </c>
      <c r="B4284" s="4" t="s">
        <v>6492</v>
      </c>
      <c r="C4284" s="5" t="str">
        <f>IFERROR(__xludf.DUMMYFUNCTION("GOOGLETRANSLATE(D:D,""auto"",""en"")"),"Inner by outside input 12 cases")</f>
        <v>Inner by outside input 12 cases</v>
      </c>
      <c r="D4284" s="4" t="s">
        <v>6555</v>
      </c>
      <c r="E4284" s="4">
        <v>0.0</v>
      </c>
      <c r="F4284" s="4">
        <v>33.0</v>
      </c>
      <c r="G4284" s="4" t="s">
        <v>6556</v>
      </c>
    </row>
    <row r="4285">
      <c r="A4285" s="1">
        <v>4283.0</v>
      </c>
      <c r="B4285" s="4" t="s">
        <v>6492</v>
      </c>
      <c r="C4285" s="5" t="str">
        <f>IFERROR(__xludf.DUMMYFUNCTION("GOOGLETRANSLATE(D:D,""auto"",""en"")"),"China is looking forward to the G20 3")</f>
        <v>China is looking forward to the G20 3</v>
      </c>
      <c r="D4285" s="4" t="s">
        <v>6557</v>
      </c>
      <c r="E4285" s="4">
        <v>0.0</v>
      </c>
      <c r="F4285" s="4">
        <v>34.0</v>
      </c>
      <c r="G4285" s="4" t="s">
        <v>6558</v>
      </c>
    </row>
    <row r="4286">
      <c r="A4286" s="1">
        <v>4284.0</v>
      </c>
      <c r="B4286" s="4" t="s">
        <v>6492</v>
      </c>
      <c r="C4286" s="5" t="str">
        <f>IFERROR(__xludf.DUMMYFUNCTION("GOOGLETRANSLATE(D:D,""auto"",""en"")"),"Wu Lei nucleic acid test was negative")</f>
        <v>Wu Lei nucleic acid test was negative</v>
      </c>
      <c r="D4286" s="4" t="s">
        <v>6450</v>
      </c>
      <c r="E4286" s="4">
        <v>0.0</v>
      </c>
      <c r="F4286" s="4">
        <v>35.0</v>
      </c>
      <c r="G4286" s="4" t="s">
        <v>6451</v>
      </c>
    </row>
    <row r="4287">
      <c r="A4287" s="1">
        <v>4285.0</v>
      </c>
      <c r="B4287" s="4" t="s">
        <v>6492</v>
      </c>
      <c r="C4287" s="5" t="str">
        <f>IFERROR(__xludf.DUMMYFUNCTION("GOOGLETRANSLATE(D:D,""auto"",""en"")"),"Deng Chao invited tear care brand")</f>
        <v>Deng Chao invited tear care brand</v>
      </c>
      <c r="D4287" s="4" t="s">
        <v>6559</v>
      </c>
      <c r="E4287" s="4">
        <v>0.0</v>
      </c>
      <c r="F4287" s="4">
        <v>36.0</v>
      </c>
      <c r="G4287" s="4" t="s">
        <v>6560</v>
      </c>
    </row>
    <row r="4288">
      <c r="A4288" s="1">
        <v>4286.0</v>
      </c>
      <c r="B4288" s="4" t="s">
        <v>6492</v>
      </c>
      <c r="C4288" s="5" t="str">
        <f>IFERROR(__xludf.DUMMYFUNCTION("GOOGLETRANSLATE(D:D,""auto"",""en"")"),"Lu school announced 10 days in advance")</f>
        <v>Lu school announced 10 days in advance</v>
      </c>
      <c r="D4288" s="4" t="s">
        <v>6561</v>
      </c>
      <c r="E4288" s="4">
        <v>0.0</v>
      </c>
      <c r="F4288" s="4">
        <v>37.0</v>
      </c>
      <c r="G4288" s="4" t="s">
        <v>6562</v>
      </c>
    </row>
    <row r="4289">
      <c r="A4289" s="1">
        <v>4287.0</v>
      </c>
      <c r="B4289" s="4" t="s">
        <v>6492</v>
      </c>
      <c r="C4289" s="5" t="str">
        <f>IFERROR(__xludf.DUMMYFUNCTION("GOOGLETRANSLATE(D:D,""auto"",""en"")"),"On the Department of Defense US warships through the Taiwan Strait")</f>
        <v>On the Department of Defense US warships through the Taiwan Strait</v>
      </c>
      <c r="D4289" s="4" t="s">
        <v>6563</v>
      </c>
      <c r="E4289" s="4">
        <v>0.0</v>
      </c>
      <c r="F4289" s="4">
        <v>38.0</v>
      </c>
      <c r="G4289" s="4" t="s">
        <v>6564</v>
      </c>
    </row>
    <row r="4290">
      <c r="A4290" s="1">
        <v>4288.0</v>
      </c>
      <c r="B4290" s="4" t="s">
        <v>6492</v>
      </c>
      <c r="C4290" s="5" t="str">
        <f>IFERROR(__xludf.DUMMYFUNCTION("GOOGLETRANSLATE(D:D,""auto"",""en"")"),"Trump changed to China to talk")</f>
        <v>Trump changed to China to talk</v>
      </c>
      <c r="D4290" s="4" t="s">
        <v>6565</v>
      </c>
      <c r="E4290" s="4">
        <v>0.0</v>
      </c>
      <c r="F4290" s="4">
        <v>39.0</v>
      </c>
      <c r="G4290" s="4" t="s">
        <v>6566</v>
      </c>
    </row>
    <row r="4291">
      <c r="A4291" s="1">
        <v>4289.0</v>
      </c>
      <c r="B4291" s="4" t="s">
        <v>6492</v>
      </c>
      <c r="C4291" s="5" t="str">
        <f>IFERROR(__xludf.DUMMYFUNCTION("GOOGLETRANSLATE(D:D,""auto"",""en"")"),"EU road on the verge of collapse")</f>
        <v>EU road on the verge of collapse</v>
      </c>
      <c r="D4291" s="4" t="s">
        <v>6472</v>
      </c>
      <c r="E4291" s="4">
        <v>0.0</v>
      </c>
      <c r="F4291" s="4">
        <v>40.0</v>
      </c>
      <c r="G4291" s="4" t="s">
        <v>6473</v>
      </c>
    </row>
    <row r="4292">
      <c r="A4292" s="1">
        <v>4290.0</v>
      </c>
      <c r="B4292" s="4" t="s">
        <v>6492</v>
      </c>
      <c r="C4292" s="5" t="str">
        <f>IFERROR(__xludf.DUMMYFUNCTION("GOOGLETRANSLATE(D:D,""auto"",""en"")"),"Zhong Nanshan recommended to keep the prevention and control")</f>
        <v>Zhong Nanshan recommended to keep the prevention and control</v>
      </c>
      <c r="D4292" s="4" t="s">
        <v>6567</v>
      </c>
      <c r="E4292" s="4">
        <v>0.0</v>
      </c>
      <c r="F4292" s="4">
        <v>41.0</v>
      </c>
      <c r="G4292" s="4" t="s">
        <v>6568</v>
      </c>
    </row>
    <row r="4293">
      <c r="A4293" s="1">
        <v>4291.0</v>
      </c>
      <c r="B4293" s="4" t="s">
        <v>6492</v>
      </c>
      <c r="C4293" s="5" t="str">
        <f>IFERROR(__xludf.DUMMYFUNCTION("GOOGLETRANSLATE(D:D,""auto"",""en"")"),"ZHANG Wen-hong do not talk about secret infection")</f>
        <v>ZHANG Wen-hong do not talk about secret infection</v>
      </c>
      <c r="D4293" s="4" t="s">
        <v>6569</v>
      </c>
      <c r="E4293" s="4">
        <v>0.0</v>
      </c>
      <c r="F4293" s="4">
        <v>42.0</v>
      </c>
      <c r="G4293" s="4" t="s">
        <v>6570</v>
      </c>
    </row>
    <row r="4294">
      <c r="A4294" s="1">
        <v>4292.0</v>
      </c>
      <c r="B4294" s="4" t="s">
        <v>6492</v>
      </c>
      <c r="C4294" s="5" t="str">
        <f>IFERROR(__xludf.DUMMYFUNCTION("GOOGLETRANSLATE(D:D,""auto"",""en"")"),"Britain's Prince Charles infection")</f>
        <v>Britain's Prince Charles infection</v>
      </c>
      <c r="D4294" s="4" t="s">
        <v>6448</v>
      </c>
      <c r="E4294" s="4">
        <v>0.0</v>
      </c>
      <c r="F4294" s="4">
        <v>43.0</v>
      </c>
      <c r="G4294" s="4" t="s">
        <v>6449</v>
      </c>
    </row>
    <row r="4295">
      <c r="A4295" s="1">
        <v>4293.0</v>
      </c>
      <c r="B4295" s="4" t="s">
        <v>6492</v>
      </c>
      <c r="C4295" s="5" t="str">
        <f>IFERROR(__xludf.DUMMYFUNCTION("GOOGLETRANSLATE(D:D,""auto"",""en"")"),"Wu Peng students into the net in red")</f>
        <v>Wu Peng students into the net in red</v>
      </c>
      <c r="D4295" s="4" t="s">
        <v>6571</v>
      </c>
      <c r="E4295" s="4">
        <v>0.0</v>
      </c>
      <c r="F4295" s="4">
        <v>44.0</v>
      </c>
      <c r="G4295" s="4" t="s">
        <v>6572</v>
      </c>
    </row>
    <row r="4296">
      <c r="A4296" s="1">
        <v>4294.0</v>
      </c>
      <c r="B4296" s="4" t="s">
        <v>6492</v>
      </c>
      <c r="C4296" s="5" t="str">
        <f>IFERROR(__xludf.DUMMYFUNCTION("GOOGLETRANSLATE(D:D,""auto"",""en"")"),"Fight back a lot of small two hate Ali")</f>
        <v>Fight back a lot of small two hate Ali</v>
      </c>
      <c r="D4296" s="4" t="s">
        <v>6573</v>
      </c>
      <c r="E4296" s="4">
        <v>0.0</v>
      </c>
      <c r="F4296" s="4">
        <v>45.0</v>
      </c>
      <c r="G4296" s="4" t="s">
        <v>6574</v>
      </c>
    </row>
    <row r="4297">
      <c r="A4297" s="1">
        <v>4295.0</v>
      </c>
      <c r="B4297" s="4" t="s">
        <v>6492</v>
      </c>
      <c r="C4297" s="5" t="str">
        <f>IFERROR(__xludf.DUMMYFUNCTION("GOOGLETRANSLATE(D:D,""auto"",""en"")"),"China sent seven groups of experts to five countries")</f>
        <v>China sent seven groups of experts to five countries</v>
      </c>
      <c r="D4297" s="4" t="s">
        <v>6575</v>
      </c>
      <c r="E4297" s="4">
        <v>0.0</v>
      </c>
      <c r="F4297" s="4">
        <v>46.0</v>
      </c>
      <c r="G4297" s="4" t="s">
        <v>6576</v>
      </c>
    </row>
    <row r="4298">
      <c r="A4298" s="1">
        <v>4296.0</v>
      </c>
      <c r="B4298" s="4" t="s">
        <v>6492</v>
      </c>
      <c r="C4298" s="5" t="str">
        <f>IFERROR(__xludf.DUMMYFUNCTION("GOOGLETRANSLATE(D:D,""auto"",""en"")"),"US aircraft carrier there are five people diagnosed")</f>
        <v>US aircraft carrier there are five people diagnosed</v>
      </c>
      <c r="D4298" s="4" t="s">
        <v>6577</v>
      </c>
      <c r="E4298" s="4">
        <v>0.0</v>
      </c>
      <c r="F4298" s="4">
        <v>47.0</v>
      </c>
      <c r="G4298" s="4" t="s">
        <v>6578</v>
      </c>
    </row>
    <row r="4299">
      <c r="A4299" s="1">
        <v>4297.0</v>
      </c>
      <c r="B4299" s="4" t="s">
        <v>6492</v>
      </c>
      <c r="C4299" s="5" t="str">
        <f>IFERROR(__xludf.DUMMYFUNCTION("GOOGLETRANSLATE(D:D,""auto"",""en"")"),"Brazilian President To stop blockade")</f>
        <v>Brazilian President To stop blockade</v>
      </c>
      <c r="D4299" s="4" t="s">
        <v>6579</v>
      </c>
      <c r="E4299" s="4">
        <v>0.0</v>
      </c>
      <c r="F4299" s="4">
        <v>48.0</v>
      </c>
      <c r="G4299" s="4" t="s">
        <v>6580</v>
      </c>
    </row>
    <row r="4300">
      <c r="A4300" s="1">
        <v>4298.0</v>
      </c>
      <c r="B4300" s="4" t="s">
        <v>6492</v>
      </c>
      <c r="C4300" s="5" t="str">
        <f>IFERROR(__xludf.DUMMYFUNCTION("GOOGLETRANSLATE(D:D,""auto"",""en"")"),"US new crown over the death of thousands of people")</f>
        <v>US new crown over the death of thousands of people</v>
      </c>
      <c r="D4300" s="4" t="s">
        <v>6581</v>
      </c>
      <c r="E4300" s="4">
        <v>0.0</v>
      </c>
      <c r="F4300" s="4">
        <v>49.0</v>
      </c>
      <c r="G4300" s="4" t="s">
        <v>6582</v>
      </c>
    </row>
    <row r="4301">
      <c r="A4301" s="1">
        <v>4299.0</v>
      </c>
      <c r="B4301" s="4" t="s">
        <v>6492</v>
      </c>
      <c r="C4301" s="5" t="str">
        <f>IFERROR(__xludf.DUMMYFUNCTION("GOOGLETRANSLATE(D:D,""auto"",""en"")"),"Japan Volcano Islands earthquake")</f>
        <v>Japan Volcano Islands earthquake</v>
      </c>
      <c r="D4301" s="4" t="s">
        <v>6583</v>
      </c>
      <c r="E4301" s="4">
        <v>0.0</v>
      </c>
      <c r="F4301" s="4">
        <v>50.0</v>
      </c>
      <c r="G4301" s="4" t="s">
        <v>6584</v>
      </c>
    </row>
    <row r="4302">
      <c r="A4302" s="1">
        <v>4300.0</v>
      </c>
      <c r="B4302" s="4" t="s">
        <v>6585</v>
      </c>
      <c r="C4302" s="5" t="str">
        <f>IFERROR(__xludf.DUMMYFUNCTION("GOOGLETRANSLATE(D:D,""auto"",""en"")"),"China suspended the entry of foreigners")</f>
        <v>China suspended the entry of foreigners</v>
      </c>
      <c r="D4302" s="4" t="s">
        <v>6586</v>
      </c>
      <c r="E4302" s="4">
        <v>0.0</v>
      </c>
      <c r="F4302" s="4">
        <v>1.0</v>
      </c>
      <c r="G4302" s="4" t="s">
        <v>6587</v>
      </c>
    </row>
    <row r="4303">
      <c r="A4303" s="1">
        <v>4301.0</v>
      </c>
      <c r="B4303" s="4" t="s">
        <v>6585</v>
      </c>
      <c r="C4303" s="5" t="str">
        <f>IFERROR(__xludf.DUMMYFUNCTION("GOOGLETRANSLATE(D:D,""auto"",""en"")"),"Garrison joint patrols")</f>
        <v>Garrison joint patrols</v>
      </c>
      <c r="D4303" s="4" t="s">
        <v>6588</v>
      </c>
      <c r="E4303" s="4">
        <v>0.0</v>
      </c>
      <c r="F4303" s="4">
        <v>2.0</v>
      </c>
      <c r="G4303" s="4" t="s">
        <v>6589</v>
      </c>
    </row>
    <row r="4304">
      <c r="A4304" s="1">
        <v>4302.0</v>
      </c>
      <c r="B4304" s="4" t="s">
        <v>6585</v>
      </c>
      <c r="C4304" s="5" t="str">
        <f>IFERROR(__xludf.DUMMYFUNCTION("GOOGLETRANSLATE(D:D,""auto"",""en"")"),"Liaoning airport police to issue a notice")</f>
        <v>Liaoning airport police to issue a notice</v>
      </c>
      <c r="D4304" s="4" t="s">
        <v>6590</v>
      </c>
      <c r="E4304" s="4">
        <v>0.0</v>
      </c>
      <c r="F4304" s="4">
        <v>3.0</v>
      </c>
      <c r="G4304" s="4" t="s">
        <v>6591</v>
      </c>
    </row>
    <row r="4305">
      <c r="A4305" s="1">
        <v>4303.0</v>
      </c>
      <c r="B4305" s="4" t="s">
        <v>6585</v>
      </c>
      <c r="C4305" s="5" t="str">
        <f>IFERROR(__xludf.DUMMYFUNCTION("GOOGLETRANSLATE(D:D,""auto"",""en"")"),"Wang Fei hotel was requisitioned")</f>
        <v>Wang Fei hotel was requisitioned</v>
      </c>
      <c r="D4305" s="4" t="s">
        <v>6592</v>
      </c>
      <c r="E4305" s="4">
        <v>0.0</v>
      </c>
      <c r="F4305" s="4">
        <v>4.0</v>
      </c>
      <c r="G4305" s="4" t="s">
        <v>6593</v>
      </c>
    </row>
    <row r="4306">
      <c r="A4306" s="1">
        <v>4304.0</v>
      </c>
      <c r="B4306" s="4" t="s">
        <v>6585</v>
      </c>
      <c r="C4306" s="5" t="str">
        <f>IFERROR(__xludf.DUMMYFUNCTION("GOOGLETRANSLATE(D:D,""auto"",""en"")"),"Poland allows the sale of masks Ali")</f>
        <v>Poland allows the sale of masks Ali</v>
      </c>
      <c r="D4306" s="4" t="s">
        <v>6541</v>
      </c>
      <c r="E4306" s="4">
        <v>0.0</v>
      </c>
      <c r="F4306" s="4">
        <v>5.0</v>
      </c>
      <c r="G4306" s="4" t="s">
        <v>6542</v>
      </c>
    </row>
    <row r="4307">
      <c r="A4307" s="1">
        <v>4305.0</v>
      </c>
      <c r="B4307" s="4" t="s">
        <v>6585</v>
      </c>
      <c r="C4307" s="5" t="str">
        <f>IFERROR(__xludf.DUMMYFUNCTION("GOOGLETRANSLATE(D:D,""auto"",""en"")"),"US confirmed the world's largest")</f>
        <v>US confirmed the world's largest</v>
      </c>
      <c r="D4307" s="4" t="s">
        <v>6594</v>
      </c>
      <c r="E4307" s="4">
        <v>0.0</v>
      </c>
      <c r="F4307" s="4">
        <v>6.0</v>
      </c>
      <c r="G4307" s="4" t="s">
        <v>6595</v>
      </c>
    </row>
    <row r="4308">
      <c r="A4308" s="1">
        <v>4306.0</v>
      </c>
      <c r="B4308" s="4" t="s">
        <v>6585</v>
      </c>
      <c r="C4308" s="5" t="str">
        <f>IFERROR(__xludf.DUMMYFUNCTION("GOOGLETRANSLATE(D:D,""auto"",""en"")"),"Meaning the actual infection or 700,000")</f>
        <v>Meaning the actual infection or 700,000</v>
      </c>
      <c r="D4308" s="4" t="s">
        <v>6596</v>
      </c>
      <c r="E4308" s="4">
        <v>0.0</v>
      </c>
      <c r="F4308" s="4">
        <v>7.0</v>
      </c>
      <c r="G4308" s="4" t="s">
        <v>6597</v>
      </c>
    </row>
    <row r="4309">
      <c r="A4309" s="1">
        <v>4307.0</v>
      </c>
      <c r="B4309" s="4" t="s">
        <v>6585</v>
      </c>
      <c r="C4309" s="5" t="str">
        <f>IFERROR(__xludf.DUMMYFUNCTION("GOOGLETRANSLATE(D:D,""auto"",""en"")"),"Hubei back post difficult")</f>
        <v>Hubei back post difficult</v>
      </c>
      <c r="D4309" s="4" t="s">
        <v>6598</v>
      </c>
      <c r="E4309" s="4">
        <v>0.0</v>
      </c>
      <c r="F4309" s="4">
        <v>8.0</v>
      </c>
      <c r="G4309" s="4" t="s">
        <v>6599</v>
      </c>
    </row>
    <row r="4310">
      <c r="A4310" s="1">
        <v>4308.0</v>
      </c>
      <c r="B4310" s="4" t="s">
        <v>6585</v>
      </c>
      <c r="C4310" s="5" t="str">
        <f>IFERROR(__xludf.DUMMYFUNCTION("GOOGLETRANSLATE(D:D,""auto"",""en"")"),"Zhejiang new one cases of indigenous cases")</f>
        <v>Zhejiang new one cases of indigenous cases</v>
      </c>
      <c r="D4310" s="4" t="s">
        <v>6600</v>
      </c>
      <c r="E4310" s="4">
        <v>0.0</v>
      </c>
      <c r="F4310" s="4">
        <v>9.0</v>
      </c>
      <c r="G4310" s="4" t="s">
        <v>6601</v>
      </c>
    </row>
    <row r="4311">
      <c r="A4311" s="1">
        <v>4309.0</v>
      </c>
      <c r="B4311" s="4" t="s">
        <v>6585</v>
      </c>
      <c r="C4311" s="5" t="str">
        <f>IFERROR(__xludf.DUMMYFUNCTION("GOOGLETRANSLATE(D:D,""auto"",""en"")"),"Exposure Yimei Bo derailment Musker")</f>
        <v>Exposure Yimei Bo derailment Musker</v>
      </c>
      <c r="D4311" s="4" t="s">
        <v>6602</v>
      </c>
      <c r="E4311" s="4">
        <v>0.0</v>
      </c>
      <c r="F4311" s="4">
        <v>10.0</v>
      </c>
      <c r="G4311" s="4" t="s">
        <v>6603</v>
      </c>
    </row>
    <row r="4312">
      <c r="A4312" s="1">
        <v>4310.0</v>
      </c>
      <c r="B4312" s="4" t="s">
        <v>6585</v>
      </c>
      <c r="C4312" s="5" t="str">
        <f>IFERROR(__xludf.DUMMYFUNCTION("GOOGLETRANSLATE(D:D,""auto"",""en"")"),"US right-wing extremists pre-hospital bombing")</f>
        <v>US right-wing extremists pre-hospital bombing</v>
      </c>
      <c r="D4312" s="4" t="s">
        <v>6604</v>
      </c>
      <c r="E4312" s="4">
        <v>0.0</v>
      </c>
      <c r="F4312" s="4">
        <v>11.0</v>
      </c>
      <c r="G4312" s="4" t="s">
        <v>6605</v>
      </c>
    </row>
    <row r="4313">
      <c r="A4313" s="1">
        <v>4311.0</v>
      </c>
      <c r="B4313" s="4" t="s">
        <v>6585</v>
      </c>
      <c r="C4313" s="5" t="str">
        <f>IFERROR(__xludf.DUMMYFUNCTION("GOOGLETRANSLATE(D:D,""auto"",""en"")"),"Handa Qiu mayor suddenly collapsed")</f>
        <v>Handa Qiu mayor suddenly collapsed</v>
      </c>
      <c r="D4313" s="4" t="s">
        <v>6606</v>
      </c>
      <c r="E4313" s="4">
        <v>0.0</v>
      </c>
      <c r="F4313" s="4">
        <v>12.0</v>
      </c>
      <c r="G4313" s="4" t="s">
        <v>6607</v>
      </c>
    </row>
    <row r="4314">
      <c r="A4314" s="1">
        <v>4312.0</v>
      </c>
      <c r="B4314" s="4" t="s">
        <v>6585</v>
      </c>
      <c r="C4314" s="5" t="str">
        <f>IFERROR(__xludf.DUMMYFUNCTION("GOOGLETRANSLATE(D:D,""auto"",""en"")"),"17 provinces announced start dates")</f>
        <v>17 provinces announced start dates</v>
      </c>
      <c r="D4314" s="4" t="s">
        <v>6608</v>
      </c>
      <c r="E4314" s="4">
        <v>0.0</v>
      </c>
      <c r="F4314" s="4">
        <v>13.0</v>
      </c>
      <c r="G4314" s="4" t="s">
        <v>6609</v>
      </c>
    </row>
    <row r="4315">
      <c r="A4315" s="1">
        <v>4313.0</v>
      </c>
      <c r="B4315" s="4" t="s">
        <v>6585</v>
      </c>
      <c r="C4315" s="5" t="str">
        <f>IFERROR(__xludf.DUMMYFUNCTION("GOOGLETRANSLATE(D:D,""auto"",""en"")"),"Xu Zheng went to the bar does not wear a mask")</f>
        <v>Xu Zheng went to the bar does not wear a mask</v>
      </c>
      <c r="D4315" s="4" t="s">
        <v>6610</v>
      </c>
      <c r="E4315" s="4">
        <v>0.0</v>
      </c>
      <c r="F4315" s="4">
        <v>14.0</v>
      </c>
      <c r="G4315" s="4" t="s">
        <v>6611</v>
      </c>
    </row>
    <row r="4316">
      <c r="A4316" s="1">
        <v>4314.0</v>
      </c>
      <c r="B4316" s="4" t="s">
        <v>6585</v>
      </c>
      <c r="C4316" s="5" t="str">
        <f>IFERROR(__xludf.DUMMYFUNCTION("GOOGLETRANSLATE(D:D,""auto"",""en"")"),"Beijing requires teachers and students to return to Beijing")</f>
        <v>Beijing requires teachers and students to return to Beijing</v>
      </c>
      <c r="D4316" s="4" t="s">
        <v>6612</v>
      </c>
      <c r="E4316" s="4">
        <v>0.0</v>
      </c>
      <c r="F4316" s="4">
        <v>15.0</v>
      </c>
      <c r="G4316" s="4" t="s">
        <v>6613</v>
      </c>
    </row>
    <row r="4317">
      <c r="A4317" s="1">
        <v>4315.0</v>
      </c>
      <c r="B4317" s="4" t="s">
        <v>6585</v>
      </c>
      <c r="C4317" s="5" t="str">
        <f>IFERROR(__xludf.DUMMYFUNCTION("GOOGLETRANSLATE(D:D,""auto"",""en"")"),"Bill Gates, the US propaganda")</f>
        <v>Bill Gates, the US propaganda</v>
      </c>
      <c r="D4317" s="4" t="s">
        <v>6614</v>
      </c>
      <c r="E4317" s="4">
        <v>0.0</v>
      </c>
      <c r="F4317" s="4">
        <v>16.0</v>
      </c>
      <c r="G4317" s="4" t="s">
        <v>6615</v>
      </c>
    </row>
    <row r="4318">
      <c r="A4318" s="1">
        <v>4316.0</v>
      </c>
      <c r="B4318" s="4" t="s">
        <v>6585</v>
      </c>
      <c r="C4318" s="5" t="str">
        <f>IFERROR(__xludf.DUMMYFUNCTION("GOOGLETRANSLATE(D:D,""auto"",""en"")"),"Hornets actress to apologize")</f>
        <v>Hornets actress to apologize</v>
      </c>
      <c r="D4318" s="4" t="s">
        <v>6616</v>
      </c>
      <c r="E4318" s="4">
        <v>0.0</v>
      </c>
      <c r="F4318" s="4">
        <v>17.0</v>
      </c>
      <c r="G4318" s="4" t="s">
        <v>6617</v>
      </c>
    </row>
    <row r="4319">
      <c r="A4319" s="1">
        <v>4317.0</v>
      </c>
      <c r="B4319" s="4" t="s">
        <v>6585</v>
      </c>
      <c r="C4319" s="5" t="str">
        <f>IFERROR(__xludf.DUMMYFUNCTION("GOOGLETRANSLATE(D:D,""auto"",""en"")"),"Trump talk ventilator demand")</f>
        <v>Trump talk ventilator demand</v>
      </c>
      <c r="D4319" s="4" t="s">
        <v>6618</v>
      </c>
      <c r="E4319" s="4">
        <v>0.0</v>
      </c>
      <c r="F4319" s="4">
        <v>18.0</v>
      </c>
      <c r="G4319" s="4" t="s">
        <v>6619</v>
      </c>
    </row>
    <row r="4320">
      <c r="A4320" s="1">
        <v>4318.0</v>
      </c>
      <c r="B4320" s="4" t="s">
        <v>6585</v>
      </c>
      <c r="C4320" s="5" t="str">
        <f>IFERROR(__xludf.DUMMYFUNCTION("GOOGLETRANSLATE(D:D,""auto"",""en"")"),"Hubei after restart")</f>
        <v>Hubei after restart</v>
      </c>
      <c r="D4320" s="4" t="s">
        <v>6620</v>
      </c>
      <c r="E4320" s="4">
        <v>0.0</v>
      </c>
      <c r="F4320" s="4">
        <v>19.0</v>
      </c>
      <c r="G4320" s="4" t="s">
        <v>6621</v>
      </c>
    </row>
    <row r="4321">
      <c r="A4321" s="1">
        <v>4319.0</v>
      </c>
      <c r="B4321" s="4" t="s">
        <v>6585</v>
      </c>
      <c r="C4321" s="5" t="str">
        <f>IFERROR(__xludf.DUMMYFUNCTION("GOOGLETRANSLATE(D:D,""auto"",""en"")"),"New Jersey state of calamity")</f>
        <v>New Jersey state of calamity</v>
      </c>
      <c r="D4321" s="4" t="s">
        <v>6622</v>
      </c>
      <c r="E4321" s="4">
        <v>0.0</v>
      </c>
      <c r="F4321" s="4">
        <v>20.0</v>
      </c>
      <c r="G4321" s="4" t="s">
        <v>6623</v>
      </c>
    </row>
    <row r="4322">
      <c r="A4322" s="1">
        <v>4320.0</v>
      </c>
      <c r="B4322" s="4" t="s">
        <v>6585</v>
      </c>
      <c r="C4322" s="5" t="str">
        <f>IFERROR(__xludf.DUMMYFUNCTION("GOOGLETRANSLATE(D:D,""auto"",""en"")"),"Zhong Nanshan estimated domestic epidemic")</f>
        <v>Zhong Nanshan estimated domestic epidemic</v>
      </c>
      <c r="D4322" s="4" t="s">
        <v>6624</v>
      </c>
      <c r="E4322" s="4">
        <v>0.0</v>
      </c>
      <c r="F4322" s="4">
        <v>21.0</v>
      </c>
      <c r="G4322" s="4" t="s">
        <v>6625</v>
      </c>
    </row>
    <row r="4323">
      <c r="A4323" s="1">
        <v>4321.0</v>
      </c>
      <c r="B4323" s="4" t="s">
        <v>6585</v>
      </c>
      <c r="C4323" s="5" t="str">
        <f>IFERROR(__xludf.DUMMYFUNCTION("GOOGLETRANSLATE(D:D,""auto"",""en"")"),"Liu Zhen small S mourn the rain")</f>
        <v>Liu Zhen small S mourn the rain</v>
      </c>
      <c r="D4323" s="4" t="s">
        <v>6626</v>
      </c>
      <c r="E4323" s="4">
        <v>0.0</v>
      </c>
      <c r="F4323" s="4">
        <v>22.0</v>
      </c>
      <c r="G4323" s="4" t="s">
        <v>6627</v>
      </c>
    </row>
    <row r="4324">
      <c r="A4324" s="1">
        <v>4322.0</v>
      </c>
      <c r="B4324" s="4" t="s">
        <v>6585</v>
      </c>
      <c r="C4324" s="5" t="str">
        <f>IFERROR(__xludf.DUMMYFUNCTION("GOOGLETRANSLATE(D:D,""auto"",""en"")"),"British Prime Minister confirmed the new crown")</f>
        <v>British Prime Minister confirmed the new crown</v>
      </c>
      <c r="D4324" s="4" t="s">
        <v>6628</v>
      </c>
      <c r="E4324" s="4">
        <v>0.0</v>
      </c>
      <c r="F4324" s="4">
        <v>23.0</v>
      </c>
      <c r="G4324" s="4" t="s">
        <v>6629</v>
      </c>
    </row>
    <row r="4325">
      <c r="A4325" s="1">
        <v>4323.0</v>
      </c>
      <c r="B4325" s="4" t="s">
        <v>6585</v>
      </c>
      <c r="C4325" s="5" t="str">
        <f>IFERROR(__xludf.DUMMYFUNCTION("GOOGLETRANSLATE(D:D,""auto"",""en"")"),"Wuhan will lift the community sealed off")</f>
        <v>Wuhan will lift the community sealed off</v>
      </c>
      <c r="D4325" s="4" t="s">
        <v>6630</v>
      </c>
      <c r="E4325" s="4">
        <v>0.0</v>
      </c>
      <c r="F4325" s="4">
        <v>24.0</v>
      </c>
      <c r="G4325" s="4" t="s">
        <v>6631</v>
      </c>
    </row>
    <row r="4326">
      <c r="A4326" s="1">
        <v>4324.0</v>
      </c>
      <c r="B4326" s="4" t="s">
        <v>6585</v>
      </c>
      <c r="C4326" s="5" t="str">
        <f>IFERROR(__xludf.DUMMYFUNCTION("GOOGLETRANSLATE(D:D,""auto"",""en"")"),"US military confirmed no longer publish")</f>
        <v>US military confirmed no longer publish</v>
      </c>
      <c r="D4326" s="4" t="s">
        <v>6632</v>
      </c>
      <c r="E4326" s="4">
        <v>0.0</v>
      </c>
      <c r="F4326" s="4">
        <v>25.0</v>
      </c>
      <c r="G4326" s="4" t="s">
        <v>6633</v>
      </c>
    </row>
    <row r="4327">
      <c r="A4327" s="1">
        <v>4325.0</v>
      </c>
      <c r="B4327" s="4" t="s">
        <v>6585</v>
      </c>
      <c r="C4327" s="5" t="str">
        <f>IFERROR(__xludf.DUMMYFUNCTION("GOOGLETRANSLATE(D:D,""auto"",""en"")"),"Hubei and Jiangxi provincial boundary conflict")</f>
        <v>Hubei and Jiangxi provincial boundary conflict</v>
      </c>
      <c r="D4327" s="4" t="s">
        <v>6634</v>
      </c>
      <c r="E4327" s="4">
        <v>0.0</v>
      </c>
      <c r="F4327" s="4">
        <v>26.0</v>
      </c>
      <c r="G4327" s="4" t="s">
        <v>6635</v>
      </c>
    </row>
    <row r="4328">
      <c r="A4328" s="1">
        <v>4326.0</v>
      </c>
      <c r="B4328" s="4" t="s">
        <v>6585</v>
      </c>
      <c r="C4328" s="5" t="str">
        <f>IFERROR(__xludf.DUMMYFUNCTION("GOOGLETRANSLATE(D:D,""auto"",""en"")"),"Yuantong courier kneel down to apologize")</f>
        <v>Yuantong courier kneel down to apologize</v>
      </c>
      <c r="D4328" s="4" t="s">
        <v>6636</v>
      </c>
      <c r="E4328" s="4">
        <v>0.0</v>
      </c>
      <c r="F4328" s="4">
        <v>27.0</v>
      </c>
      <c r="G4328" s="4" t="s">
        <v>6637</v>
      </c>
    </row>
    <row r="4329">
      <c r="A4329" s="1">
        <v>4327.0</v>
      </c>
      <c r="B4329" s="4" t="s">
        <v>6585</v>
      </c>
      <c r="C4329" s="5" t="str">
        <f>IFERROR(__xludf.DUMMYFUNCTION("GOOGLETRANSLATE(D:D,""auto"",""en"")"),"British Prime Minister readme disease")</f>
        <v>British Prime Minister readme disease</v>
      </c>
      <c r="D4329" s="4" t="s">
        <v>6638</v>
      </c>
      <c r="E4329" s="4">
        <v>0.0</v>
      </c>
      <c r="F4329" s="4">
        <v>28.0</v>
      </c>
      <c r="G4329" s="4" t="s">
        <v>6639</v>
      </c>
    </row>
    <row r="4330">
      <c r="A4330" s="1">
        <v>4328.0</v>
      </c>
      <c r="B4330" s="4" t="s">
        <v>6585</v>
      </c>
      <c r="C4330" s="5" t="str">
        <f>IFERROR(__xludf.DUMMYFUNCTION("GOOGLETRANSLATE(D:D,""auto"",""en"")"),"Guangzhou hail warning issued")</f>
        <v>Guangzhou hail warning issued</v>
      </c>
      <c r="D4330" s="4" t="s">
        <v>6640</v>
      </c>
      <c r="E4330" s="4">
        <v>0.0</v>
      </c>
      <c r="F4330" s="4">
        <v>29.0</v>
      </c>
      <c r="G4330" s="4" t="s">
        <v>6641</v>
      </c>
    </row>
    <row r="4331">
      <c r="A4331" s="1">
        <v>4329.0</v>
      </c>
      <c r="B4331" s="4" t="s">
        <v>6585</v>
      </c>
      <c r="C4331" s="5" t="str">
        <f>IFERROR(__xludf.DUMMYFUNCTION("GOOGLETRANSLATE(D:D,""auto"",""en"")"),"US doctors to the United States called on States")</f>
        <v>US doctors to the United States called on States</v>
      </c>
      <c r="D4331" s="4" t="s">
        <v>6642</v>
      </c>
      <c r="E4331" s="4">
        <v>0.0</v>
      </c>
      <c r="F4331" s="4">
        <v>30.0</v>
      </c>
      <c r="G4331" s="4" t="s">
        <v>6643</v>
      </c>
    </row>
    <row r="4332">
      <c r="A4332" s="1">
        <v>4330.0</v>
      </c>
      <c r="B4332" s="4" t="s">
        <v>6585</v>
      </c>
      <c r="C4332" s="5" t="str">
        <f>IFERROR(__xludf.DUMMYFUNCTION("GOOGLETRANSLATE(D:D,""auto"",""en"")"),"Global network bandwidth in an emergency")</f>
        <v>Global network bandwidth in an emergency</v>
      </c>
      <c r="D4332" s="4" t="s">
        <v>6644</v>
      </c>
      <c r="E4332" s="4">
        <v>0.0</v>
      </c>
      <c r="F4332" s="4">
        <v>31.0</v>
      </c>
      <c r="G4332" s="4" t="s">
        <v>6645</v>
      </c>
    </row>
    <row r="4333">
      <c r="A4333" s="1">
        <v>4331.0</v>
      </c>
      <c r="B4333" s="4" t="s">
        <v>6585</v>
      </c>
      <c r="C4333" s="5" t="str">
        <f>IFERROR(__xludf.DUMMYFUNCTION("GOOGLETRANSLATE(D:D,""auto"",""en"")"),"In other daughter Vanessa guardian")</f>
        <v>In other daughter Vanessa guardian</v>
      </c>
      <c r="D4333" s="4" t="s">
        <v>6646</v>
      </c>
      <c r="E4333" s="4">
        <v>0.0</v>
      </c>
      <c r="F4333" s="4">
        <v>32.0</v>
      </c>
      <c r="G4333" s="4" t="s">
        <v>6647</v>
      </c>
    </row>
    <row r="4334">
      <c r="A4334" s="1">
        <v>4332.0</v>
      </c>
      <c r="B4334" s="4" t="s">
        <v>6585</v>
      </c>
      <c r="C4334" s="5" t="str">
        <f>IFERROR(__xludf.DUMMYFUNCTION("GOOGLETRANSLATE(D:D,""auto"",""en"")"),"Genghis Khan happy to mention a new skin")</f>
        <v>Genghis Khan happy to mention a new skin</v>
      </c>
      <c r="D4334" s="4" t="s">
        <v>6648</v>
      </c>
      <c r="E4334" s="4">
        <v>0.0</v>
      </c>
      <c r="F4334" s="4">
        <v>33.0</v>
      </c>
      <c r="G4334" s="4" t="s">
        <v>6649</v>
      </c>
    </row>
    <row r="4335">
      <c r="A4335" s="1">
        <v>4333.0</v>
      </c>
      <c r="B4335" s="4" t="s">
        <v>6585</v>
      </c>
      <c r="C4335" s="5" t="str">
        <f>IFERROR(__xludf.DUMMYFUNCTION("GOOGLETRANSLATE(D:D,""auto"",""en"")"),"Indian people buy night")</f>
        <v>Indian people buy night</v>
      </c>
      <c r="D4335" s="4" t="s">
        <v>6650</v>
      </c>
      <c r="E4335" s="4">
        <v>0.0</v>
      </c>
      <c r="F4335" s="4">
        <v>34.0</v>
      </c>
      <c r="G4335" s="4" t="s">
        <v>6651</v>
      </c>
    </row>
    <row r="4336">
      <c r="A4336" s="1">
        <v>4334.0</v>
      </c>
      <c r="B4336" s="4" t="s">
        <v>6585</v>
      </c>
      <c r="C4336" s="5" t="str">
        <f>IFERROR(__xludf.DUMMYFUNCTION("GOOGLETRANSLATE(D:D,""auto"",""en"")"),"Barcelona announced full pay cut")</f>
        <v>Barcelona announced full pay cut</v>
      </c>
      <c r="D4336" s="4" t="s">
        <v>6652</v>
      </c>
      <c r="E4336" s="4">
        <v>0.0</v>
      </c>
      <c r="F4336" s="4">
        <v>35.0</v>
      </c>
      <c r="G4336" s="4" t="s">
        <v>6653</v>
      </c>
    </row>
    <row r="4337">
      <c r="A4337" s="1">
        <v>4335.0</v>
      </c>
      <c r="B4337" s="4" t="s">
        <v>6585</v>
      </c>
      <c r="C4337" s="5" t="str">
        <f>IFERROR(__xludf.DUMMYFUNCTION("GOOGLETRANSLATE(D:D,""auto"",""en"")"),"New York detection crowd queues")</f>
        <v>New York detection crowd queues</v>
      </c>
      <c r="D4337" s="4" t="s">
        <v>6654</v>
      </c>
      <c r="E4337" s="4">
        <v>0.0</v>
      </c>
      <c r="F4337" s="4">
        <v>36.0</v>
      </c>
      <c r="G4337" s="4" t="s">
        <v>6655</v>
      </c>
    </row>
    <row r="4338">
      <c r="A4338" s="1">
        <v>4336.0</v>
      </c>
      <c r="B4338" s="4" t="s">
        <v>6585</v>
      </c>
      <c r="C4338" s="5" t="str">
        <f>IFERROR(__xludf.DUMMYFUNCTION("GOOGLETRANSLATE(D:D,""auto"",""en"")"),"Wang Zijian was exposed details of domestic violence")</f>
        <v>Wang Zijian was exposed details of domestic violence</v>
      </c>
      <c r="D4338" s="4" t="s">
        <v>6656</v>
      </c>
      <c r="E4338" s="4">
        <v>0.0</v>
      </c>
      <c r="F4338" s="4">
        <v>37.0</v>
      </c>
      <c r="G4338" s="4" t="s">
        <v>6657</v>
      </c>
    </row>
    <row r="4339">
      <c r="A4339" s="1">
        <v>4337.0</v>
      </c>
      <c r="B4339" s="4" t="s">
        <v>6585</v>
      </c>
      <c r="C4339" s="5" t="str">
        <f>IFERROR(__xludf.DUMMYFUNCTION("GOOGLETRANSLATE(D:D,""auto"",""en"")"),"GAI Kokoro疼 JONYJ")</f>
        <v>GAI Kokoro疼 JONYJ</v>
      </c>
      <c r="D4339" s="4" t="s">
        <v>6658</v>
      </c>
      <c r="E4339" s="4">
        <v>0.0</v>
      </c>
      <c r="F4339" s="4">
        <v>38.0</v>
      </c>
      <c r="G4339" s="4" t="s">
        <v>6659</v>
      </c>
    </row>
    <row r="4340">
      <c r="A4340" s="1">
        <v>4338.0</v>
      </c>
      <c r="B4340" s="4" t="s">
        <v>6585</v>
      </c>
      <c r="C4340" s="5" t="str">
        <f>IFERROR(__xludf.DUMMYFUNCTION("GOOGLETRANSLATE(D:D,""auto"",""en"")"),"Cui Acknowledgments ZHANG Wen-hong")</f>
        <v>Cui Acknowledgments ZHANG Wen-hong</v>
      </c>
      <c r="D4340" s="4" t="s">
        <v>6660</v>
      </c>
      <c r="E4340" s="4">
        <v>0.0</v>
      </c>
      <c r="F4340" s="4">
        <v>39.0</v>
      </c>
      <c r="G4340" s="4" t="s">
        <v>6661</v>
      </c>
    </row>
    <row r="4341">
      <c r="A4341" s="1">
        <v>4339.0</v>
      </c>
      <c r="B4341" s="4" t="s">
        <v>6585</v>
      </c>
      <c r="C4341" s="5" t="str">
        <f>IFERROR(__xludf.DUMMYFUNCTION("GOOGLETRANSLATE(D:D,""auto"",""en"")"),"Han returned to Beijing concealed from men arrested")</f>
        <v>Han returned to Beijing concealed from men arrested</v>
      </c>
      <c r="D4341" s="4" t="s">
        <v>6662</v>
      </c>
      <c r="E4341" s="4">
        <v>0.0</v>
      </c>
      <c r="F4341" s="4">
        <v>40.0</v>
      </c>
      <c r="G4341" s="4" t="s">
        <v>6663</v>
      </c>
    </row>
    <row r="4342">
      <c r="A4342" s="1">
        <v>4340.0</v>
      </c>
      <c r="B4342" s="4" t="s">
        <v>6585</v>
      </c>
      <c r="C4342" s="5" t="str">
        <f>IFERROR(__xludf.DUMMYFUNCTION("GOOGLETRANSLATE(D:D,""auto"",""en"")"),"Ukraine State border closed")</f>
        <v>Ukraine State border closed</v>
      </c>
      <c r="D4342" s="4" t="s">
        <v>6664</v>
      </c>
      <c r="E4342" s="4">
        <v>0.0</v>
      </c>
      <c r="F4342" s="4">
        <v>41.0</v>
      </c>
      <c r="G4342" s="4" t="s">
        <v>6665</v>
      </c>
    </row>
    <row r="4343">
      <c r="A4343" s="1">
        <v>4341.0</v>
      </c>
      <c r="B4343" s="4" t="s">
        <v>6585</v>
      </c>
      <c r="C4343" s="5" t="str">
        <f>IFERROR(__xludf.DUMMYFUNCTION("GOOGLETRANSLATE(D:D,""auto"",""en"")"),"Especially G20 summit opening")</f>
        <v>Especially G20 summit opening</v>
      </c>
      <c r="D4343" s="4" t="s">
        <v>6539</v>
      </c>
      <c r="E4343" s="4">
        <v>0.0</v>
      </c>
      <c r="F4343" s="4">
        <v>42.0</v>
      </c>
      <c r="G4343" s="4" t="s">
        <v>6540</v>
      </c>
    </row>
    <row r="4344">
      <c r="A4344" s="1">
        <v>4342.0</v>
      </c>
      <c r="B4344" s="4" t="s">
        <v>6585</v>
      </c>
      <c r="C4344" s="5" t="str">
        <f>IFERROR(__xludf.DUMMYFUNCTION("GOOGLETRANSLATE(D:D,""auto"",""en"")"),"Beijing to achieve double-zero growth")</f>
        <v>Beijing to achieve double-zero growth</v>
      </c>
      <c r="D4344" s="4" t="s">
        <v>6666</v>
      </c>
      <c r="E4344" s="4">
        <v>0.0</v>
      </c>
      <c r="F4344" s="4">
        <v>43.0</v>
      </c>
      <c r="G4344" s="4" t="s">
        <v>6667</v>
      </c>
    </row>
    <row r="4345">
      <c r="A4345" s="1">
        <v>4343.0</v>
      </c>
      <c r="B4345" s="4" t="s">
        <v>6585</v>
      </c>
      <c r="C4345" s="5" t="str">
        <f>IFERROR(__xludf.DUMMYFUNCTION("GOOGLETRANSLATE(D:D,""auto"",""en"")"),"Tact response kowtow to apologize")</f>
        <v>Tact response kowtow to apologize</v>
      </c>
      <c r="D4345" s="4" t="s">
        <v>6668</v>
      </c>
      <c r="E4345" s="4">
        <v>0.0</v>
      </c>
      <c r="F4345" s="4">
        <v>44.0</v>
      </c>
      <c r="G4345" s="4" t="s">
        <v>6669</v>
      </c>
    </row>
    <row r="4346">
      <c r="A4346" s="1">
        <v>4344.0</v>
      </c>
      <c r="B4346" s="4" t="s">
        <v>6585</v>
      </c>
      <c r="C4346" s="5" t="str">
        <f>IFERROR(__xludf.DUMMYFUNCTION("GOOGLETRANSLATE(D:D,""auto"",""en"")"),"Trump talk about the United States re-opened")</f>
        <v>Trump talk about the United States re-opened</v>
      </c>
      <c r="D4346" s="4" t="s">
        <v>6670</v>
      </c>
      <c r="E4346" s="4">
        <v>0.0</v>
      </c>
      <c r="F4346" s="4">
        <v>45.0</v>
      </c>
      <c r="G4346" s="4" t="s">
        <v>6671</v>
      </c>
    </row>
    <row r="4347">
      <c r="A4347" s="1">
        <v>4345.0</v>
      </c>
      <c r="B4347" s="4" t="s">
        <v>6585</v>
      </c>
      <c r="C4347" s="5" t="str">
        <f>IFERROR(__xludf.DUMMYFUNCTION("GOOGLETRANSLATE(D:D,""auto"",""en"")"),"National theater temporarily resume business")</f>
        <v>National theater temporarily resume business</v>
      </c>
      <c r="D4347" s="4" t="s">
        <v>6672</v>
      </c>
      <c r="E4347" s="4">
        <v>0.0</v>
      </c>
      <c r="F4347" s="4">
        <v>46.0</v>
      </c>
      <c r="G4347" s="4" t="s">
        <v>6673</v>
      </c>
    </row>
    <row r="4348">
      <c r="A4348" s="1">
        <v>4346.0</v>
      </c>
      <c r="B4348" s="4" t="s">
        <v>6585</v>
      </c>
      <c r="C4348" s="5" t="str">
        <f>IFERROR(__xludf.DUMMYFUNCTION("GOOGLETRANSLATE(D:D,""auto"",""en"")"),"Mrs. Abe violate quarantine orders")</f>
        <v>Mrs. Abe violate quarantine orders</v>
      </c>
      <c r="D4348" s="4" t="s">
        <v>6674</v>
      </c>
      <c r="E4348" s="4">
        <v>0.0</v>
      </c>
      <c r="F4348" s="4">
        <v>47.0</v>
      </c>
      <c r="G4348" s="4" t="s">
        <v>6675</v>
      </c>
    </row>
    <row r="4349">
      <c r="A4349" s="1">
        <v>4347.0</v>
      </c>
      <c r="B4349" s="4" t="s">
        <v>6585</v>
      </c>
      <c r="C4349" s="5" t="str">
        <f>IFERROR(__xludf.DUMMYFUNCTION("GOOGLETRANSLATE(D:D,""auto"",""en"")"),"Spain nearly healthcare infection")</f>
        <v>Spain nearly healthcare infection</v>
      </c>
      <c r="D4349" s="4" t="s">
        <v>6676</v>
      </c>
      <c r="E4349" s="4">
        <v>0.0</v>
      </c>
      <c r="F4349" s="4">
        <v>48.0</v>
      </c>
      <c r="G4349" s="4" t="s">
        <v>6677</v>
      </c>
    </row>
    <row r="4350">
      <c r="A4350" s="1">
        <v>4348.0</v>
      </c>
      <c r="B4350" s="4" t="s">
        <v>6585</v>
      </c>
      <c r="C4350" s="5" t="str">
        <f>IFERROR(__xludf.DUMMYFUNCTION("GOOGLETRANSLATE(D:D,""auto"",""en"")"),"According to Lin Xie second child was born")</f>
        <v>According to Lin Xie second child was born</v>
      </c>
      <c r="D4350" s="4" t="s">
        <v>6678</v>
      </c>
      <c r="E4350" s="4">
        <v>0.0</v>
      </c>
      <c r="F4350" s="4">
        <v>49.0</v>
      </c>
      <c r="G4350" s="4" t="s">
        <v>6679</v>
      </c>
    </row>
    <row r="4351">
      <c r="A4351" s="1">
        <v>4349.0</v>
      </c>
      <c r="B4351" s="4" t="s">
        <v>6585</v>
      </c>
      <c r="C4351" s="5" t="str">
        <f>IFERROR(__xludf.DUMMYFUNCTION("GOOGLETRANSLATE(D:D,""auto"",""en"")"),"Ruhu personnel shall be isolated")</f>
        <v>Ruhu personnel shall be isolated</v>
      </c>
      <c r="D4351" s="4" t="s">
        <v>6535</v>
      </c>
      <c r="E4351" s="4">
        <v>0.0</v>
      </c>
      <c r="F4351" s="4">
        <v>50.0</v>
      </c>
      <c r="G4351" s="4" t="s">
        <v>6536</v>
      </c>
    </row>
    <row r="4352">
      <c r="A4352" s="1">
        <v>4350.0</v>
      </c>
      <c r="B4352" s="4" t="s">
        <v>6680</v>
      </c>
      <c r="C4352" s="5" t="str">
        <f>IFERROR(__xludf.DUMMYFUNCTION("GOOGLETRANSLATE(D:D,""auto"",""en"")"),"US doctors to the United States called on States")</f>
        <v>US doctors to the United States called on States</v>
      </c>
      <c r="D4352" s="4" t="s">
        <v>6642</v>
      </c>
      <c r="E4352" s="4">
        <v>0.0</v>
      </c>
      <c r="F4352" s="4">
        <v>1.0</v>
      </c>
      <c r="G4352" s="4" t="s">
        <v>6643</v>
      </c>
    </row>
    <row r="4353">
      <c r="A4353" s="1">
        <v>4351.0</v>
      </c>
      <c r="B4353" s="4" t="s">
        <v>6680</v>
      </c>
      <c r="C4353" s="5" t="str">
        <f>IFERROR(__xludf.DUMMYFUNCTION("GOOGLETRANSLATE(D:D,""auto"",""en"")"),"New York Hospital Doctors exposure status quo")</f>
        <v>New York Hospital Doctors exposure status quo</v>
      </c>
      <c r="D4353" s="4" t="s">
        <v>6681</v>
      </c>
      <c r="E4353" s="4">
        <v>0.0</v>
      </c>
      <c r="F4353" s="4">
        <v>2.0</v>
      </c>
      <c r="G4353" s="4" t="s">
        <v>6682</v>
      </c>
    </row>
    <row r="4354">
      <c r="A4354" s="1">
        <v>4352.0</v>
      </c>
      <c r="B4354" s="4" t="s">
        <v>6680</v>
      </c>
      <c r="C4354" s="5" t="str">
        <f>IFERROR(__xludf.DUMMYFUNCTION("GOOGLETRANSLATE(D:D,""auto"",""en"")"),"New York subway fire")</f>
        <v>New York subway fire</v>
      </c>
      <c r="D4354" s="4" t="s">
        <v>6683</v>
      </c>
      <c r="E4354" s="4">
        <v>0.0</v>
      </c>
      <c r="F4354" s="4">
        <v>3.0</v>
      </c>
      <c r="G4354" s="4" t="s">
        <v>6684</v>
      </c>
    </row>
    <row r="4355">
      <c r="A4355" s="1">
        <v>4353.0</v>
      </c>
      <c r="B4355" s="4" t="s">
        <v>6680</v>
      </c>
      <c r="C4355" s="5" t="str">
        <f>IFERROR(__xludf.DUMMYFUNCTION("GOOGLETRANSLATE(D:D,""auto"",""en"")"),"Jiangxi and Hubei jointly issued notice")</f>
        <v>Jiangxi and Hubei jointly issued notice</v>
      </c>
      <c r="D4355" s="4" t="s">
        <v>6685</v>
      </c>
      <c r="E4355" s="4">
        <v>0.0</v>
      </c>
      <c r="F4355" s="4">
        <v>4.0</v>
      </c>
      <c r="G4355" s="4" t="s">
        <v>6686</v>
      </c>
    </row>
    <row r="4356">
      <c r="A4356" s="1">
        <v>4354.0</v>
      </c>
      <c r="B4356" s="4" t="s">
        <v>6680</v>
      </c>
      <c r="C4356" s="5" t="str">
        <f>IFERROR(__xludf.DUMMYFUNCTION("GOOGLETRANSLATE(D:D,""auto"",""en"")"),"Subway scattered large amounts of cash")</f>
        <v>Subway scattered large amounts of cash</v>
      </c>
      <c r="D4356" s="4" t="s">
        <v>6687</v>
      </c>
      <c r="E4356" s="4">
        <v>0.0</v>
      </c>
      <c r="F4356" s="4">
        <v>5.0</v>
      </c>
      <c r="G4356" s="4" t="s">
        <v>6688</v>
      </c>
    </row>
    <row r="4357">
      <c r="A4357" s="1">
        <v>4355.0</v>
      </c>
      <c r="B4357" s="4" t="s">
        <v>6680</v>
      </c>
      <c r="C4357" s="5" t="str">
        <f>IFERROR(__xludf.DUMMYFUNCTION("GOOGLETRANSLATE(D:D,""auto"",""en"")"),"Italy nearly a thousand deaths in a single day")</f>
        <v>Italy nearly a thousand deaths in a single day</v>
      </c>
      <c r="D4357" s="4" t="s">
        <v>6689</v>
      </c>
      <c r="E4357" s="4">
        <v>0.0</v>
      </c>
      <c r="F4357" s="4">
        <v>6.0</v>
      </c>
      <c r="G4357" s="4" t="s">
        <v>6690</v>
      </c>
    </row>
    <row r="4358">
      <c r="A4358" s="1">
        <v>4356.0</v>
      </c>
      <c r="B4358" s="4" t="s">
        <v>6680</v>
      </c>
      <c r="C4358" s="5" t="str">
        <f>IFERROR(__xludf.DUMMYFUNCTION("GOOGLETRANSLATE(D:D,""auto"",""en"")"),"Air China International flight adjustment")</f>
        <v>Air China International flight adjustment</v>
      </c>
      <c r="D4358" s="4" t="s">
        <v>6691</v>
      </c>
      <c r="E4358" s="4">
        <v>0.0</v>
      </c>
      <c r="F4358" s="4">
        <v>7.0</v>
      </c>
      <c r="G4358" s="4" t="s">
        <v>6692</v>
      </c>
    </row>
    <row r="4359">
      <c r="A4359" s="1">
        <v>4357.0</v>
      </c>
      <c r="B4359" s="4" t="s">
        <v>6680</v>
      </c>
      <c r="C4359" s="5" t="str">
        <f>IFERROR(__xludf.DUMMYFUNCTION("GOOGLETRANSLATE(D:D,""auto"",""en"")"),"Trump criticized the US governor")</f>
        <v>Trump criticized the US governor</v>
      </c>
      <c r="D4359" s="4" t="s">
        <v>6693</v>
      </c>
      <c r="E4359" s="4">
        <v>0.0</v>
      </c>
      <c r="F4359" s="4">
        <v>8.0</v>
      </c>
      <c r="G4359" s="4" t="s">
        <v>6694</v>
      </c>
    </row>
    <row r="4360">
      <c r="A4360" s="1">
        <v>4358.0</v>
      </c>
      <c r="B4360" s="4" t="s">
        <v>6680</v>
      </c>
      <c r="C4360" s="5" t="str">
        <f>IFERROR(__xludf.DUMMYFUNCTION("GOOGLETRANSLATE(D:D,""auto"",""en"")"),"High Yunxiang required to retain scenes")</f>
        <v>High Yunxiang required to retain scenes</v>
      </c>
      <c r="D4360" s="4" t="s">
        <v>6695</v>
      </c>
      <c r="E4360" s="4">
        <v>0.0</v>
      </c>
      <c r="F4360" s="4">
        <v>9.0</v>
      </c>
      <c r="G4360" s="4" t="s">
        <v>6696</v>
      </c>
    </row>
    <row r="4361">
      <c r="A4361" s="1">
        <v>4359.0</v>
      </c>
      <c r="B4361" s="4" t="s">
        <v>6680</v>
      </c>
      <c r="C4361" s="5" t="str">
        <f>IFERROR(__xludf.DUMMYFUNCTION("GOOGLETRANSLATE(D:D,""auto"",""en"")"),"Kardashian sisters fight")</f>
        <v>Kardashian sisters fight</v>
      </c>
      <c r="D4361" s="4" t="s">
        <v>6697</v>
      </c>
      <c r="E4361" s="4">
        <v>0.0</v>
      </c>
      <c r="F4361" s="4">
        <v>10.0</v>
      </c>
      <c r="G4361" s="4" t="s">
        <v>6698</v>
      </c>
    </row>
    <row r="4362">
      <c r="A4362" s="1">
        <v>4360.0</v>
      </c>
      <c r="B4362" s="4" t="s">
        <v>6680</v>
      </c>
      <c r="C4362" s="5" t="str">
        <f>IFERROR(__xludf.DUMMYFUNCTION("GOOGLETRANSLATE(D:D,""auto"",""en"")"),"Gao Xiaosong respond nationality dispute")</f>
        <v>Gao Xiaosong respond nationality dispute</v>
      </c>
      <c r="D4362" s="4" t="s">
        <v>6699</v>
      </c>
      <c r="E4362" s="4">
        <v>0.0</v>
      </c>
      <c r="F4362" s="4">
        <v>11.0</v>
      </c>
      <c r="G4362" s="4" t="s">
        <v>6700</v>
      </c>
    </row>
    <row r="4363">
      <c r="A4363" s="1">
        <v>4361.0</v>
      </c>
      <c r="B4363" s="4" t="s">
        <v>6680</v>
      </c>
      <c r="C4363" s="5" t="str">
        <f>IFERROR(__xludf.DUMMYFUNCTION("GOOGLETRANSLATE(D:D,""auto"",""en"")"),"20 minutes to sell 814 suites")</f>
        <v>20 minutes to sell 814 suites</v>
      </c>
      <c r="D4363" s="4" t="s">
        <v>6701</v>
      </c>
      <c r="E4363" s="4">
        <v>0.0</v>
      </c>
      <c r="F4363" s="4">
        <v>12.0</v>
      </c>
      <c r="G4363" s="4" t="s">
        <v>6702</v>
      </c>
    </row>
    <row r="4364">
      <c r="A4364" s="1">
        <v>4362.0</v>
      </c>
      <c r="B4364" s="4" t="s">
        <v>6680</v>
      </c>
      <c r="C4364" s="5" t="str">
        <f>IFERROR(__xludf.DUMMYFUNCTION("GOOGLETRANSLATE(D:D,""auto"",""en"")"),"Cai Xu Kun suspected in love with Lisa")</f>
        <v>Cai Xu Kun suspected in love with Lisa</v>
      </c>
      <c r="D4364" s="4" t="s">
        <v>6703</v>
      </c>
      <c r="E4364" s="4">
        <v>0.0</v>
      </c>
      <c r="F4364" s="4">
        <v>13.0</v>
      </c>
      <c r="G4364" s="4" t="s">
        <v>6704</v>
      </c>
    </row>
    <row r="4365">
      <c r="A4365" s="1">
        <v>4363.0</v>
      </c>
      <c r="B4365" s="4" t="s">
        <v>6680</v>
      </c>
      <c r="C4365" s="5" t="str">
        <f>IFERROR(__xludf.DUMMYFUNCTION("GOOGLETRANSLATE(D:D,""auto"",""en"")"),"Inform students refused to isolation")</f>
        <v>Inform students refused to isolation</v>
      </c>
      <c r="D4365" s="4" t="s">
        <v>6705</v>
      </c>
      <c r="E4365" s="4">
        <v>0.0</v>
      </c>
      <c r="F4365" s="4">
        <v>14.0</v>
      </c>
      <c r="G4365" s="4" t="s">
        <v>6706</v>
      </c>
    </row>
    <row r="4366">
      <c r="A4366" s="1">
        <v>4364.0</v>
      </c>
      <c r="B4366" s="4" t="s">
        <v>6680</v>
      </c>
      <c r="C4366" s="5" t="str">
        <f>IFERROR(__xludf.DUMMYFUNCTION("GOOGLETRANSLATE(D:D,""auto"",""en"")"),"414 people confirmed infected with the US")</f>
        <v>414 people confirmed infected with the US</v>
      </c>
      <c r="D4366" s="4" t="s">
        <v>6707</v>
      </c>
      <c r="E4366" s="4">
        <v>0.0</v>
      </c>
      <c r="F4366" s="4">
        <v>15.0</v>
      </c>
      <c r="G4366" s="4" t="s">
        <v>6708</v>
      </c>
    </row>
    <row r="4367">
      <c r="A4367" s="1">
        <v>4365.0</v>
      </c>
      <c r="B4367" s="4" t="s">
        <v>6680</v>
      </c>
      <c r="C4367" s="5" t="str">
        <f>IFERROR(__xludf.DUMMYFUNCTION("GOOGLETRANSLATE(D:D,""auto"",""en"")"),"Governor of Hubei Wuhan station to pick")</f>
        <v>Governor of Hubei Wuhan station to pick</v>
      </c>
      <c r="D4367" s="4" t="s">
        <v>6709</v>
      </c>
      <c r="E4367" s="4">
        <v>0.0</v>
      </c>
      <c r="F4367" s="4">
        <v>16.0</v>
      </c>
      <c r="G4367" s="4" t="s">
        <v>6710</v>
      </c>
    </row>
    <row r="4368">
      <c r="A4368" s="1">
        <v>4366.0</v>
      </c>
      <c r="B4368" s="4" t="s">
        <v>6680</v>
      </c>
      <c r="C4368" s="5" t="str">
        <f>IFERROR(__xludf.DUMMYFUNCTION("GOOGLETRANSLATE(D:D,""auto"",""en"")"),"Iceland is now co-infected persons")</f>
        <v>Iceland is now co-infected persons</v>
      </c>
      <c r="D4368" s="4" t="s">
        <v>6711</v>
      </c>
      <c r="E4368" s="4">
        <v>0.0</v>
      </c>
      <c r="F4368" s="4">
        <v>17.0</v>
      </c>
      <c r="G4368" s="4" t="s">
        <v>6712</v>
      </c>
    </row>
    <row r="4369">
      <c r="A4369" s="1">
        <v>4367.0</v>
      </c>
      <c r="B4369" s="4" t="s">
        <v>6680</v>
      </c>
      <c r="C4369" s="5" t="str">
        <f>IFERROR(__xludf.DUMMYFUNCTION("GOOGLETRANSLATE(D:D,""auto"",""en"")"),"Foreign Ministry reply US media")</f>
        <v>Foreign Ministry reply US media</v>
      </c>
      <c r="D4369" s="4" t="s">
        <v>6713</v>
      </c>
      <c r="E4369" s="4">
        <v>0.0</v>
      </c>
      <c r="F4369" s="4">
        <v>18.0</v>
      </c>
      <c r="G4369" s="4" t="s">
        <v>6714</v>
      </c>
    </row>
    <row r="4370">
      <c r="A4370" s="1">
        <v>4368.0</v>
      </c>
      <c r="B4370" s="4" t="s">
        <v>6680</v>
      </c>
      <c r="C4370" s="5" t="str">
        <f>IFERROR(__xludf.DUMMYFUNCTION("GOOGLETRANSLATE(D:D,""auto"",""en"")"),"3 US media to be interviewed in Beijing")</f>
        <v>3 US media to be interviewed in Beijing</v>
      </c>
      <c r="D4370" s="4" t="s">
        <v>6715</v>
      </c>
      <c r="E4370" s="4">
        <v>0.0</v>
      </c>
      <c r="F4370" s="4">
        <v>19.0</v>
      </c>
      <c r="G4370" s="4" t="s">
        <v>6716</v>
      </c>
    </row>
    <row r="4371">
      <c r="A4371" s="1">
        <v>4369.0</v>
      </c>
      <c r="B4371" s="4" t="s">
        <v>6680</v>
      </c>
      <c r="C4371" s="5" t="str">
        <f>IFERROR(__xludf.DUMMYFUNCTION("GOOGLETRANSLATE(D:D,""auto"",""en"")"),"Students spend 400,000 to return home")</f>
        <v>Students spend 400,000 to return home</v>
      </c>
      <c r="D4371" s="4" t="s">
        <v>6717</v>
      </c>
      <c r="E4371" s="4">
        <v>0.0</v>
      </c>
      <c r="F4371" s="4">
        <v>20.0</v>
      </c>
      <c r="G4371" s="4" t="s">
        <v>6718</v>
      </c>
    </row>
    <row r="4372">
      <c r="A4372" s="1">
        <v>4370.0</v>
      </c>
      <c r="B4372" s="4" t="s">
        <v>6680</v>
      </c>
      <c r="C4372" s="5" t="str">
        <f>IFERROR(__xludf.DUMMYFUNCTION("GOOGLETRANSLATE(D:D,""auto"",""en"")"),"India is now super-spreaders")</f>
        <v>India is now super-spreaders</v>
      </c>
      <c r="D4372" s="4" t="s">
        <v>6719</v>
      </c>
      <c r="E4372" s="4">
        <v>0.0</v>
      </c>
      <c r="F4372" s="4">
        <v>21.0</v>
      </c>
      <c r="G4372" s="4" t="s">
        <v>6720</v>
      </c>
    </row>
    <row r="4373">
      <c r="A4373" s="1">
        <v>4371.0</v>
      </c>
      <c r="B4373" s="4" t="s">
        <v>6680</v>
      </c>
      <c r="C4373" s="5" t="str">
        <f>IFERROR(__xludf.DUMMYFUNCTION("GOOGLETRANSLATE(D:D,""auto"",""en"")"),"British Prime Minister readme disease")</f>
        <v>British Prime Minister readme disease</v>
      </c>
      <c r="D4373" s="4" t="s">
        <v>6638</v>
      </c>
      <c r="E4373" s="4">
        <v>0.0</v>
      </c>
      <c r="F4373" s="4">
        <v>22.0</v>
      </c>
      <c r="G4373" s="4" t="s">
        <v>6639</v>
      </c>
    </row>
    <row r="4374">
      <c r="A4374" s="1">
        <v>4372.0</v>
      </c>
      <c r="B4374" s="4" t="s">
        <v>6680</v>
      </c>
      <c r="C4374" s="5" t="str">
        <f>IFERROR(__xludf.DUMMYFUNCTION("GOOGLETRANSLATE(D:D,""auto"",""en"")"),"Anchor Tracy being released")</f>
        <v>Anchor Tracy being released</v>
      </c>
      <c r="D4374" s="4" t="s">
        <v>6721</v>
      </c>
      <c r="E4374" s="4">
        <v>0.0</v>
      </c>
      <c r="F4374" s="4">
        <v>23.0</v>
      </c>
      <c r="G4374" s="4" t="s">
        <v>6722</v>
      </c>
    </row>
    <row r="4375">
      <c r="A4375" s="1">
        <v>4373.0</v>
      </c>
      <c r="B4375" s="4" t="s">
        <v>6680</v>
      </c>
      <c r="C4375" s="5" t="str">
        <f>IFERROR(__xludf.DUMMYFUNCTION("GOOGLETRANSLATE(D:D,""auto"",""en"")"),"Hainan five people outside conceal history")</f>
        <v>Hainan five people outside conceal history</v>
      </c>
      <c r="D4375" s="4" t="s">
        <v>6723</v>
      </c>
      <c r="E4375" s="4">
        <v>0.0</v>
      </c>
      <c r="F4375" s="4">
        <v>24.0</v>
      </c>
      <c r="G4375" s="4" t="s">
        <v>6724</v>
      </c>
    </row>
    <row r="4376">
      <c r="A4376" s="1">
        <v>4374.0</v>
      </c>
      <c r="B4376" s="4" t="s">
        <v>6680</v>
      </c>
      <c r="C4376" s="5" t="str">
        <f>IFERROR(__xludf.DUMMYFUNCTION("GOOGLETRANSLATE(D:D,""auto"",""en"")"),"British Prime Minister advisor back door to escape")</f>
        <v>British Prime Minister advisor back door to escape</v>
      </c>
      <c r="D4376" s="4" t="s">
        <v>6725</v>
      </c>
      <c r="E4376" s="4">
        <v>0.0</v>
      </c>
      <c r="F4376" s="4">
        <v>25.0</v>
      </c>
      <c r="G4376" s="4" t="s">
        <v>6726</v>
      </c>
    </row>
    <row r="4377">
      <c r="A4377" s="1">
        <v>4375.0</v>
      </c>
      <c r="B4377" s="4" t="s">
        <v>6680</v>
      </c>
      <c r="C4377" s="5" t="str">
        <f>IFERROR(__xludf.DUMMYFUNCTION("GOOGLETRANSLATE(D:D,""auto"",""en"")"),"British Prime Minister screen name changed after diagnosis")</f>
        <v>British Prime Minister screen name changed after diagnosis</v>
      </c>
      <c r="D4377" s="4" t="s">
        <v>6727</v>
      </c>
      <c r="E4377" s="4">
        <v>0.0</v>
      </c>
      <c r="F4377" s="4">
        <v>26.0</v>
      </c>
      <c r="G4377" s="4" t="s">
        <v>6728</v>
      </c>
    </row>
    <row r="4378">
      <c r="A4378" s="1">
        <v>4376.0</v>
      </c>
      <c r="B4378" s="4" t="s">
        <v>6680</v>
      </c>
      <c r="C4378" s="5" t="str">
        <f>IFERROR(__xludf.DUMMYFUNCTION("GOOGLETRANSLATE(D:D,""auto"",""en"")"),"Jiangsu Emergency Response adjust")</f>
        <v>Jiangsu Emergency Response adjust</v>
      </c>
      <c r="D4378" s="4" t="s">
        <v>6729</v>
      </c>
      <c r="E4378" s="4">
        <v>0.0</v>
      </c>
      <c r="F4378" s="4">
        <v>27.0</v>
      </c>
      <c r="G4378" s="4" t="s">
        <v>6730</v>
      </c>
    </row>
    <row r="4379">
      <c r="A4379" s="1">
        <v>4377.0</v>
      </c>
      <c r="B4379" s="4" t="s">
        <v>6680</v>
      </c>
      <c r="C4379" s="5" t="str">
        <f>IFERROR(__xludf.DUMMYFUNCTION("GOOGLETRANSLATE(D:D,""auto"",""en"")"),"Jin 17-year-old student refused to isolation")</f>
        <v>Jin 17-year-old student refused to isolation</v>
      </c>
      <c r="D4379" s="4" t="s">
        <v>6731</v>
      </c>
      <c r="E4379" s="4">
        <v>0.0</v>
      </c>
      <c r="F4379" s="4">
        <v>28.0</v>
      </c>
      <c r="G4379" s="4" t="s">
        <v>6732</v>
      </c>
    </row>
    <row r="4380">
      <c r="A4380" s="1">
        <v>4378.0</v>
      </c>
      <c r="B4380" s="4" t="s">
        <v>6680</v>
      </c>
      <c r="C4380" s="5" t="str">
        <f>IFERROR(__xludf.DUMMYFUNCTION("GOOGLETRANSLATE(D:D,""auto"",""en"")"),"Goebel and Mitchell recovered")</f>
        <v>Goebel and Mitchell recovered</v>
      </c>
      <c r="D4380" s="4" t="s">
        <v>6733</v>
      </c>
      <c r="E4380" s="4">
        <v>0.0</v>
      </c>
      <c r="F4380" s="4">
        <v>29.0</v>
      </c>
      <c r="G4380" s="4" t="s">
        <v>6734</v>
      </c>
    </row>
    <row r="4381">
      <c r="A4381" s="1">
        <v>4379.0</v>
      </c>
      <c r="B4381" s="4" t="s">
        <v>6680</v>
      </c>
      <c r="C4381" s="5" t="str">
        <f>IFERROR(__xludf.DUMMYFUNCTION("GOOGLETRANSLATE(D:D,""auto"",""en"")"),"Rosamund Kwan and bald men walking")</f>
        <v>Rosamund Kwan and bald men walking</v>
      </c>
      <c r="D4381" s="4" t="s">
        <v>6735</v>
      </c>
      <c r="E4381" s="4">
        <v>0.0</v>
      </c>
      <c r="F4381" s="4">
        <v>30.0</v>
      </c>
      <c r="G4381" s="4" t="s">
        <v>6736</v>
      </c>
    </row>
    <row r="4382">
      <c r="A4382" s="1">
        <v>4380.0</v>
      </c>
      <c r="B4382" s="4" t="s">
        <v>6680</v>
      </c>
      <c r="C4382" s="5" t="str">
        <f>IFERROR(__xludf.DUMMYFUNCTION("GOOGLETRANSLATE(D:D,""auto"",""en"")"),"Eiffel Tower to say thank you")</f>
        <v>Eiffel Tower to say thank you</v>
      </c>
      <c r="D4382" s="4" t="s">
        <v>6737</v>
      </c>
      <c r="E4382" s="4">
        <v>0.0</v>
      </c>
      <c r="F4382" s="4">
        <v>31.0</v>
      </c>
      <c r="G4382" s="4" t="s">
        <v>6738</v>
      </c>
    </row>
    <row r="4383">
      <c r="A4383" s="1">
        <v>4381.0</v>
      </c>
      <c r="B4383" s="4" t="s">
        <v>6680</v>
      </c>
      <c r="C4383" s="5" t="str">
        <f>IFERROR(__xludf.DUMMYFUNCTION("GOOGLETRANSLATE(D:D,""auto"",""en"")"),"Cambodia made the most stringent immigration order")</f>
        <v>Cambodia made the most stringent immigration order</v>
      </c>
      <c r="D4383" s="4" t="s">
        <v>6739</v>
      </c>
      <c r="E4383" s="4">
        <v>0.0</v>
      </c>
      <c r="F4383" s="4">
        <v>32.0</v>
      </c>
      <c r="G4383" s="4" t="s">
        <v>6740</v>
      </c>
    </row>
    <row r="4384">
      <c r="A4384" s="1">
        <v>4382.0</v>
      </c>
      <c r="B4384" s="4" t="s">
        <v>6680</v>
      </c>
      <c r="C4384" s="5" t="str">
        <f>IFERROR(__xludf.DUMMYFUNCTION("GOOGLETRANSLATE(D:D,""auto"",""en"")"),"United States given emergency plan")</f>
        <v>United States given emergency plan</v>
      </c>
      <c r="D4384" s="4" t="s">
        <v>6741</v>
      </c>
      <c r="E4384" s="4">
        <v>0.0</v>
      </c>
      <c r="F4384" s="4">
        <v>33.0</v>
      </c>
      <c r="G4384" s="4" t="s">
        <v>6742</v>
      </c>
    </row>
    <row r="4385">
      <c r="A4385" s="1">
        <v>4383.0</v>
      </c>
      <c r="B4385" s="4" t="s">
        <v>6680</v>
      </c>
      <c r="C4385" s="5" t="str">
        <f>IFERROR(__xludf.DUMMYFUNCTION("GOOGLETRANSLATE(D:D,""auto"",""en"")"),"Trump talk about the United States re-opened")</f>
        <v>Trump talk about the United States re-opened</v>
      </c>
      <c r="D4385" s="4" t="s">
        <v>6670</v>
      </c>
      <c r="E4385" s="4">
        <v>0.0</v>
      </c>
      <c r="F4385" s="4">
        <v>34.0</v>
      </c>
      <c r="G4385" s="4" t="s">
        <v>6671</v>
      </c>
    </row>
    <row r="4386">
      <c r="A4386" s="1">
        <v>4384.0</v>
      </c>
      <c r="B4386" s="4" t="s">
        <v>6680</v>
      </c>
      <c r="C4386" s="5" t="str">
        <f>IFERROR(__xludf.DUMMYFUNCTION("GOOGLETRANSLATE(D:D,""auto"",""en"")"),"Hubei and Jiangxi provincial boundary conflict")</f>
        <v>Hubei and Jiangxi provincial boundary conflict</v>
      </c>
      <c r="D4386" s="4" t="s">
        <v>6634</v>
      </c>
      <c r="E4386" s="4">
        <v>0.0</v>
      </c>
      <c r="F4386" s="4">
        <v>35.0</v>
      </c>
      <c r="G4386" s="4" t="s">
        <v>6635</v>
      </c>
    </row>
    <row r="4387">
      <c r="A4387" s="1">
        <v>4385.0</v>
      </c>
      <c r="B4387" s="4" t="s">
        <v>6680</v>
      </c>
      <c r="C4387" s="5" t="str">
        <f>IFERROR(__xludf.DUMMYFUNCTION("GOOGLETRANSLATE(D:D,""auto"",""en"")"),"According to Lin Xie second child was born")</f>
        <v>According to Lin Xie second child was born</v>
      </c>
      <c r="D4387" s="4" t="s">
        <v>6678</v>
      </c>
      <c r="E4387" s="4">
        <v>0.0</v>
      </c>
      <c r="F4387" s="4">
        <v>36.0</v>
      </c>
      <c r="G4387" s="4" t="s">
        <v>6679</v>
      </c>
    </row>
    <row r="4388">
      <c r="A4388" s="1">
        <v>4386.0</v>
      </c>
      <c r="B4388" s="4" t="s">
        <v>6680</v>
      </c>
      <c r="C4388" s="5" t="str">
        <f>IFERROR(__xludf.DUMMYFUNCTION("GOOGLETRANSLATE(D:D,""auto"",""en"")"),"57 Li Lingyu makeup photos")</f>
        <v>57 Li Lingyu makeup photos</v>
      </c>
      <c r="D4388" s="4" t="s">
        <v>6743</v>
      </c>
      <c r="E4388" s="4">
        <v>0.0</v>
      </c>
      <c r="F4388" s="4">
        <v>37.0</v>
      </c>
      <c r="G4388" s="4" t="s">
        <v>6744</v>
      </c>
    </row>
    <row r="4389">
      <c r="A4389" s="1">
        <v>4387.0</v>
      </c>
      <c r="B4389" s="4" t="s">
        <v>6680</v>
      </c>
      <c r="C4389" s="5" t="str">
        <f>IFERROR(__xludf.DUMMYFUNCTION("GOOGLETRANSLATE(D:D,""auto"",""en"")"),"US expert Zhong Nanshan connection")</f>
        <v>US expert Zhong Nanshan connection</v>
      </c>
      <c r="D4389" s="4" t="s">
        <v>6745</v>
      </c>
      <c r="E4389" s="4">
        <v>0.0</v>
      </c>
      <c r="F4389" s="4">
        <v>38.0</v>
      </c>
      <c r="G4389" s="4" t="s">
        <v>6746</v>
      </c>
    </row>
    <row r="4390">
      <c r="A4390" s="1">
        <v>4388.0</v>
      </c>
      <c r="B4390" s="4" t="s">
        <v>6680</v>
      </c>
      <c r="C4390" s="5" t="str">
        <f>IFERROR(__xludf.DUMMYFUNCTION("GOOGLETRANSLATE(D:D,""auto"",""en"")"),"Hong Kong's new single-day record")</f>
        <v>Hong Kong's new single-day record</v>
      </c>
      <c r="D4390" s="4" t="s">
        <v>6747</v>
      </c>
      <c r="E4390" s="4">
        <v>0.0</v>
      </c>
      <c r="F4390" s="4">
        <v>39.0</v>
      </c>
      <c r="G4390" s="4" t="s">
        <v>6748</v>
      </c>
    </row>
    <row r="4391">
      <c r="A4391" s="1">
        <v>4389.0</v>
      </c>
      <c r="B4391" s="4" t="s">
        <v>6680</v>
      </c>
      <c r="C4391" s="5" t="str">
        <f>IFERROR(__xludf.DUMMYFUNCTION("GOOGLETRANSLATE(D:D,""auto"",""en"")"),"James had saved Anthony")</f>
        <v>James had saved Anthony</v>
      </c>
      <c r="D4391" s="4" t="s">
        <v>6749</v>
      </c>
      <c r="E4391" s="4">
        <v>0.0</v>
      </c>
      <c r="F4391" s="4">
        <v>40.0</v>
      </c>
      <c r="G4391" s="4" t="s">
        <v>6750</v>
      </c>
    </row>
    <row r="4392">
      <c r="A4392" s="1">
        <v>4390.0</v>
      </c>
      <c r="B4392" s="4" t="s">
        <v>6680</v>
      </c>
      <c r="C4392" s="5" t="str">
        <f>IFERROR(__xludf.DUMMYFUNCTION("GOOGLETRANSLATE(D:D,""auto"",""en"")"),"Lang Lang couple to return home")</f>
        <v>Lang Lang couple to return home</v>
      </c>
      <c r="D4392" s="4" t="s">
        <v>6751</v>
      </c>
      <c r="E4392" s="4">
        <v>0.0</v>
      </c>
      <c r="F4392" s="4">
        <v>41.0</v>
      </c>
      <c r="G4392" s="4" t="s">
        <v>6752</v>
      </c>
    </row>
    <row r="4393">
      <c r="A4393" s="1">
        <v>4391.0</v>
      </c>
      <c r="B4393" s="4" t="s">
        <v>6680</v>
      </c>
      <c r="C4393" s="5" t="str">
        <f>IFERROR(__xludf.DUMMYFUNCTION("GOOGLETRANSLATE(D:D,""auto"",""en"")"),"31 provinces, municipalities, new 54 cases")</f>
        <v>31 provinces, municipalities, new 54 cases</v>
      </c>
      <c r="D4393" s="4" t="s">
        <v>6753</v>
      </c>
      <c r="E4393" s="4">
        <v>0.0</v>
      </c>
      <c r="F4393" s="4">
        <v>42.0</v>
      </c>
      <c r="G4393" s="4" t="s">
        <v>6754</v>
      </c>
    </row>
    <row r="4394">
      <c r="A4394" s="1">
        <v>4392.0</v>
      </c>
      <c r="B4394" s="4" t="s">
        <v>6680</v>
      </c>
      <c r="C4394" s="5" t="str">
        <f>IFERROR(__xludf.DUMMYFUNCTION("GOOGLETRANSLATE(D:D,""auto"",""en"")"),"Multinational troops from Iraq")</f>
        <v>Multinational troops from Iraq</v>
      </c>
      <c r="D4394" s="4" t="s">
        <v>6755</v>
      </c>
      <c r="E4394" s="4">
        <v>0.0</v>
      </c>
      <c r="F4394" s="4">
        <v>43.0</v>
      </c>
      <c r="G4394" s="4" t="s">
        <v>6756</v>
      </c>
    </row>
    <row r="4395">
      <c r="A4395" s="1">
        <v>4393.0</v>
      </c>
      <c r="B4395" s="4" t="s">
        <v>6680</v>
      </c>
      <c r="C4395" s="5" t="str">
        <f>IFERROR(__xludf.DUMMYFUNCTION("GOOGLETRANSLATE(D:D,""auto"",""en"")"),"British Prime Minister confirmed the new crown")</f>
        <v>British Prime Minister confirmed the new crown</v>
      </c>
      <c r="D4395" s="4" t="s">
        <v>6628</v>
      </c>
      <c r="E4395" s="4">
        <v>0.0</v>
      </c>
      <c r="F4395" s="4">
        <v>44.0</v>
      </c>
      <c r="G4395" s="4" t="s">
        <v>6629</v>
      </c>
    </row>
    <row r="4396">
      <c r="A4396" s="1">
        <v>4394.0</v>
      </c>
      <c r="B4396" s="4" t="s">
        <v>6680</v>
      </c>
      <c r="C4396" s="5" t="str">
        <f>IFERROR(__xludf.DUMMYFUNCTION("GOOGLETRANSLATE(D:D,""auto"",""en"")"),"Spain nearly healthcare infection")</f>
        <v>Spain nearly healthcare infection</v>
      </c>
      <c r="D4396" s="4" t="s">
        <v>6676</v>
      </c>
      <c r="E4396" s="4">
        <v>0.0</v>
      </c>
      <c r="F4396" s="4">
        <v>45.0</v>
      </c>
      <c r="G4396" s="4" t="s">
        <v>6677</v>
      </c>
    </row>
    <row r="4397">
      <c r="A4397" s="1">
        <v>4395.0</v>
      </c>
      <c r="B4397" s="4" t="s">
        <v>6680</v>
      </c>
      <c r="C4397" s="5" t="str">
        <f>IFERROR(__xludf.DUMMYFUNCTION("GOOGLETRANSLATE(D:D,""auto"",""en"")"),"Really making a serious epidemic in New York")</f>
        <v>Really making a serious epidemic in New York</v>
      </c>
      <c r="D4397" s="4" t="s">
        <v>6757</v>
      </c>
      <c r="E4397" s="4">
        <v>0.0</v>
      </c>
      <c r="F4397" s="4">
        <v>46.0</v>
      </c>
      <c r="G4397" s="4" t="s">
        <v>6758</v>
      </c>
    </row>
    <row r="4398">
      <c r="A4398" s="1">
        <v>4396.0</v>
      </c>
      <c r="B4398" s="4" t="s">
        <v>6680</v>
      </c>
      <c r="C4398" s="5" t="str">
        <f>IFERROR(__xludf.DUMMYFUNCTION("GOOGLETRANSLATE(D:D,""auto"",""en"")"),"Shenyang by one case of foreign input")</f>
        <v>Shenyang by one case of foreign input</v>
      </c>
      <c r="D4398" s="4" t="s">
        <v>6759</v>
      </c>
      <c r="E4398" s="4">
        <v>0.0</v>
      </c>
      <c r="F4398" s="4">
        <v>47.0</v>
      </c>
      <c r="G4398" s="4" t="s">
        <v>6760</v>
      </c>
    </row>
    <row r="4399">
      <c r="A4399" s="1">
        <v>4397.0</v>
      </c>
      <c r="B4399" s="4" t="s">
        <v>6680</v>
      </c>
      <c r="C4399" s="5" t="str">
        <f>IFERROR(__xludf.DUMMYFUNCTION("GOOGLETRANSLATE(D:D,""auto"",""en"")"),"Los Angeles will be the next New York")</f>
        <v>Los Angeles will be the next New York</v>
      </c>
      <c r="D4399" s="4" t="s">
        <v>6761</v>
      </c>
      <c r="E4399" s="4">
        <v>0.0</v>
      </c>
      <c r="F4399" s="4">
        <v>48.0</v>
      </c>
      <c r="G4399" s="4" t="s">
        <v>6762</v>
      </c>
    </row>
    <row r="4400">
      <c r="A4400" s="1">
        <v>4398.0</v>
      </c>
      <c r="B4400" s="4" t="s">
        <v>6680</v>
      </c>
      <c r="C4400" s="5" t="str">
        <f>IFERROR(__xludf.DUMMYFUNCTION("GOOGLETRANSLATE(D:D,""auto"",""en"")"),"National theater temporarily resume business")</f>
        <v>National theater temporarily resume business</v>
      </c>
      <c r="D4400" s="4" t="s">
        <v>6672</v>
      </c>
      <c r="E4400" s="4">
        <v>0.0</v>
      </c>
      <c r="F4400" s="4">
        <v>49.0</v>
      </c>
      <c r="G4400" s="4" t="s">
        <v>6673</v>
      </c>
    </row>
    <row r="4401">
      <c r="A4401" s="1">
        <v>4399.0</v>
      </c>
      <c r="B4401" s="4" t="s">
        <v>6680</v>
      </c>
      <c r="C4401" s="5" t="str">
        <f>IFERROR(__xludf.DUMMYFUNCTION("GOOGLETRANSLATE(D:D,""auto"",""en"")"),"Net exposure Fan Bingbing House demolished")</f>
        <v>Net exposure Fan Bingbing House demolished</v>
      </c>
      <c r="D4401" s="4" t="s">
        <v>6763</v>
      </c>
      <c r="E4401" s="4">
        <v>0.0</v>
      </c>
      <c r="F4401" s="4">
        <v>50.0</v>
      </c>
      <c r="G4401" s="4" t="s">
        <v>6764</v>
      </c>
    </row>
    <row r="4402">
      <c r="A4402" s="1">
        <v>4400.0</v>
      </c>
      <c r="B4402" s="4" t="s">
        <v>6765</v>
      </c>
      <c r="C4402" s="5" t="str">
        <f>IFERROR(__xludf.DUMMYFUNCTION("GOOGLETRANSLATE(D:D,""auto"",""en"")"),"France ordered masks to China")</f>
        <v>France ordered masks to China</v>
      </c>
      <c r="D4402" s="4" t="s">
        <v>6766</v>
      </c>
      <c r="E4402" s="4">
        <v>0.0</v>
      </c>
      <c r="F4402" s="4">
        <v>1.0</v>
      </c>
      <c r="G4402" s="4" t="s">
        <v>6767</v>
      </c>
    </row>
    <row r="4403">
      <c r="A4403" s="1">
        <v>4401.0</v>
      </c>
      <c r="B4403" s="4" t="s">
        <v>6765</v>
      </c>
      <c r="C4403" s="5" t="str">
        <f>IFERROR(__xludf.DUMMYFUNCTION("GOOGLETRANSLATE(D:D,""auto"",""en"")"),"Cambodia made the most stringent immigration order")</f>
        <v>Cambodia made the most stringent immigration order</v>
      </c>
      <c r="D4403" s="4" t="s">
        <v>6739</v>
      </c>
      <c r="E4403" s="4">
        <v>0.0</v>
      </c>
      <c r="F4403" s="4">
        <v>2.0</v>
      </c>
      <c r="G4403" s="4" t="s">
        <v>6740</v>
      </c>
    </row>
    <row r="4404">
      <c r="A4404" s="1">
        <v>4402.0</v>
      </c>
      <c r="B4404" s="4" t="s">
        <v>6765</v>
      </c>
      <c r="C4404" s="5" t="str">
        <f>IFERROR(__xludf.DUMMYFUNCTION("GOOGLETRANSLATE(D:D,""auto"",""en"")"),"Iceland is now co-infected persons")</f>
        <v>Iceland is now co-infected persons</v>
      </c>
      <c r="D4404" s="4" t="s">
        <v>6711</v>
      </c>
      <c r="E4404" s="4">
        <v>0.0</v>
      </c>
      <c r="F4404" s="4">
        <v>3.0</v>
      </c>
      <c r="G4404" s="4" t="s">
        <v>6712</v>
      </c>
    </row>
    <row r="4405">
      <c r="A4405" s="1">
        <v>4403.0</v>
      </c>
      <c r="B4405" s="4" t="s">
        <v>6765</v>
      </c>
      <c r="C4405" s="5" t="str">
        <f>IFERROR(__xludf.DUMMYFUNCTION("GOOGLETRANSLATE(D:D,""auto"",""en"")"),"Guo Xiaoting was room for the utterance N")</f>
        <v>Guo Xiaoting was room for the utterance N</v>
      </c>
      <c r="D4405" s="4" t="s">
        <v>6768</v>
      </c>
      <c r="E4405" s="4">
        <v>0.0</v>
      </c>
      <c r="F4405" s="4">
        <v>4.0</v>
      </c>
      <c r="G4405" s="4" t="s">
        <v>6769</v>
      </c>
    </row>
    <row r="4406">
      <c r="A4406" s="1">
        <v>4404.0</v>
      </c>
      <c r="B4406" s="4" t="s">
        <v>6765</v>
      </c>
      <c r="C4406" s="5" t="str">
        <f>IFERROR(__xludf.DUMMYFUNCTION("GOOGLETRANSLATE(D:D,""auto"",""en"")"),"United States given emergency plan")</f>
        <v>United States given emergency plan</v>
      </c>
      <c r="D4406" s="4" t="s">
        <v>6741</v>
      </c>
      <c r="E4406" s="4">
        <v>0.0</v>
      </c>
      <c r="F4406" s="4">
        <v>5.0</v>
      </c>
      <c r="G4406" s="4" t="s">
        <v>6742</v>
      </c>
    </row>
    <row r="4407">
      <c r="A4407" s="1">
        <v>4405.0</v>
      </c>
      <c r="B4407" s="4" t="s">
        <v>6765</v>
      </c>
      <c r="C4407" s="5" t="str">
        <f>IFERROR(__xludf.DUMMYFUNCTION("GOOGLETRANSLATE(D:D,""auto"",""en"")"),"US studying Chinese experience in the fight against SARS")</f>
        <v>US studying Chinese experience in the fight against SARS</v>
      </c>
      <c r="D4407" s="4" t="s">
        <v>6770</v>
      </c>
      <c r="E4407" s="4">
        <v>0.0</v>
      </c>
      <c r="F4407" s="4">
        <v>6.0</v>
      </c>
      <c r="G4407" s="4" t="s">
        <v>6771</v>
      </c>
    </row>
    <row r="4408">
      <c r="A4408" s="1">
        <v>4406.0</v>
      </c>
      <c r="B4408" s="4" t="s">
        <v>6765</v>
      </c>
      <c r="C4408" s="5" t="str">
        <f>IFERROR(__xludf.DUMMYFUNCTION("GOOGLETRANSLATE(D:D,""auto"",""en"")"),"31 provinces added 45 cases")</f>
        <v>31 provinces added 45 cases</v>
      </c>
      <c r="D4408" s="4" t="s">
        <v>6772</v>
      </c>
      <c r="E4408" s="4">
        <v>0.0</v>
      </c>
      <c r="F4408" s="4">
        <v>7.0</v>
      </c>
      <c r="G4408" s="4" t="s">
        <v>6773</v>
      </c>
    </row>
    <row r="4409">
      <c r="A4409" s="1">
        <v>4407.0</v>
      </c>
      <c r="B4409" s="4" t="s">
        <v>6765</v>
      </c>
      <c r="C4409" s="5" t="str">
        <f>IFERROR(__xludf.DUMMYFUNCTION("GOOGLETRANSLATE(D:D,""auto"",""en"")"),"Henan new local diagnosis")</f>
        <v>Henan new local diagnosis</v>
      </c>
      <c r="D4409" s="4" t="s">
        <v>6774</v>
      </c>
      <c r="E4409" s="4">
        <v>0.0</v>
      </c>
      <c r="F4409" s="4">
        <v>8.0</v>
      </c>
      <c r="G4409" s="4" t="s">
        <v>6775</v>
      </c>
    </row>
    <row r="4410">
      <c r="A4410" s="1">
        <v>4408.0</v>
      </c>
      <c r="B4410" s="4" t="s">
        <v>6765</v>
      </c>
      <c r="C4410" s="5" t="str">
        <f>IFERROR(__xludf.DUMMYFUNCTION("GOOGLETRANSLATE(D:D,""auto"",""en"")"),"Zhang Liang again suspected fake divorce")</f>
        <v>Zhang Liang again suspected fake divorce</v>
      </c>
      <c r="D4410" s="4" t="s">
        <v>6776</v>
      </c>
      <c r="E4410" s="4">
        <v>0.0</v>
      </c>
      <c r="F4410" s="4">
        <v>9.0</v>
      </c>
      <c r="G4410" s="4" t="s">
        <v>6777</v>
      </c>
    </row>
    <row r="4411">
      <c r="A4411" s="1">
        <v>4409.0</v>
      </c>
      <c r="B4411" s="4" t="s">
        <v>6765</v>
      </c>
      <c r="C4411" s="5" t="str">
        <f>IFERROR(__xludf.DUMMYFUNCTION("GOOGLETRANSLATE(D:D,""auto"",""en"")"),"China has entered the flood season")</f>
        <v>China has entered the flood season</v>
      </c>
      <c r="D4411" s="4" t="s">
        <v>6778</v>
      </c>
      <c r="E4411" s="4">
        <v>0.0</v>
      </c>
      <c r="F4411" s="4">
        <v>10.0</v>
      </c>
      <c r="G4411" s="4" t="s">
        <v>6779</v>
      </c>
    </row>
    <row r="4412">
      <c r="A4412" s="1">
        <v>4410.0</v>
      </c>
      <c r="B4412" s="4" t="s">
        <v>6765</v>
      </c>
      <c r="C4412" s="5" t="str">
        <f>IFERROR(__xludf.DUMMYFUNCTION("GOOGLETRANSLATE(D:D,""auto"",""en"")"),"Godfrey sun girlfriend photo")</f>
        <v>Godfrey sun girlfriend photo</v>
      </c>
      <c r="D4412" s="4" t="s">
        <v>6780</v>
      </c>
      <c r="E4412" s="4">
        <v>0.0</v>
      </c>
      <c r="F4412" s="4">
        <v>11.0</v>
      </c>
      <c r="G4412" s="4" t="s">
        <v>6781</v>
      </c>
    </row>
    <row r="4413">
      <c r="A4413" s="1">
        <v>4411.0</v>
      </c>
      <c r="B4413" s="4" t="s">
        <v>6765</v>
      </c>
      <c r="C4413" s="5" t="str">
        <f>IFERROR(__xludf.DUMMYFUNCTION("GOOGLETRANSLATE(D:D,""auto"",""en"")"),"Jia County now two cases of diagnosed patients")</f>
        <v>Jia County now two cases of diagnosed patients</v>
      </c>
      <c r="D4413" s="4" t="s">
        <v>6782</v>
      </c>
      <c r="E4413" s="4">
        <v>0.0</v>
      </c>
      <c r="F4413" s="4">
        <v>12.0</v>
      </c>
      <c r="G4413" s="4" t="s">
        <v>6783</v>
      </c>
    </row>
    <row r="4414">
      <c r="A4414" s="1">
        <v>4412.0</v>
      </c>
      <c r="B4414" s="4" t="s">
        <v>6765</v>
      </c>
      <c r="C4414" s="5" t="str">
        <f>IFERROR(__xludf.DUMMYFUNCTION("GOOGLETRANSLATE(D:D,""auto"",""en"")"),"Exposure Queen of England attendants infection")</f>
        <v>Exposure Queen of England attendants infection</v>
      </c>
      <c r="D4414" s="4" t="s">
        <v>6784</v>
      </c>
      <c r="E4414" s="4">
        <v>0.0</v>
      </c>
      <c r="F4414" s="4">
        <v>13.0</v>
      </c>
      <c r="G4414" s="4" t="s">
        <v>6785</v>
      </c>
    </row>
    <row r="4415">
      <c r="A4415" s="1">
        <v>4413.0</v>
      </c>
      <c r="B4415" s="4" t="s">
        <v>6765</v>
      </c>
      <c r="C4415" s="5" t="str">
        <f>IFERROR(__xludf.DUMMYFUNCTION("GOOGLETRANSLATE(D:D,""auto"",""en"")"),"60000 Wuhan home")</f>
        <v>60000 Wuhan home</v>
      </c>
      <c r="D4415" s="4" t="s">
        <v>6786</v>
      </c>
      <c r="E4415" s="4">
        <v>0.0</v>
      </c>
      <c r="F4415" s="4">
        <v>14.0</v>
      </c>
      <c r="G4415" s="4" t="s">
        <v>6787</v>
      </c>
    </row>
    <row r="4416">
      <c r="A4416" s="1">
        <v>4414.0</v>
      </c>
      <c r="B4416" s="4" t="s">
        <v>6765</v>
      </c>
      <c r="C4416" s="5" t="str">
        <f>IFERROR(__xludf.DUMMYFUNCTION("GOOGLETRANSLATE(D:D,""auto"",""en"")"),"The United Nations donated masks to the United States")</f>
        <v>The United Nations donated masks to the United States</v>
      </c>
      <c r="D4416" s="4" t="s">
        <v>6788</v>
      </c>
      <c r="E4416" s="4">
        <v>0.0</v>
      </c>
      <c r="F4416" s="4">
        <v>15.0</v>
      </c>
      <c r="G4416" s="4" t="s">
        <v>6789</v>
      </c>
    </row>
    <row r="4417">
      <c r="A4417" s="1">
        <v>4415.0</v>
      </c>
      <c r="B4417" s="4" t="s">
        <v>6765</v>
      </c>
      <c r="C4417" s="5" t="str">
        <f>IFERROR(__xludf.DUMMYFUNCTION("GOOGLETRANSLATE(D:D,""auto"",""en"")"),"US courier wiping saliva")</f>
        <v>US courier wiping saliva</v>
      </c>
      <c r="D4417" s="4" t="s">
        <v>6790</v>
      </c>
      <c r="E4417" s="4">
        <v>0.0</v>
      </c>
      <c r="F4417" s="4">
        <v>16.0</v>
      </c>
      <c r="G4417" s="4" t="s">
        <v>6791</v>
      </c>
    </row>
    <row r="4418">
      <c r="A4418" s="1">
        <v>4416.0</v>
      </c>
      <c r="B4418" s="4" t="s">
        <v>6765</v>
      </c>
      <c r="C4418" s="5" t="str">
        <f>IFERROR(__xludf.DUMMYFUNCTION("GOOGLETRANSLATE(D:D,""auto"",""en"")"),"On the New York governor forced isolation")</f>
        <v>On the New York governor forced isolation</v>
      </c>
      <c r="D4418" s="4" t="s">
        <v>6792</v>
      </c>
      <c r="E4418" s="4">
        <v>0.0</v>
      </c>
      <c r="F4418" s="4">
        <v>17.0</v>
      </c>
      <c r="G4418" s="4" t="s">
        <v>6793</v>
      </c>
    </row>
    <row r="4419">
      <c r="A4419" s="1">
        <v>4417.0</v>
      </c>
      <c r="B4419" s="4" t="s">
        <v>6765</v>
      </c>
      <c r="C4419" s="5" t="str">
        <f>IFERROR(__xludf.DUMMYFUNCTION("GOOGLETRANSLATE(D:D,""auto"",""en"")"),"Heilongjiang Yijuminlou explosion")</f>
        <v>Heilongjiang Yijuminlou explosion</v>
      </c>
      <c r="D4419" s="4" t="s">
        <v>6794</v>
      </c>
      <c r="E4419" s="4">
        <v>0.0</v>
      </c>
      <c r="F4419" s="4">
        <v>18.0</v>
      </c>
      <c r="G4419" s="4" t="s">
        <v>6795</v>
      </c>
    </row>
    <row r="4420">
      <c r="A4420" s="1">
        <v>4418.0</v>
      </c>
      <c r="B4420" s="4" t="s">
        <v>6765</v>
      </c>
      <c r="C4420" s="5" t="str">
        <f>IFERROR(__xludf.DUMMYFUNCTION("GOOGLETRANSLATE(D:D,""auto"",""en"")"),"Sun Yang appeal deadline extended")</f>
        <v>Sun Yang appeal deadline extended</v>
      </c>
      <c r="D4420" s="4" t="s">
        <v>6796</v>
      </c>
      <c r="E4420" s="4">
        <v>0.0</v>
      </c>
      <c r="F4420" s="4">
        <v>19.0</v>
      </c>
      <c r="G4420" s="4" t="s">
        <v>6797</v>
      </c>
    </row>
    <row r="4421">
      <c r="A4421" s="1">
        <v>4419.0</v>
      </c>
      <c r="B4421" s="4" t="s">
        <v>6765</v>
      </c>
      <c r="C4421" s="5" t="str">
        <f>IFERROR(__xludf.DUMMYFUNCTION("GOOGLETRANSLATE(D:D,""auto"",""en"")"),"Hong Kong media Pengci WHO")</f>
        <v>Hong Kong media Pengci WHO</v>
      </c>
      <c r="D4421" s="4" t="s">
        <v>6798</v>
      </c>
      <c r="E4421" s="4">
        <v>0.0</v>
      </c>
      <c r="F4421" s="4">
        <v>20.0</v>
      </c>
      <c r="G4421" s="4" t="s">
        <v>6799</v>
      </c>
    </row>
    <row r="4422">
      <c r="A4422" s="1">
        <v>4420.0</v>
      </c>
      <c r="B4422" s="4" t="s">
        <v>6765</v>
      </c>
      <c r="C4422" s="5" t="str">
        <f>IFERROR(__xludf.DUMMYFUNCTION("GOOGLETRANSLATE(D:D,""auto"",""en"")"),"Beijing Shunyi earthquake")</f>
        <v>Beijing Shunyi earthquake</v>
      </c>
      <c r="D4422" s="4" t="s">
        <v>6800</v>
      </c>
      <c r="E4422" s="4">
        <v>0.0</v>
      </c>
      <c r="F4422" s="4">
        <v>21.0</v>
      </c>
      <c r="G4422" s="4" t="s">
        <v>6801</v>
      </c>
    </row>
    <row r="4423">
      <c r="A4423" s="1">
        <v>4421.0</v>
      </c>
      <c r="B4423" s="4" t="s">
        <v>6765</v>
      </c>
      <c r="C4423" s="5" t="str">
        <f>IFERROR(__xludf.DUMMYFUNCTION("GOOGLETRANSLATE(D:D,""auto"",""en"")"),"Sichuan resumption of work halted entertainment")</f>
        <v>Sichuan resumption of work halted entertainment</v>
      </c>
      <c r="D4423" s="4" t="s">
        <v>6802</v>
      </c>
      <c r="E4423" s="4">
        <v>0.0</v>
      </c>
      <c r="F4423" s="4">
        <v>22.0</v>
      </c>
      <c r="G4423" s="4" t="s">
        <v>6803</v>
      </c>
    </row>
    <row r="4424">
      <c r="A4424" s="1">
        <v>4422.0</v>
      </c>
      <c r="B4424" s="4" t="s">
        <v>6765</v>
      </c>
      <c r="C4424" s="5" t="str">
        <f>IFERROR(__xludf.DUMMYFUNCTION("GOOGLETRANSLATE(D:D,""auto"",""en"")"),"Shijiazhuang adjustment maternity leave policy")</f>
        <v>Shijiazhuang adjustment maternity leave policy</v>
      </c>
      <c r="D4424" s="4" t="s">
        <v>6804</v>
      </c>
      <c r="E4424" s="4">
        <v>0.0</v>
      </c>
      <c r="F4424" s="4">
        <v>23.0</v>
      </c>
      <c r="G4424" s="4" t="s">
        <v>6805</v>
      </c>
    </row>
    <row r="4425">
      <c r="A4425" s="1">
        <v>4423.0</v>
      </c>
      <c r="B4425" s="4" t="s">
        <v>6765</v>
      </c>
      <c r="C4425" s="5" t="str">
        <f>IFERROR(__xludf.DUMMYFUNCTION("GOOGLETRANSLATE(D:D,""auto"",""en"")"),"Ai Li Xin Tang Yan twins exposure")</f>
        <v>Ai Li Xin Tang Yan twins exposure</v>
      </c>
      <c r="D4425" s="4" t="s">
        <v>6806</v>
      </c>
      <c r="E4425" s="4">
        <v>0.0</v>
      </c>
      <c r="F4425" s="4">
        <v>24.0</v>
      </c>
      <c r="G4425" s="4" t="s">
        <v>6807</v>
      </c>
    </row>
    <row r="4426">
      <c r="A4426" s="1">
        <v>4424.0</v>
      </c>
      <c r="B4426" s="4" t="s">
        <v>6765</v>
      </c>
      <c r="C4426" s="5" t="str">
        <f>IFERROR(__xludf.DUMMYFUNCTION("GOOGLETRANSLATE(D:D,""auto"",""en"")"),"Global rush to buy China ventilator")</f>
        <v>Global rush to buy China ventilator</v>
      </c>
      <c r="D4426" s="4" t="s">
        <v>6808</v>
      </c>
      <c r="E4426" s="4">
        <v>0.0</v>
      </c>
      <c r="F4426" s="4">
        <v>25.0</v>
      </c>
      <c r="G4426" s="4" t="s">
        <v>6809</v>
      </c>
    </row>
    <row r="4427">
      <c r="A4427" s="1">
        <v>4425.0</v>
      </c>
      <c r="B4427" s="4" t="s">
        <v>6765</v>
      </c>
      <c r="C4427" s="5" t="str">
        <f>IFERROR(__xludf.DUMMYFUNCTION("GOOGLETRANSLATE(D:D,""auto"",""en"")"),"13 foreigners climb into Guangxi")</f>
        <v>13 foreigners climb into Guangxi</v>
      </c>
      <c r="D4427" s="4" t="s">
        <v>6810</v>
      </c>
      <c r="E4427" s="4">
        <v>0.0</v>
      </c>
      <c r="F4427" s="4">
        <v>26.0</v>
      </c>
      <c r="G4427" s="4" t="s">
        <v>6811</v>
      </c>
    </row>
    <row r="4428">
      <c r="A4428" s="1">
        <v>4426.0</v>
      </c>
      <c r="B4428" s="4" t="s">
        <v>6765</v>
      </c>
      <c r="C4428" s="5" t="str">
        <f>IFERROR(__xludf.DUMMYFUNCTION("GOOGLETRANSLATE(D:D,""auto"",""en"")"),"Hong Kong community transmission of the virus now")</f>
        <v>Hong Kong community transmission of the virus now</v>
      </c>
      <c r="D4428" s="4" t="s">
        <v>6812</v>
      </c>
      <c r="E4428" s="4">
        <v>0.0</v>
      </c>
      <c r="F4428" s="4">
        <v>27.0</v>
      </c>
      <c r="G4428" s="4" t="s">
        <v>6813</v>
      </c>
    </row>
    <row r="4429">
      <c r="A4429" s="1">
        <v>4427.0</v>
      </c>
      <c r="B4429" s="4" t="s">
        <v>6765</v>
      </c>
      <c r="C4429" s="5" t="str">
        <f>IFERROR(__xludf.DUMMYFUNCTION("GOOGLETRANSLATE(D:D,""auto"",""en"")"),"RNG2-1 beat EDG")</f>
        <v>RNG2-1 beat EDG</v>
      </c>
      <c r="D4429" s="4" t="s">
        <v>6814</v>
      </c>
      <c r="E4429" s="4">
        <v>0.0</v>
      </c>
      <c r="F4429" s="4">
        <v>28.0</v>
      </c>
      <c r="G4429" s="4" t="s">
        <v>6815</v>
      </c>
    </row>
    <row r="4430">
      <c r="A4430" s="1">
        <v>4428.0</v>
      </c>
      <c r="B4430" s="4" t="s">
        <v>6765</v>
      </c>
      <c r="C4430" s="5" t="str">
        <f>IFERROR(__xludf.DUMMYFUNCTION("GOOGLETRANSLATE(D:D,""auto"",""en"")"),"Hubei, Gansu increase of imported cases")</f>
        <v>Hubei, Gansu increase of imported cases</v>
      </c>
      <c r="D4430" s="4" t="s">
        <v>6816</v>
      </c>
      <c r="E4430" s="4">
        <v>0.0</v>
      </c>
      <c r="F4430" s="4">
        <v>29.0</v>
      </c>
      <c r="G4430" s="4" t="s">
        <v>6817</v>
      </c>
    </row>
    <row r="4431">
      <c r="A4431" s="1">
        <v>4429.0</v>
      </c>
      <c r="B4431" s="4" t="s">
        <v>6765</v>
      </c>
      <c r="C4431" s="5" t="str">
        <f>IFERROR(__xludf.DUMMYFUNCTION("GOOGLETRANSLATE(D:D,""auto"",""en"")"),"Origin of the virus, or more complex")</f>
        <v>Origin of the virus, or more complex</v>
      </c>
      <c r="D4431" s="4" t="s">
        <v>6818</v>
      </c>
      <c r="E4431" s="4">
        <v>0.0</v>
      </c>
      <c r="F4431" s="4">
        <v>30.0</v>
      </c>
      <c r="G4431" s="4" t="s">
        <v>6819</v>
      </c>
    </row>
    <row r="4432">
      <c r="A4432" s="1">
        <v>4430.0</v>
      </c>
      <c r="B4432" s="4" t="s">
        <v>6765</v>
      </c>
      <c r="C4432" s="5" t="str">
        <f>IFERROR(__xludf.DUMMYFUNCTION("GOOGLETRANSLATE(D:D,""auto"",""en"")"),"Trump farewell hospital ship")</f>
        <v>Trump farewell hospital ship</v>
      </c>
      <c r="D4432" s="4" t="s">
        <v>6820</v>
      </c>
      <c r="E4432" s="4">
        <v>0.0</v>
      </c>
      <c r="F4432" s="4">
        <v>31.0</v>
      </c>
      <c r="G4432" s="4" t="s">
        <v>6821</v>
      </c>
    </row>
    <row r="4433">
      <c r="A4433" s="1">
        <v>4431.0</v>
      </c>
      <c r="B4433" s="4" t="s">
        <v>6765</v>
      </c>
      <c r="C4433" s="5" t="str">
        <f>IFERROR(__xludf.DUMMYFUNCTION("GOOGLETRANSLATE(D:D,""auto"",""en"")"),"Abe responded to conceal the epidemic")</f>
        <v>Abe responded to conceal the epidemic</v>
      </c>
      <c r="D4433" s="4" t="s">
        <v>6822</v>
      </c>
      <c r="E4433" s="4">
        <v>0.0</v>
      </c>
      <c r="F4433" s="4">
        <v>32.0</v>
      </c>
      <c r="G4433" s="4" t="s">
        <v>6823</v>
      </c>
    </row>
    <row r="4434">
      <c r="A4434" s="1">
        <v>4432.0</v>
      </c>
      <c r="B4434" s="4" t="s">
        <v>6765</v>
      </c>
      <c r="C4434" s="5" t="str">
        <f>IFERROR(__xludf.DUMMYFUNCTION("GOOGLETRANSLATE(D:D,""auto"",""en"")"),"Scientists talk about the source of the virus")</f>
        <v>Scientists talk about the source of the virus</v>
      </c>
      <c r="D4434" s="4" t="s">
        <v>6824</v>
      </c>
      <c r="E4434" s="4">
        <v>0.0</v>
      </c>
      <c r="F4434" s="4">
        <v>33.0</v>
      </c>
      <c r="G4434" s="4" t="s">
        <v>6825</v>
      </c>
    </row>
    <row r="4435">
      <c r="A4435" s="1">
        <v>4433.0</v>
      </c>
      <c r="B4435" s="4" t="s">
        <v>6765</v>
      </c>
      <c r="C4435" s="5" t="str">
        <f>IFERROR(__xludf.DUMMYFUNCTION("GOOGLETRANSLATE(D:D,""auto"",""en"")"),"Tom Hanks sound back hair")</f>
        <v>Tom Hanks sound back hair</v>
      </c>
      <c r="D4435" s="4" t="s">
        <v>6826</v>
      </c>
      <c r="E4435" s="4">
        <v>0.0</v>
      </c>
      <c r="F4435" s="4">
        <v>34.0</v>
      </c>
      <c r="G4435" s="4" t="s">
        <v>6827</v>
      </c>
    </row>
    <row r="4436">
      <c r="A4436" s="1">
        <v>4434.0</v>
      </c>
      <c r="B4436" s="4" t="s">
        <v>6765</v>
      </c>
      <c r="C4436" s="5" t="str">
        <f>IFERROR(__xludf.DUMMYFUNCTION("GOOGLETRANSLATE(D:D,""auto"",""en"")"),"Heard an explosion in the Saudi capital")</f>
        <v>Heard an explosion in the Saudi capital</v>
      </c>
      <c r="D4436" s="4" t="s">
        <v>6828</v>
      </c>
      <c r="E4436" s="4">
        <v>0.0</v>
      </c>
      <c r="F4436" s="4">
        <v>35.0</v>
      </c>
      <c r="G4436" s="4" t="s">
        <v>6829</v>
      </c>
    </row>
    <row r="4437">
      <c r="A4437" s="1">
        <v>4435.0</v>
      </c>
      <c r="B4437" s="4" t="s">
        <v>6765</v>
      </c>
      <c r="C4437" s="5" t="str">
        <f>IFERROR(__xludf.DUMMYFUNCTION("GOOGLETRANSLATE(D:D,""auto"",""en"")"),"Foreign media exposure of the US economy stagnant")</f>
        <v>Foreign media exposure of the US economy stagnant</v>
      </c>
      <c r="D4437" s="4" t="s">
        <v>6830</v>
      </c>
      <c r="E4437" s="4">
        <v>0.0</v>
      </c>
      <c r="F4437" s="4">
        <v>36.0</v>
      </c>
      <c r="G4437" s="4" t="s">
        <v>6831</v>
      </c>
    </row>
    <row r="4438">
      <c r="A4438" s="1">
        <v>4436.0</v>
      </c>
      <c r="B4438" s="4" t="s">
        <v>6765</v>
      </c>
      <c r="C4438" s="5" t="str">
        <f>IFERROR(__xludf.DUMMYFUNCTION("GOOGLETRANSLATE(D:D,""auto"",""en"")"),"Sun Yang whether to appeal no audio")</f>
        <v>Sun Yang whether to appeal no audio</v>
      </c>
      <c r="D4438" s="4" t="s">
        <v>6832</v>
      </c>
      <c r="E4438" s="4">
        <v>0.0</v>
      </c>
      <c r="F4438" s="4">
        <v>37.0</v>
      </c>
      <c r="G4438" s="4" t="s">
        <v>6833</v>
      </c>
    </row>
    <row r="4439">
      <c r="A4439" s="1">
        <v>4437.0</v>
      </c>
      <c r="B4439" s="4" t="s">
        <v>6765</v>
      </c>
      <c r="C4439" s="5" t="str">
        <f>IFERROR(__xludf.DUMMYFUNCTION("GOOGLETRANSLATE(D:D,""auto"",""en"")"),"Luohe new patients starting sound")</f>
        <v>Luohe new patients starting sound</v>
      </c>
      <c r="D4439" s="4" t="s">
        <v>6834</v>
      </c>
      <c r="E4439" s="4">
        <v>0.0</v>
      </c>
      <c r="F4439" s="4">
        <v>38.0</v>
      </c>
      <c r="G4439" s="4" t="s">
        <v>6835</v>
      </c>
    </row>
    <row r="4440">
      <c r="A4440" s="1">
        <v>4438.0</v>
      </c>
      <c r="B4440" s="4" t="s">
        <v>6765</v>
      </c>
      <c r="C4440" s="5" t="str">
        <f>IFERROR(__xludf.DUMMYFUNCTION("GOOGLETRANSLATE(D:D,""auto"",""en"")"),"Spain epidemic prevention and control upgrade")</f>
        <v>Spain epidemic prevention and control upgrade</v>
      </c>
      <c r="D4440" s="4" t="s">
        <v>6836</v>
      </c>
      <c r="E4440" s="4">
        <v>0.0</v>
      </c>
      <c r="F4440" s="4">
        <v>39.0</v>
      </c>
      <c r="G4440" s="4" t="s">
        <v>6837</v>
      </c>
    </row>
    <row r="4441">
      <c r="A4441" s="1">
        <v>4439.0</v>
      </c>
      <c r="B4441" s="4" t="s">
        <v>6765</v>
      </c>
      <c r="C4441" s="5" t="str">
        <f>IFERROR(__xludf.DUMMYFUNCTION("GOOGLETRANSLATE(D:D,""auto"",""en"")"),"Governor of Hubei Wuhan station to pick")</f>
        <v>Governor of Hubei Wuhan station to pick</v>
      </c>
      <c r="D4441" s="4" t="s">
        <v>6709</v>
      </c>
      <c r="E4441" s="4">
        <v>0.0</v>
      </c>
      <c r="F4441" s="4">
        <v>40.0</v>
      </c>
      <c r="G4441" s="4" t="s">
        <v>6710</v>
      </c>
    </row>
    <row r="4442">
      <c r="A4442" s="1">
        <v>4440.0</v>
      </c>
      <c r="B4442" s="4" t="s">
        <v>6765</v>
      </c>
      <c r="C4442" s="5" t="str">
        <f>IFERROR(__xludf.DUMMYFUNCTION("GOOGLETRANSLATE(D:D,""auto"",""en"")"),"US epidemic or 80,000 people to death")</f>
        <v>US epidemic or 80,000 people to death</v>
      </c>
      <c r="D4442" s="4" t="s">
        <v>6838</v>
      </c>
      <c r="E4442" s="4">
        <v>0.0</v>
      </c>
      <c r="F4442" s="4">
        <v>41.0</v>
      </c>
      <c r="G4442" s="4" t="s">
        <v>6839</v>
      </c>
    </row>
    <row r="4443">
      <c r="A4443" s="1">
        <v>4441.0</v>
      </c>
      <c r="B4443" s="4" t="s">
        <v>6765</v>
      </c>
      <c r="C4443" s="5" t="str">
        <f>IFERROR(__xludf.DUMMYFUNCTION("GOOGLETRANSLATE(D:D,""auto"",""en"")"),"Japanese Prime Minister predicted epidemic")</f>
        <v>Japanese Prime Minister predicted epidemic</v>
      </c>
      <c r="D4443" s="4" t="s">
        <v>6840</v>
      </c>
      <c r="E4443" s="4">
        <v>0.0</v>
      </c>
      <c r="F4443" s="4">
        <v>42.0</v>
      </c>
      <c r="G4443" s="4" t="s">
        <v>6841</v>
      </c>
    </row>
    <row r="4444">
      <c r="A4444" s="1">
        <v>4442.0</v>
      </c>
      <c r="B4444" s="4" t="s">
        <v>6765</v>
      </c>
      <c r="C4444" s="5" t="str">
        <f>IFERROR(__xludf.DUMMYFUNCTION("GOOGLETRANSLATE(D:D,""auto"",""en"")"),"Women were more than 20 years of domestic violence")</f>
        <v>Women were more than 20 years of domestic violence</v>
      </c>
      <c r="D4444" s="4" t="s">
        <v>6842</v>
      </c>
      <c r="E4444" s="4">
        <v>0.0</v>
      </c>
      <c r="F4444" s="4">
        <v>43.0</v>
      </c>
      <c r="G4444" s="4" t="s">
        <v>6843</v>
      </c>
    </row>
    <row r="4445">
      <c r="A4445" s="1">
        <v>4443.0</v>
      </c>
      <c r="B4445" s="4" t="s">
        <v>6765</v>
      </c>
      <c r="C4445" s="5" t="str">
        <f>IFERROR(__xludf.DUMMYFUNCTION("GOOGLETRANSLATE(D:D,""auto"",""en"")"),"British residents took to the streets wearing a ghillie suit")</f>
        <v>British residents took to the streets wearing a ghillie suit</v>
      </c>
      <c r="D4445" s="4" t="s">
        <v>6844</v>
      </c>
      <c r="E4445" s="4">
        <v>0.0</v>
      </c>
      <c r="F4445" s="4">
        <v>44.0</v>
      </c>
      <c r="G4445" s="4" t="s">
        <v>6845</v>
      </c>
    </row>
    <row r="4446">
      <c r="A4446" s="1">
        <v>4444.0</v>
      </c>
      <c r="B4446" s="4" t="s">
        <v>6765</v>
      </c>
      <c r="C4446" s="5" t="str">
        <f>IFERROR(__xludf.DUMMYFUNCTION("GOOGLETRANSLATE(D:D,""auto"",""en"")"),"Cai Xu Kun suspected in love with Lisa")</f>
        <v>Cai Xu Kun suspected in love with Lisa</v>
      </c>
      <c r="D4446" s="4" t="s">
        <v>6703</v>
      </c>
      <c r="E4446" s="4">
        <v>0.0</v>
      </c>
      <c r="F4446" s="4">
        <v>45.0</v>
      </c>
      <c r="G4446" s="4" t="s">
        <v>6704</v>
      </c>
    </row>
    <row r="4447">
      <c r="A4447" s="1">
        <v>4445.0</v>
      </c>
      <c r="B4447" s="4" t="s">
        <v>6765</v>
      </c>
      <c r="C4447" s="5" t="str">
        <f>IFERROR(__xludf.DUMMYFUNCTION("GOOGLETRANSLATE(D:D,""auto"",""en"")"),"20 minutes to sell 814 suites")</f>
        <v>20 minutes to sell 814 suites</v>
      </c>
      <c r="D4447" s="4" t="s">
        <v>6701</v>
      </c>
      <c r="E4447" s="4">
        <v>0.0</v>
      </c>
      <c r="F4447" s="4">
        <v>46.0</v>
      </c>
      <c r="G4447" s="4" t="s">
        <v>6702</v>
      </c>
    </row>
    <row r="4448">
      <c r="A4448" s="1">
        <v>4446.0</v>
      </c>
      <c r="B4448" s="4" t="s">
        <v>6765</v>
      </c>
      <c r="C4448" s="5" t="str">
        <f>IFERROR(__xludf.DUMMYFUNCTION("GOOGLETRANSLATE(D:D,""auto"",""en"")"),"414 people confirmed infected with the US")</f>
        <v>414 people confirmed infected with the US</v>
      </c>
      <c r="D4448" s="4" t="s">
        <v>6707</v>
      </c>
      <c r="E4448" s="4">
        <v>0.0</v>
      </c>
      <c r="F4448" s="4">
        <v>47.0</v>
      </c>
      <c r="G4448" s="4" t="s">
        <v>6708</v>
      </c>
    </row>
    <row r="4449">
      <c r="A4449" s="1">
        <v>4447.0</v>
      </c>
      <c r="B4449" s="4" t="s">
        <v>6765</v>
      </c>
      <c r="C4449" s="5" t="str">
        <f>IFERROR(__xludf.DUMMYFUNCTION("GOOGLETRANSLATE(D:D,""auto"",""en"")"),"Gao Xiaosong respond nationality dispute")</f>
        <v>Gao Xiaosong respond nationality dispute</v>
      </c>
      <c r="D4449" s="4" t="s">
        <v>6699</v>
      </c>
      <c r="E4449" s="4">
        <v>0.0</v>
      </c>
      <c r="F4449" s="4">
        <v>48.0</v>
      </c>
      <c r="G4449" s="4" t="s">
        <v>6700</v>
      </c>
    </row>
    <row r="4450">
      <c r="A4450" s="1">
        <v>4448.0</v>
      </c>
      <c r="B4450" s="4" t="s">
        <v>6765</v>
      </c>
      <c r="C4450" s="5" t="str">
        <f>IFERROR(__xludf.DUMMYFUNCTION("GOOGLETRANSLATE(D:D,""auto"",""en"")"),"Over 660,000 confirmed cases worldwide")</f>
        <v>Over 660,000 confirmed cases worldwide</v>
      </c>
      <c r="D4450" s="4" t="s">
        <v>6846</v>
      </c>
      <c r="E4450" s="4">
        <v>0.0</v>
      </c>
      <c r="F4450" s="4">
        <v>49.0</v>
      </c>
      <c r="G4450" s="4" t="s">
        <v>6847</v>
      </c>
    </row>
    <row r="4451">
      <c r="A4451" s="1">
        <v>4449.0</v>
      </c>
      <c r="B4451" s="4" t="s">
        <v>6765</v>
      </c>
      <c r="C4451" s="5" t="str">
        <f>IFERROR(__xludf.DUMMYFUNCTION("GOOGLETRANSLATE(D:D,""auto"",""en"")"),"China Working Group British rush to the rescue")</f>
        <v>China Working Group British rush to the rescue</v>
      </c>
      <c r="D4451" s="4" t="s">
        <v>6848</v>
      </c>
      <c r="E4451" s="4">
        <v>0.0</v>
      </c>
      <c r="F4451" s="4">
        <v>50.0</v>
      </c>
      <c r="G4451" s="4" t="s">
        <v>6849</v>
      </c>
    </row>
    <row r="4452">
      <c r="A4452" s="1">
        <v>4450.0</v>
      </c>
      <c r="B4452" s="4" t="s">
        <v>6850</v>
      </c>
      <c r="C4452" s="5" t="str">
        <f>IFERROR(__xludf.DUMMYFUNCTION("GOOGLETRANSLATE(D:D,""auto"",""en"")"),"Comfort and wife talk")</f>
        <v>Comfort and wife talk</v>
      </c>
      <c r="D4452" s="4" t="s">
        <v>6851</v>
      </c>
      <c r="E4452" s="4">
        <v>0.0</v>
      </c>
      <c r="F4452" s="4">
        <v>1.0</v>
      </c>
      <c r="G4452" s="4" t="s">
        <v>6852</v>
      </c>
    </row>
    <row r="4453">
      <c r="A4453" s="1">
        <v>4451.0</v>
      </c>
      <c r="B4453" s="4" t="s">
        <v>6850</v>
      </c>
      <c r="C4453" s="5" t="str">
        <f>IFERROR(__xludf.DUMMYFUNCTION("GOOGLETRANSLATE(D:D,""auto"",""en"")"),"Philippines plane crash")</f>
        <v>Philippines plane crash</v>
      </c>
      <c r="D4453" s="4" t="s">
        <v>6853</v>
      </c>
      <c r="E4453" s="4">
        <v>0.0</v>
      </c>
      <c r="F4453" s="4">
        <v>2.0</v>
      </c>
      <c r="G4453" s="4" t="s">
        <v>6854</v>
      </c>
    </row>
    <row r="4454">
      <c r="A4454" s="1">
        <v>4452.0</v>
      </c>
      <c r="B4454" s="4" t="s">
        <v>6850</v>
      </c>
      <c r="C4454" s="5" t="str">
        <f>IFERROR(__xludf.DUMMYFUNCTION("GOOGLETRANSLATE(D:D,""auto"",""en"")"),"Foreign men refused to wear a mask follow-up")</f>
        <v>Foreign men refused to wear a mask follow-up</v>
      </c>
      <c r="D4454" s="4" t="s">
        <v>6855</v>
      </c>
      <c r="E4454" s="4">
        <v>0.0</v>
      </c>
      <c r="F4454" s="4">
        <v>3.0</v>
      </c>
      <c r="G4454" s="4" t="s">
        <v>6856</v>
      </c>
    </row>
    <row r="4455">
      <c r="A4455" s="1">
        <v>4453.0</v>
      </c>
      <c r="B4455" s="4" t="s">
        <v>6850</v>
      </c>
      <c r="C4455" s="5" t="str">
        <f>IFERROR(__xludf.DUMMYFUNCTION("GOOGLETRANSLATE(D:D,""auto"",""en"")"),"Trump denied recourse star")</f>
        <v>Trump denied recourse star</v>
      </c>
      <c r="D4455" s="4" t="s">
        <v>6857</v>
      </c>
      <c r="E4455" s="4">
        <v>0.0</v>
      </c>
      <c r="F4455" s="4">
        <v>4.0</v>
      </c>
      <c r="G4455" s="4" t="s">
        <v>6858</v>
      </c>
    </row>
    <row r="4456">
      <c r="A4456" s="1">
        <v>4454.0</v>
      </c>
      <c r="B4456" s="4" t="s">
        <v>6850</v>
      </c>
      <c r="C4456" s="5" t="str">
        <f>IFERROR(__xludf.DUMMYFUNCTION("GOOGLETRANSLATE(D:D,""auto"",""en"")"),"Trump talk about the number of pneumonia deaths")</f>
        <v>Trump talk about the number of pneumonia deaths</v>
      </c>
      <c r="D4456" s="4" t="s">
        <v>6859</v>
      </c>
      <c r="E4456" s="4">
        <v>0.0</v>
      </c>
      <c r="F4456" s="4">
        <v>5.0</v>
      </c>
      <c r="G4456" s="4" t="s">
        <v>6860</v>
      </c>
    </row>
    <row r="4457">
      <c r="A4457" s="1">
        <v>4455.0</v>
      </c>
      <c r="B4457" s="4" t="s">
        <v>6850</v>
      </c>
      <c r="C4457" s="5" t="str">
        <f>IFERROR(__xludf.DUMMYFUNCTION("GOOGLETRANSLATE(D:D,""auto"",""en"")"),"International crude oil fell below $ 20")</f>
        <v>International crude oil fell below $ 20</v>
      </c>
      <c r="D4457" s="4" t="s">
        <v>6861</v>
      </c>
      <c r="E4457" s="4">
        <v>0.0</v>
      </c>
      <c r="F4457" s="4">
        <v>6.0</v>
      </c>
      <c r="G4457" s="4" t="s">
        <v>6862</v>
      </c>
    </row>
    <row r="4458">
      <c r="A4458" s="1">
        <v>4456.0</v>
      </c>
      <c r="B4458" s="4" t="s">
        <v>6850</v>
      </c>
      <c r="C4458" s="5" t="str">
        <f>IFERROR(__xludf.DUMMYFUNCTION("GOOGLETRANSLATE(D:D,""auto"",""en"")"),"Pelosi blasted Trump")</f>
        <v>Pelosi blasted Trump</v>
      </c>
      <c r="D4458" s="4" t="s">
        <v>6863</v>
      </c>
      <c r="E4458" s="4">
        <v>0.0</v>
      </c>
      <c r="F4458" s="4">
        <v>7.0</v>
      </c>
      <c r="G4458" s="4" t="s">
        <v>6864</v>
      </c>
    </row>
    <row r="4459">
      <c r="A4459" s="1">
        <v>4457.0</v>
      </c>
      <c r="B4459" s="4" t="s">
        <v>6850</v>
      </c>
      <c r="C4459" s="5" t="str">
        <f>IFERROR(__xludf.DUMMYFUNCTION("GOOGLETRANSLATE(D:D,""auto"",""en"")"),"The school responded license Hope event")</f>
        <v>The school responded license Hope event</v>
      </c>
      <c r="D4459" s="4" t="s">
        <v>6865</v>
      </c>
      <c r="E4459" s="4">
        <v>0.0</v>
      </c>
      <c r="F4459" s="4">
        <v>8.0</v>
      </c>
      <c r="G4459" s="4" t="s">
        <v>6866</v>
      </c>
    </row>
    <row r="4460">
      <c r="A4460" s="1">
        <v>4458.0</v>
      </c>
      <c r="B4460" s="4" t="s">
        <v>6850</v>
      </c>
      <c r="C4460" s="5" t="str">
        <f>IFERROR(__xludf.DUMMYFUNCTION("GOOGLETRANSLATE(D:D,""auto"",""en"")"),"Trump talk about the end of the epidemic")</f>
        <v>Trump talk about the end of the epidemic</v>
      </c>
      <c r="D4460" s="4" t="s">
        <v>6867</v>
      </c>
      <c r="E4460" s="4">
        <v>0.0</v>
      </c>
      <c r="F4460" s="4">
        <v>9.0</v>
      </c>
      <c r="G4460" s="4" t="s">
        <v>6868</v>
      </c>
    </row>
    <row r="4461">
      <c r="A4461" s="1">
        <v>4459.0</v>
      </c>
      <c r="B4461" s="4" t="s">
        <v>6850</v>
      </c>
      <c r="C4461" s="5" t="str">
        <f>IFERROR(__xludf.DUMMYFUNCTION("GOOGLETRANSLATE(D:D,""auto"",""en"")"),"Attractions recovery 18 days before closing")</f>
        <v>Attractions recovery 18 days before closing</v>
      </c>
      <c r="D4461" s="4" t="s">
        <v>6869</v>
      </c>
      <c r="E4461" s="4">
        <v>0.0</v>
      </c>
      <c r="F4461" s="4">
        <v>10.0</v>
      </c>
      <c r="G4461" s="4" t="s">
        <v>6870</v>
      </c>
    </row>
    <row r="4462">
      <c r="A4462" s="1">
        <v>4460.0</v>
      </c>
      <c r="B4462" s="4" t="s">
        <v>6850</v>
      </c>
      <c r="C4462" s="5" t="str">
        <f>IFERROR(__xludf.DUMMYFUNCTION("GOOGLETRANSLATE(D:D,""auto"",""en"")"),"Wang Ou doubt help sell fakes sister")</f>
        <v>Wang Ou doubt help sell fakes sister</v>
      </c>
      <c r="D4462" s="4" t="s">
        <v>6871</v>
      </c>
      <c r="E4462" s="4">
        <v>0.0</v>
      </c>
      <c r="F4462" s="4">
        <v>11.0</v>
      </c>
      <c r="G4462" s="4" t="s">
        <v>6872</v>
      </c>
    </row>
    <row r="4463">
      <c r="A4463" s="1">
        <v>4461.0</v>
      </c>
      <c r="B4463" s="4" t="s">
        <v>6850</v>
      </c>
      <c r="C4463" s="5" t="str">
        <f>IFERROR(__xludf.DUMMYFUNCTION("GOOGLETRANSLATE(D:D,""auto"",""en"")"),"Province 31 new cases of 31 cases")</f>
        <v>Province 31 new cases of 31 cases</v>
      </c>
      <c r="D4463" s="4" t="s">
        <v>6873</v>
      </c>
      <c r="E4463" s="4">
        <v>0.0</v>
      </c>
      <c r="F4463" s="4">
        <v>12.0</v>
      </c>
      <c r="G4463" s="4" t="s">
        <v>6874</v>
      </c>
    </row>
    <row r="4464">
      <c r="A4464" s="1">
        <v>4462.0</v>
      </c>
      <c r="B4464" s="4" t="s">
        <v>6850</v>
      </c>
      <c r="C4464" s="5" t="str">
        <f>IFERROR(__xludf.DUMMYFUNCTION("GOOGLETRANSLATE(D:D,""auto"",""en"")"),"Vietnam had the accumulation infection")</f>
        <v>Vietnam had the accumulation infection</v>
      </c>
      <c r="D4464" s="4" t="s">
        <v>6875</v>
      </c>
      <c r="E4464" s="4">
        <v>0.0</v>
      </c>
      <c r="F4464" s="4">
        <v>13.0</v>
      </c>
      <c r="G4464" s="4" t="s">
        <v>6876</v>
      </c>
    </row>
    <row r="4465">
      <c r="A4465" s="1">
        <v>4463.0</v>
      </c>
      <c r="B4465" s="4" t="s">
        <v>6850</v>
      </c>
      <c r="C4465" s="5" t="str">
        <f>IFERROR(__xludf.DUMMYFUNCTION("GOOGLETRANSLATE(D:D,""auto"",""en"")"),"Exposure train rollover internal screen")</f>
        <v>Exposure train rollover internal screen</v>
      </c>
      <c r="D4465" s="4" t="s">
        <v>6877</v>
      </c>
      <c r="E4465" s="4">
        <v>0.0</v>
      </c>
      <c r="F4465" s="4">
        <v>14.0</v>
      </c>
      <c r="G4465" s="4" t="s">
        <v>6878</v>
      </c>
    </row>
    <row r="4466">
      <c r="A4466" s="1">
        <v>4464.0</v>
      </c>
      <c r="B4466" s="4" t="s">
        <v>6850</v>
      </c>
      <c r="C4466" s="5" t="str">
        <f>IFERROR(__xludf.DUMMYFUNCTION("GOOGLETRANSLATE(D:D,""auto"",""en"")"),"Heilongjiang batches school")</f>
        <v>Heilongjiang batches school</v>
      </c>
      <c r="D4466" s="4" t="s">
        <v>6879</v>
      </c>
      <c r="E4466" s="4">
        <v>0.0</v>
      </c>
      <c r="F4466" s="4">
        <v>15.0</v>
      </c>
      <c r="G4466" s="4" t="s">
        <v>6880</v>
      </c>
    </row>
    <row r="4467">
      <c r="A4467" s="1">
        <v>4465.0</v>
      </c>
      <c r="B4467" s="4" t="s">
        <v>6850</v>
      </c>
      <c r="C4467" s="5" t="str">
        <f>IFERROR(__xludf.DUMMYFUNCTION("GOOGLETRANSLATE(D:D,""auto"",""en"")"),"After many school classes Saturday")</f>
        <v>After many school classes Saturday</v>
      </c>
      <c r="D4467" s="4" t="s">
        <v>6881</v>
      </c>
      <c r="E4467" s="4">
        <v>0.0</v>
      </c>
      <c r="F4467" s="4">
        <v>16.0</v>
      </c>
      <c r="G4467" s="4" t="s">
        <v>6882</v>
      </c>
    </row>
    <row r="4468">
      <c r="A4468" s="1">
        <v>4466.0</v>
      </c>
      <c r="B4468" s="4" t="s">
        <v>6850</v>
      </c>
      <c r="C4468" s="5" t="str">
        <f>IFERROR(__xludf.DUMMYFUNCTION("GOOGLETRANSLATE(D:D,""auto"",""en"")"),"Indian villagers live tree isolated")</f>
        <v>Indian villagers live tree isolated</v>
      </c>
      <c r="D4468" s="4" t="s">
        <v>6883</v>
      </c>
      <c r="E4468" s="4">
        <v>0.0</v>
      </c>
      <c r="F4468" s="4">
        <v>17.0</v>
      </c>
      <c r="G4468" s="4" t="s">
        <v>6884</v>
      </c>
    </row>
    <row r="4469">
      <c r="A4469" s="1">
        <v>4467.0</v>
      </c>
      <c r="B4469" s="4" t="s">
        <v>6850</v>
      </c>
      <c r="C4469" s="5" t="str">
        <f>IFERROR(__xludf.DUMMYFUNCTION("GOOGLETRANSLATE(D:D,""auto"",""en"")"),"Daegu hospital infections now groups")</f>
        <v>Daegu hospital infections now groups</v>
      </c>
      <c r="D4469" s="4" t="s">
        <v>6885</v>
      </c>
      <c r="E4469" s="4">
        <v>0.0</v>
      </c>
      <c r="F4469" s="4">
        <v>18.0</v>
      </c>
      <c r="G4469" s="4" t="s">
        <v>6886</v>
      </c>
    </row>
    <row r="4470">
      <c r="A4470" s="1">
        <v>4468.0</v>
      </c>
      <c r="B4470" s="4" t="s">
        <v>6850</v>
      </c>
      <c r="C4470" s="5" t="str">
        <f>IFERROR(__xludf.DUMMYFUNCTION("GOOGLETRANSLATE(D:D,""auto"",""en"")"),"Hotels exposure Tongxi foreign aid row")</f>
        <v>Hotels exposure Tongxi foreign aid row</v>
      </c>
      <c r="D4470" s="4" t="s">
        <v>6887</v>
      </c>
      <c r="E4470" s="4">
        <v>0.0</v>
      </c>
      <c r="F4470" s="4">
        <v>19.0</v>
      </c>
      <c r="G4470" s="4" t="s">
        <v>6888</v>
      </c>
    </row>
    <row r="4471">
      <c r="A4471" s="1">
        <v>4469.0</v>
      </c>
      <c r="B4471" s="4" t="s">
        <v>6850</v>
      </c>
      <c r="C4471" s="5" t="str">
        <f>IFERROR(__xludf.DUMMYFUNCTION("GOOGLETRANSLATE(D:D,""auto"",""en"")"),"Lee talk about Sino-US fight against SARS")</f>
        <v>Lee talk about Sino-US fight against SARS</v>
      </c>
      <c r="D4471" s="4" t="s">
        <v>6889</v>
      </c>
      <c r="E4471" s="4">
        <v>0.0</v>
      </c>
      <c r="F4471" s="4">
        <v>20.0</v>
      </c>
      <c r="G4471" s="4" t="s">
        <v>6890</v>
      </c>
    </row>
    <row r="4472">
      <c r="A4472" s="1">
        <v>4470.0</v>
      </c>
      <c r="B4472" s="4" t="s">
        <v>6850</v>
      </c>
      <c r="C4472" s="5" t="str">
        <f>IFERROR(__xludf.DUMMYFUNCTION("GOOGLETRANSLATE(D:D,""auto"",""en"")"),"Global deaths over 30,000")</f>
        <v>Global deaths over 30,000</v>
      </c>
      <c r="D4472" s="4" t="s">
        <v>6891</v>
      </c>
      <c r="E4472" s="4">
        <v>0.0</v>
      </c>
      <c r="F4472" s="4">
        <v>21.0</v>
      </c>
      <c r="G4472" s="4" t="s">
        <v>6892</v>
      </c>
    </row>
    <row r="4473">
      <c r="A4473" s="1">
        <v>4471.0</v>
      </c>
      <c r="B4473" s="4" t="s">
        <v>6850</v>
      </c>
      <c r="C4473" s="5" t="str">
        <f>IFERROR(__xludf.DUMMYFUNCTION("GOOGLETRANSLATE(D:D,""auto"",""en"")"),"China's first supplies arrived in New York")</f>
        <v>China's first supplies arrived in New York</v>
      </c>
      <c r="D4473" s="4" t="s">
        <v>6893</v>
      </c>
      <c r="E4473" s="4">
        <v>0.0</v>
      </c>
      <c r="F4473" s="4">
        <v>22.0</v>
      </c>
      <c r="G4473" s="4" t="s">
        <v>6894</v>
      </c>
    </row>
    <row r="4474">
      <c r="A4474" s="1">
        <v>4472.0</v>
      </c>
      <c r="B4474" s="4" t="s">
        <v>6850</v>
      </c>
      <c r="C4474" s="5" t="str">
        <f>IFERROR(__xludf.DUMMYFUNCTION("GOOGLETRANSLATE(D:D,""auto"",""en"")"),"Experts say the virus start to lose control")</f>
        <v>Experts say the virus start to lose control</v>
      </c>
      <c r="D4474" s="4" t="s">
        <v>6895</v>
      </c>
      <c r="E4474" s="4">
        <v>0.0</v>
      </c>
      <c r="F4474" s="4">
        <v>23.0</v>
      </c>
      <c r="G4474" s="4" t="s">
        <v>6896</v>
      </c>
    </row>
    <row r="4475">
      <c r="A4475" s="1">
        <v>4473.0</v>
      </c>
      <c r="B4475" s="4" t="s">
        <v>6850</v>
      </c>
      <c r="C4475" s="5" t="str">
        <f>IFERROR(__xludf.DUMMYFUNCTION("GOOGLETRANSLATE(D:D,""auto"",""en"")"),"Civil Aviation charter response to return")</f>
        <v>Civil Aviation charter response to return</v>
      </c>
      <c r="D4475" s="4" t="s">
        <v>6897</v>
      </c>
      <c r="E4475" s="4">
        <v>0.0</v>
      </c>
      <c r="F4475" s="4">
        <v>24.0</v>
      </c>
      <c r="G4475" s="4" t="s">
        <v>6898</v>
      </c>
    </row>
    <row r="4476">
      <c r="A4476" s="1">
        <v>4474.0</v>
      </c>
      <c r="B4476" s="4" t="s">
        <v>6850</v>
      </c>
      <c r="C4476" s="5" t="str">
        <f>IFERROR(__xludf.DUMMYFUNCTION("GOOGLETRANSLATE(D:D,""auto"",""en"")"),"600 000 700 000 increased by one day")</f>
        <v>600 000 700 000 increased by one day</v>
      </c>
      <c r="D4476" s="4" t="s">
        <v>6899</v>
      </c>
      <c r="E4476" s="4">
        <v>0.0</v>
      </c>
      <c r="F4476" s="4">
        <v>25.0</v>
      </c>
      <c r="G4476" s="4" t="s">
        <v>6900</v>
      </c>
    </row>
    <row r="4477">
      <c r="A4477" s="1">
        <v>4475.0</v>
      </c>
      <c r="B4477" s="4" t="s">
        <v>6850</v>
      </c>
      <c r="C4477" s="5" t="str">
        <f>IFERROR(__xludf.DUMMYFUNCTION("GOOGLETRANSLATE(D:D,""auto"",""en"")"),"Department of derailment victims Tiejing")</f>
        <v>Department of derailment victims Tiejing</v>
      </c>
      <c r="D4477" s="4" t="s">
        <v>6901</v>
      </c>
      <c r="E4477" s="4">
        <v>0.0</v>
      </c>
      <c r="F4477" s="4">
        <v>26.0</v>
      </c>
      <c r="G4477" s="4" t="s">
        <v>6902</v>
      </c>
    </row>
    <row r="4478">
      <c r="A4478" s="1">
        <v>4476.0</v>
      </c>
      <c r="B4478" s="4" t="s">
        <v>6850</v>
      </c>
      <c r="C4478" s="5" t="str">
        <f>IFERROR(__xludf.DUMMYFUNCTION("GOOGLETRANSLATE(D:D,""auto"",""en"")"),"Godfrey girlfriend suspected new romance")</f>
        <v>Godfrey girlfriend suspected new romance</v>
      </c>
      <c r="D4478" s="4" t="s">
        <v>6903</v>
      </c>
      <c r="E4478" s="4">
        <v>0.0</v>
      </c>
      <c r="F4478" s="4">
        <v>27.0</v>
      </c>
      <c r="G4478" s="4" t="s">
        <v>6904</v>
      </c>
    </row>
    <row r="4479">
      <c r="A4479" s="1">
        <v>4477.0</v>
      </c>
      <c r="B4479" s="4" t="s">
        <v>6850</v>
      </c>
      <c r="C4479" s="5" t="str">
        <f>IFERROR(__xludf.DUMMYFUNCTION("GOOGLETRANSLATE(D:D,""auto"",""en"")"),"Liu Zhen memorial service will be canceled")</f>
        <v>Liu Zhen memorial service will be canceled</v>
      </c>
      <c r="D4479" s="4" t="s">
        <v>6905</v>
      </c>
      <c r="E4479" s="4">
        <v>0.0</v>
      </c>
      <c r="F4479" s="4">
        <v>28.0</v>
      </c>
      <c r="G4479" s="4" t="s">
        <v>6906</v>
      </c>
    </row>
    <row r="4480">
      <c r="A4480" s="1">
        <v>4478.0</v>
      </c>
      <c r="B4480" s="4" t="s">
        <v>6850</v>
      </c>
      <c r="C4480" s="5" t="str">
        <f>IFERROR(__xludf.DUMMYFUNCTION("GOOGLETRANSLATE(D:D,""auto"",""en"")"),"80 North American donation")</f>
        <v>80 North American donation</v>
      </c>
      <c r="D4480" s="4" t="s">
        <v>6907</v>
      </c>
      <c r="E4480" s="4">
        <v>0.0</v>
      </c>
      <c r="F4480" s="4">
        <v>29.0</v>
      </c>
      <c r="G4480" s="4" t="s">
        <v>6908</v>
      </c>
    </row>
    <row r="4481">
      <c r="A4481" s="1">
        <v>4479.0</v>
      </c>
      <c r="B4481" s="4" t="s">
        <v>6850</v>
      </c>
      <c r="C4481" s="5" t="str">
        <f>IFERROR(__xludf.DUMMYFUNCTION("GOOGLETRANSLATE(D:D,""auto"",""en"")"),"Prince Charles ending isolation")</f>
        <v>Prince Charles ending isolation</v>
      </c>
      <c r="D4481" s="4" t="s">
        <v>6909</v>
      </c>
      <c r="E4481" s="4">
        <v>0.0</v>
      </c>
      <c r="F4481" s="4">
        <v>30.0</v>
      </c>
      <c r="G4481" s="4" t="s">
        <v>6910</v>
      </c>
    </row>
    <row r="4482">
      <c r="A4482" s="1">
        <v>4480.0</v>
      </c>
      <c r="B4482" s="4" t="s">
        <v>6850</v>
      </c>
      <c r="C4482" s="5" t="str">
        <f>IFERROR(__xludf.DUMMYFUNCTION("GOOGLETRANSLATE(D:D,""auto"",""en"")"),"Liang Xiaoxia back to Nanning treatment")</f>
        <v>Liang Xiaoxia back to Nanning treatment</v>
      </c>
      <c r="D4482" s="4" t="s">
        <v>6911</v>
      </c>
      <c r="E4482" s="4">
        <v>0.0</v>
      </c>
      <c r="F4482" s="4">
        <v>31.0</v>
      </c>
      <c r="G4482" s="4" t="s">
        <v>6912</v>
      </c>
    </row>
    <row r="4483">
      <c r="A4483" s="1">
        <v>4481.0</v>
      </c>
      <c r="B4483" s="4" t="s">
        <v>6850</v>
      </c>
      <c r="C4483" s="5" t="str">
        <f>IFERROR(__xludf.DUMMYFUNCTION("GOOGLETRANSLATE(D:D,""auto"",""en"")"),"Xin license inappropriate remarks published")</f>
        <v>Xin license inappropriate remarks published</v>
      </c>
      <c r="D4483" s="4" t="s">
        <v>6913</v>
      </c>
      <c r="E4483" s="4">
        <v>0.0</v>
      </c>
      <c r="F4483" s="4">
        <v>32.0</v>
      </c>
      <c r="G4483" s="4" t="s">
        <v>6914</v>
      </c>
    </row>
    <row r="4484">
      <c r="A4484" s="1">
        <v>4482.0</v>
      </c>
      <c r="B4484" s="4" t="s">
        <v>6850</v>
      </c>
      <c r="C4484" s="5" t="str">
        <f>IFERROR(__xludf.DUMMYFUNCTION("GOOGLETRANSLATE(D:D,""auto"",""en"")"),"Luohe new patients starting sound")</f>
        <v>Luohe new patients starting sound</v>
      </c>
      <c r="D4484" s="4" t="s">
        <v>6834</v>
      </c>
      <c r="E4484" s="4">
        <v>0.0</v>
      </c>
      <c r="F4484" s="4">
        <v>33.0</v>
      </c>
      <c r="G4484" s="4" t="s">
        <v>6835</v>
      </c>
    </row>
    <row r="4485">
      <c r="A4485" s="1">
        <v>4483.0</v>
      </c>
      <c r="B4485" s="4" t="s">
        <v>6850</v>
      </c>
      <c r="C4485" s="5" t="str">
        <f>IFERROR(__xludf.DUMMYFUNCTION("GOOGLETRANSLATE(D:D,""auto"",""en"")"),"Hubei, Gansu increase of imported cases")</f>
        <v>Hubei, Gansu increase of imported cases</v>
      </c>
      <c r="D4485" s="4" t="s">
        <v>6816</v>
      </c>
      <c r="E4485" s="4">
        <v>0.0</v>
      </c>
      <c r="F4485" s="4">
        <v>34.0</v>
      </c>
      <c r="G4485" s="4" t="s">
        <v>6817</v>
      </c>
    </row>
    <row r="4486">
      <c r="A4486" s="1">
        <v>4484.0</v>
      </c>
      <c r="B4486" s="4" t="s">
        <v>6850</v>
      </c>
      <c r="C4486" s="5" t="str">
        <f>IFERROR(__xludf.DUMMYFUNCTION("GOOGLETRANSLATE(D:D,""auto"",""en"")"),"Italian mayor resumed business")</f>
        <v>Italian mayor resumed business</v>
      </c>
      <c r="D4486" s="4" t="s">
        <v>6915</v>
      </c>
      <c r="E4486" s="4">
        <v>0.0</v>
      </c>
      <c r="F4486" s="4">
        <v>35.0</v>
      </c>
      <c r="G4486" s="4" t="s">
        <v>6916</v>
      </c>
    </row>
    <row r="4487">
      <c r="A4487" s="1">
        <v>4485.0</v>
      </c>
      <c r="B4487" s="4" t="s">
        <v>6850</v>
      </c>
      <c r="C4487" s="5" t="str">
        <f>IFERROR(__xludf.DUMMYFUNCTION("GOOGLETRANSLATE(D:D,""auto"",""en"")"),"RNG2-1 beat EDG")</f>
        <v>RNG2-1 beat EDG</v>
      </c>
      <c r="D4487" s="4" t="s">
        <v>6814</v>
      </c>
      <c r="E4487" s="4">
        <v>0.0</v>
      </c>
      <c r="F4487" s="4">
        <v>36.0</v>
      </c>
      <c r="G4487" s="4" t="s">
        <v>6815</v>
      </c>
    </row>
    <row r="4488">
      <c r="A4488" s="1">
        <v>4486.0</v>
      </c>
      <c r="B4488" s="4" t="s">
        <v>6850</v>
      </c>
      <c r="C4488" s="5" t="str">
        <f>IFERROR(__xludf.DUMMYFUNCTION("GOOGLETRANSLATE(D:D,""auto"",""en"")"),"Brokers do not cry Liu Zhen")</f>
        <v>Brokers do not cry Liu Zhen</v>
      </c>
      <c r="D4488" s="4" t="s">
        <v>6917</v>
      </c>
      <c r="E4488" s="4">
        <v>0.0</v>
      </c>
      <c r="F4488" s="4">
        <v>37.0</v>
      </c>
      <c r="G4488" s="4" t="s">
        <v>6918</v>
      </c>
    </row>
    <row r="4489">
      <c r="A4489" s="1">
        <v>4487.0</v>
      </c>
      <c r="B4489" s="4" t="s">
        <v>6850</v>
      </c>
      <c r="C4489" s="5" t="str">
        <f>IFERROR(__xludf.DUMMYFUNCTION("GOOGLETRANSLATE(D:D,""auto"",""en"")"),"Actor posing as overseas Chinese")</f>
        <v>Actor posing as overseas Chinese</v>
      </c>
      <c r="D4489" s="4" t="s">
        <v>6919</v>
      </c>
      <c r="E4489" s="4">
        <v>0.0</v>
      </c>
      <c r="F4489" s="4">
        <v>38.0</v>
      </c>
      <c r="G4489" s="4" t="s">
        <v>6920</v>
      </c>
    </row>
    <row r="4490">
      <c r="A4490" s="1">
        <v>4488.0</v>
      </c>
      <c r="B4490" s="4" t="s">
        <v>6850</v>
      </c>
      <c r="C4490" s="5" t="str">
        <f>IFERROR(__xludf.DUMMYFUNCTION("GOOGLETRANSLATE(D:D,""auto"",""en"")"),"Passenger train Chenzhou rollover")</f>
        <v>Passenger train Chenzhou rollover</v>
      </c>
      <c r="D4490" s="4" t="s">
        <v>6921</v>
      </c>
      <c r="E4490" s="4">
        <v>0.0</v>
      </c>
      <c r="F4490" s="4">
        <v>39.0</v>
      </c>
      <c r="G4490" s="4" t="s">
        <v>6922</v>
      </c>
    </row>
    <row r="4491">
      <c r="A4491" s="1">
        <v>4489.0</v>
      </c>
      <c r="B4491" s="4" t="s">
        <v>6850</v>
      </c>
      <c r="C4491" s="5" t="str">
        <f>IFERROR(__xludf.DUMMYFUNCTION("GOOGLETRANSLATE(D:D,""auto"",""en"")"),"Indian Prime Minister to apologize for the closed city")</f>
        <v>Indian Prime Minister to apologize for the closed city</v>
      </c>
      <c r="D4491" s="4" t="s">
        <v>6923</v>
      </c>
      <c r="E4491" s="4">
        <v>0.0</v>
      </c>
      <c r="F4491" s="4">
        <v>40.0</v>
      </c>
      <c r="G4491" s="4" t="s">
        <v>6924</v>
      </c>
    </row>
    <row r="4492">
      <c r="A4492" s="1">
        <v>4490.0</v>
      </c>
      <c r="B4492" s="4" t="s">
        <v>6850</v>
      </c>
      <c r="C4492" s="5" t="str">
        <f>IFERROR(__xludf.DUMMYFUNCTION("GOOGLETRANSLATE(D:D,""auto"",""en"")"),"Guangzhou Railway Group to talk about the cause of derailment")</f>
        <v>Guangzhou Railway Group to talk about the cause of derailment</v>
      </c>
      <c r="D4492" s="4" t="s">
        <v>6925</v>
      </c>
      <c r="E4492" s="4">
        <v>0.0</v>
      </c>
      <c r="F4492" s="4">
        <v>41.0</v>
      </c>
      <c r="G4492" s="4" t="s">
        <v>6926</v>
      </c>
    </row>
    <row r="4493">
      <c r="A4493" s="1">
        <v>4491.0</v>
      </c>
      <c r="B4493" s="4" t="s">
        <v>6850</v>
      </c>
      <c r="C4493" s="5" t="str">
        <f>IFERROR(__xludf.DUMMYFUNCTION("GOOGLETRANSLATE(D:D,""auto"",""en"")"),"720,000 cases diagnosed worldwide break")</f>
        <v>720,000 cases diagnosed worldwide break</v>
      </c>
      <c r="D4493" s="4" t="s">
        <v>6927</v>
      </c>
      <c r="E4493" s="4">
        <v>0.0</v>
      </c>
      <c r="F4493" s="4">
        <v>42.0</v>
      </c>
      <c r="G4493" s="4" t="s">
        <v>6928</v>
      </c>
    </row>
    <row r="4494">
      <c r="A4494" s="1">
        <v>4492.0</v>
      </c>
      <c r="B4494" s="4" t="s">
        <v>6850</v>
      </c>
      <c r="C4494" s="5" t="str">
        <f>IFERROR(__xludf.DUMMYFUNCTION("GOOGLETRANSLATE(D:D,""auto"",""en"")"),"William Chan Liu Wen was traced to love")</f>
        <v>William Chan Liu Wen was traced to love</v>
      </c>
      <c r="D4494" s="4" t="s">
        <v>6929</v>
      </c>
      <c r="E4494" s="4">
        <v>0.0</v>
      </c>
      <c r="F4494" s="4">
        <v>43.0</v>
      </c>
      <c r="G4494" s="4" t="s">
        <v>6930</v>
      </c>
    </row>
    <row r="4495">
      <c r="A4495" s="1">
        <v>4493.0</v>
      </c>
      <c r="B4495" s="4" t="s">
        <v>6850</v>
      </c>
      <c r="C4495" s="5" t="str">
        <f>IFERROR(__xludf.DUMMYFUNCTION("GOOGLETRANSLATE(D:D,""auto"",""en"")"),"United States 61 confirmed screeners")</f>
        <v>United States 61 confirmed screeners</v>
      </c>
      <c r="D4495" s="4" t="s">
        <v>6931</v>
      </c>
      <c r="E4495" s="4">
        <v>0.0</v>
      </c>
      <c r="F4495" s="4">
        <v>44.0</v>
      </c>
      <c r="G4495" s="4" t="s">
        <v>6932</v>
      </c>
    </row>
    <row r="4496">
      <c r="A4496" s="1">
        <v>4494.0</v>
      </c>
      <c r="B4496" s="4" t="s">
        <v>6850</v>
      </c>
      <c r="C4496" s="5" t="str">
        <f>IFERROR(__xludf.DUMMYFUNCTION("GOOGLETRANSLATE(D:D,""auto"",""en"")"),"Spend one hundred million eggs to produce vaccine")</f>
        <v>Spend one hundred million eggs to produce vaccine</v>
      </c>
      <c r="D4496" s="4" t="s">
        <v>6933</v>
      </c>
      <c r="E4496" s="4">
        <v>0.0</v>
      </c>
      <c r="F4496" s="4">
        <v>45.0</v>
      </c>
      <c r="G4496" s="4" t="s">
        <v>6934</v>
      </c>
    </row>
    <row r="4497">
      <c r="A4497" s="1">
        <v>4495.0</v>
      </c>
      <c r="B4497" s="4" t="s">
        <v>6850</v>
      </c>
      <c r="C4497" s="5" t="str">
        <f>IFERROR(__xludf.DUMMYFUNCTION("GOOGLETRANSLATE(D:D,""auto"",""en"")"),"56 stowaways arrested")</f>
        <v>56 stowaways arrested</v>
      </c>
      <c r="D4497" s="4" t="s">
        <v>6935</v>
      </c>
      <c r="E4497" s="4">
        <v>0.0</v>
      </c>
      <c r="F4497" s="4">
        <v>46.0</v>
      </c>
      <c r="G4497" s="4" t="s">
        <v>6936</v>
      </c>
    </row>
    <row r="4498">
      <c r="A4498" s="1">
        <v>4496.0</v>
      </c>
      <c r="B4498" s="4" t="s">
        <v>6850</v>
      </c>
      <c r="C4498" s="5" t="str">
        <f>IFERROR(__xludf.DUMMYFUNCTION("GOOGLETRANSLATE(D:D,""auto"",""en"")"),"British Prime Minister sent a letter to 66 million people")</f>
        <v>British Prime Minister sent a letter to 66 million people</v>
      </c>
      <c r="D4498" s="4" t="s">
        <v>6937</v>
      </c>
      <c r="E4498" s="4">
        <v>0.0</v>
      </c>
      <c r="F4498" s="4">
        <v>47.0</v>
      </c>
      <c r="G4498" s="4" t="s">
        <v>6938</v>
      </c>
    </row>
    <row r="4499">
      <c r="A4499" s="1">
        <v>4497.0</v>
      </c>
      <c r="B4499" s="4" t="s">
        <v>6850</v>
      </c>
      <c r="C4499" s="5" t="str">
        <f>IFERROR(__xludf.DUMMYFUNCTION("GOOGLETRANSLATE(D:D,""auto"",""en"")"),"Huanggang Novelty Retrieval of dismissal")</f>
        <v>Huanggang Novelty Retrieval of dismissal</v>
      </c>
      <c r="D4499" s="4" t="s">
        <v>6939</v>
      </c>
      <c r="E4499" s="4">
        <v>0.0</v>
      </c>
      <c r="F4499" s="4">
        <v>48.0</v>
      </c>
      <c r="G4499" s="4" t="s">
        <v>6940</v>
      </c>
    </row>
    <row r="4500">
      <c r="A4500" s="1">
        <v>4498.0</v>
      </c>
      <c r="B4500" s="4" t="s">
        <v>6850</v>
      </c>
      <c r="C4500" s="5" t="str">
        <f>IFERROR(__xludf.DUMMYFUNCTION("GOOGLETRANSLATE(D:D,""auto"",""en"")"),"Global rush to buy China ventilator")</f>
        <v>Global rush to buy China ventilator</v>
      </c>
      <c r="D4500" s="4" t="s">
        <v>6808</v>
      </c>
      <c r="E4500" s="4">
        <v>0.0</v>
      </c>
      <c r="F4500" s="4">
        <v>49.0</v>
      </c>
      <c r="G4500" s="4" t="s">
        <v>6809</v>
      </c>
    </row>
    <row r="4501">
      <c r="A4501" s="1">
        <v>4499.0</v>
      </c>
      <c r="B4501" s="4" t="s">
        <v>6850</v>
      </c>
      <c r="C4501" s="5" t="str">
        <f>IFERROR(__xludf.DUMMYFUNCTION("GOOGLETRANSLATE(D:D,""auto"",""en"")"),"E asymptomatic infection trajectory")</f>
        <v>E asymptomatic infection trajectory</v>
      </c>
      <c r="D4501" s="4" t="s">
        <v>6941</v>
      </c>
      <c r="E4501" s="4">
        <v>0.0</v>
      </c>
      <c r="F4501" s="4">
        <v>50.0</v>
      </c>
      <c r="G4501" s="4" t="s">
        <v>6942</v>
      </c>
    </row>
    <row r="4502">
      <c r="A4502" s="1">
        <v>4500.0</v>
      </c>
      <c r="B4502" s="4" t="s">
        <v>6943</v>
      </c>
      <c r="C4502" s="5" t="str">
        <f>IFERROR(__xludf.DUMMYFUNCTION("GOOGLETRANSLATE(D:D,""auto"",""en"")"),"Japanese frigate hit Chinese fishing boat")</f>
        <v>Japanese frigate hit Chinese fishing boat</v>
      </c>
      <c r="D4502" s="4" t="s">
        <v>6944</v>
      </c>
      <c r="E4502" s="4">
        <v>0.0</v>
      </c>
      <c r="F4502" s="4">
        <v>1.0</v>
      </c>
      <c r="G4502" s="4" t="s">
        <v>6945</v>
      </c>
    </row>
    <row r="4503">
      <c r="A4503" s="1">
        <v>4501.0</v>
      </c>
      <c r="B4503" s="4" t="s">
        <v>6943</v>
      </c>
      <c r="C4503" s="5" t="str">
        <f>IFERROR(__xludf.DUMMYFUNCTION("GOOGLETRANSLATE(D:D,""auto"",""en"")"),"Liang Xiaoxia back to Nanning treatment")</f>
        <v>Liang Xiaoxia back to Nanning treatment</v>
      </c>
      <c r="D4503" s="4" t="s">
        <v>6911</v>
      </c>
      <c r="E4503" s="4">
        <v>0.0</v>
      </c>
      <c r="F4503" s="4">
        <v>2.0</v>
      </c>
      <c r="G4503" s="4" t="s">
        <v>6912</v>
      </c>
    </row>
    <row r="4504">
      <c r="A4504" s="1">
        <v>4502.0</v>
      </c>
      <c r="B4504" s="4" t="s">
        <v>6943</v>
      </c>
      <c r="C4504" s="5" t="str">
        <f>IFERROR(__xludf.DUMMYFUNCTION("GOOGLETRANSLATE(D:D,""auto"",""en"")"),"Prince Charles ending isolation")</f>
        <v>Prince Charles ending isolation</v>
      </c>
      <c r="D4504" s="4" t="s">
        <v>6909</v>
      </c>
      <c r="E4504" s="4">
        <v>0.0</v>
      </c>
      <c r="F4504" s="4">
        <v>3.0</v>
      </c>
      <c r="G4504" s="4" t="s">
        <v>6910</v>
      </c>
    </row>
    <row r="4505">
      <c r="A4505" s="1">
        <v>4503.0</v>
      </c>
      <c r="B4505" s="4" t="s">
        <v>6943</v>
      </c>
      <c r="C4505" s="5" t="str">
        <f>IFERROR(__xludf.DUMMYFUNCTION("GOOGLETRANSLATE(D:D,""auto"",""en"")"),"Xi'an Foreign man has exit")</f>
        <v>Xi'an Foreign man has exit</v>
      </c>
      <c r="D4505" s="4" t="s">
        <v>6946</v>
      </c>
      <c r="E4505" s="4">
        <v>0.0</v>
      </c>
      <c r="F4505" s="4">
        <v>4.0</v>
      </c>
      <c r="G4505" s="4" t="s">
        <v>6947</v>
      </c>
    </row>
    <row r="4506">
      <c r="A4506" s="1">
        <v>4504.0</v>
      </c>
      <c r="B4506" s="4" t="s">
        <v>6943</v>
      </c>
      <c r="C4506" s="5" t="str">
        <f>IFERROR(__xludf.DUMMYFUNCTION("GOOGLETRANSLATE(D:D,""auto"",""en"")"),"The Italian super-infection of health care 8000")</f>
        <v>The Italian super-infection of health care 8000</v>
      </c>
      <c r="D4506" s="4" t="s">
        <v>6948</v>
      </c>
      <c r="E4506" s="4">
        <v>0.0</v>
      </c>
      <c r="F4506" s="4">
        <v>5.0</v>
      </c>
      <c r="G4506" s="4" t="s">
        <v>6949</v>
      </c>
    </row>
    <row r="4507">
      <c r="A4507" s="1">
        <v>4505.0</v>
      </c>
      <c r="B4507" s="4" t="s">
        <v>6943</v>
      </c>
      <c r="C4507" s="5" t="str">
        <f>IFERROR(__xludf.DUMMYFUNCTION("GOOGLETRANSLATE(D:D,""auto"",""en"")"),"US severe epidemic differences")</f>
        <v>US severe epidemic differences</v>
      </c>
      <c r="D4507" s="4" t="s">
        <v>6950</v>
      </c>
      <c r="E4507" s="4">
        <v>0.0</v>
      </c>
      <c r="F4507" s="4">
        <v>6.0</v>
      </c>
      <c r="G4507" s="4" t="s">
        <v>6951</v>
      </c>
    </row>
    <row r="4508">
      <c r="A4508" s="1">
        <v>4506.0</v>
      </c>
      <c r="B4508" s="4" t="s">
        <v>6943</v>
      </c>
      <c r="C4508" s="5" t="str">
        <f>IFERROR(__xludf.DUMMYFUNCTION("GOOGLETRANSLATE(D:D,""auto"",""en"")"),"It does not allow the pursuit of zero-reporting")</f>
        <v>It does not allow the pursuit of zero-reporting</v>
      </c>
      <c r="D4508" s="4" t="s">
        <v>6952</v>
      </c>
      <c r="E4508" s="4">
        <v>0.0</v>
      </c>
      <c r="F4508" s="4">
        <v>7.0</v>
      </c>
      <c r="G4508" s="4" t="s">
        <v>6953</v>
      </c>
    </row>
    <row r="4509">
      <c r="A4509" s="1">
        <v>4507.0</v>
      </c>
      <c r="B4509" s="4" t="s">
        <v>6943</v>
      </c>
      <c r="C4509" s="5" t="str">
        <f>IFERROR(__xludf.DUMMYFUNCTION("GOOGLETRANSLATE(D:D,""auto"",""en"")"),"Xianning new zero-reporting suspected")</f>
        <v>Xianning new zero-reporting suspected</v>
      </c>
      <c r="D4509" s="4" t="s">
        <v>6954</v>
      </c>
      <c r="E4509" s="4">
        <v>0.0</v>
      </c>
      <c r="F4509" s="4">
        <v>8.0</v>
      </c>
      <c r="G4509" s="4" t="s">
        <v>6955</v>
      </c>
    </row>
    <row r="4510">
      <c r="A4510" s="1">
        <v>4508.0</v>
      </c>
      <c r="B4510" s="4" t="s">
        <v>6943</v>
      </c>
      <c r="C4510" s="5" t="str">
        <f>IFERROR(__xludf.DUMMYFUNCTION("GOOGLETRANSLATE(D:D,""auto"",""en"")"),"Miao Miao Wan Shou Zheng Kai mall")</f>
        <v>Miao Miao Wan Shou Zheng Kai mall</v>
      </c>
      <c r="D4510" s="4" t="s">
        <v>6956</v>
      </c>
      <c r="E4510" s="4">
        <v>0.0</v>
      </c>
      <c r="F4510" s="4">
        <v>9.0</v>
      </c>
      <c r="G4510" s="4" t="s">
        <v>6957</v>
      </c>
    </row>
    <row r="4511">
      <c r="A4511" s="1">
        <v>4509.0</v>
      </c>
      <c r="B4511" s="4" t="s">
        <v>6943</v>
      </c>
      <c r="C4511" s="5" t="str">
        <f>IFERROR(__xludf.DUMMYFUNCTION("GOOGLETRANSLATE(D:D,""auto"",""en"")"),"Now viral inhibitors bats")</f>
        <v>Now viral inhibitors bats</v>
      </c>
      <c r="D4511" s="4" t="s">
        <v>6958</v>
      </c>
      <c r="E4511" s="4">
        <v>0.0</v>
      </c>
      <c r="F4511" s="4">
        <v>10.0</v>
      </c>
      <c r="G4511" s="4" t="s">
        <v>6959</v>
      </c>
    </row>
    <row r="4512">
      <c r="A4512" s="1">
        <v>4510.0</v>
      </c>
      <c r="B4512" s="4" t="s">
        <v>6943</v>
      </c>
      <c r="C4512" s="5" t="str">
        <f>IFERROR(__xludf.DUMMYFUNCTION("GOOGLETRANSLATE(D:D,""auto"",""en"")"),"2020 college entrance examination-month extension")</f>
        <v>2020 college entrance examination-month extension</v>
      </c>
      <c r="D4512" s="4" t="s">
        <v>6960</v>
      </c>
      <c r="E4512" s="4">
        <v>0.0</v>
      </c>
      <c r="F4512" s="4">
        <v>11.0</v>
      </c>
      <c r="G4512" s="4" t="s">
        <v>6961</v>
      </c>
    </row>
    <row r="4513">
      <c r="A4513" s="1">
        <v>4511.0</v>
      </c>
      <c r="B4513" s="4" t="s">
        <v>6943</v>
      </c>
      <c r="C4513" s="5" t="str">
        <f>IFERROR(__xludf.DUMMYFUNCTION("GOOGLETRANSLATE(D:D,""auto"",""en"")"),"Three conditions are not met no school")</f>
        <v>Three conditions are not met no school</v>
      </c>
      <c r="D4513" s="4" t="s">
        <v>6962</v>
      </c>
      <c r="E4513" s="4">
        <v>0.0</v>
      </c>
      <c r="F4513" s="4">
        <v>12.0</v>
      </c>
      <c r="G4513" s="4" t="s">
        <v>6963</v>
      </c>
    </row>
    <row r="4514">
      <c r="A4514" s="1">
        <v>4512.0</v>
      </c>
      <c r="B4514" s="4" t="s">
        <v>6943</v>
      </c>
      <c r="C4514" s="5" t="str">
        <f>IFERROR(__xludf.DUMMYFUNCTION("GOOGLETRANSLATE(D:D,""auto"",""en"")"),"Xichang list of fire victims")</f>
        <v>Xichang list of fire victims</v>
      </c>
      <c r="D4514" s="4" t="s">
        <v>6964</v>
      </c>
      <c r="E4514" s="4">
        <v>0.0</v>
      </c>
      <c r="F4514" s="4">
        <v>13.0</v>
      </c>
      <c r="G4514" s="4" t="s">
        <v>6965</v>
      </c>
    </row>
    <row r="4515">
      <c r="A4515" s="1">
        <v>4513.0</v>
      </c>
      <c r="B4515" s="4" t="s">
        <v>6943</v>
      </c>
      <c r="C4515" s="5" t="str">
        <f>IFERROR(__xludf.DUMMYFUNCTION("GOOGLETRANSLATE(D:D,""auto"",""en"")"),"Trump praised China supplies")</f>
        <v>Trump praised China supplies</v>
      </c>
      <c r="D4515" s="4" t="s">
        <v>6966</v>
      </c>
      <c r="E4515" s="4">
        <v>0.0</v>
      </c>
      <c r="F4515" s="4">
        <v>14.0</v>
      </c>
      <c r="G4515" s="4" t="s">
        <v>6967</v>
      </c>
    </row>
    <row r="4516">
      <c r="A4516" s="1">
        <v>4514.0</v>
      </c>
      <c r="B4516" s="4" t="s">
        <v>6943</v>
      </c>
      <c r="C4516" s="5" t="str">
        <f>IFERROR(__xludf.DUMMYFUNCTION("GOOGLETRANSLATE(D:D,""auto"",""en"")"),"Civil Aviation charter response to return")</f>
        <v>Civil Aviation charter response to return</v>
      </c>
      <c r="D4516" s="4" t="s">
        <v>6897</v>
      </c>
      <c r="E4516" s="4">
        <v>0.0</v>
      </c>
      <c r="F4516" s="4">
        <v>15.0</v>
      </c>
      <c r="G4516" s="4" t="s">
        <v>6898</v>
      </c>
    </row>
    <row r="4517">
      <c r="A4517" s="1">
        <v>4515.0</v>
      </c>
      <c r="B4517" s="4" t="s">
        <v>6943</v>
      </c>
      <c r="C4517" s="5" t="str">
        <f>IFERROR(__xludf.DUMMYFUNCTION("GOOGLETRANSLATE(D:D,""auto"",""en"")"),"United States 61 confirmed screeners")</f>
        <v>United States 61 confirmed screeners</v>
      </c>
      <c r="D4517" s="4" t="s">
        <v>6931</v>
      </c>
      <c r="E4517" s="4">
        <v>0.0</v>
      </c>
      <c r="F4517" s="4">
        <v>16.0</v>
      </c>
      <c r="G4517" s="4" t="s">
        <v>6932</v>
      </c>
    </row>
    <row r="4518">
      <c r="A4518" s="1">
        <v>4516.0</v>
      </c>
      <c r="B4518" s="4" t="s">
        <v>6943</v>
      </c>
      <c r="C4518" s="5" t="str">
        <f>IFERROR(__xludf.DUMMYFUNCTION("GOOGLETRANSLATE(D:D,""auto"",""en"")"),"Trump gave up scheduled return to work")</f>
        <v>Trump gave up scheduled return to work</v>
      </c>
      <c r="D4518" s="4" t="s">
        <v>6968</v>
      </c>
      <c r="E4518" s="4">
        <v>0.0</v>
      </c>
      <c r="F4518" s="4">
        <v>17.0</v>
      </c>
      <c r="G4518" s="4" t="s">
        <v>6969</v>
      </c>
    </row>
    <row r="4519">
      <c r="A4519" s="1">
        <v>4517.0</v>
      </c>
      <c r="B4519" s="4" t="s">
        <v>6943</v>
      </c>
      <c r="C4519" s="5" t="str">
        <f>IFERROR(__xludf.DUMMYFUNCTION("GOOGLETRANSLATE(D:D,""auto"",""en"")"),"Wu Yifan leaves can be children exposed affair")</f>
        <v>Wu Yifan leaves can be children exposed affair</v>
      </c>
      <c r="D4519" s="4" t="s">
        <v>6970</v>
      </c>
      <c r="E4519" s="4">
        <v>0.0</v>
      </c>
      <c r="F4519" s="4">
        <v>18.0</v>
      </c>
      <c r="G4519" s="4" t="s">
        <v>6971</v>
      </c>
    </row>
    <row r="4520">
      <c r="A4520" s="1">
        <v>4518.0</v>
      </c>
      <c r="B4520" s="4" t="s">
        <v>6943</v>
      </c>
      <c r="C4520" s="5" t="str">
        <f>IFERROR(__xludf.DUMMYFUNCTION("GOOGLETRANSLATE(D:D,""auto"",""en"")"),"Zhou Tang Shuang sentencing")</f>
        <v>Zhou Tang Shuang sentencing</v>
      </c>
      <c r="D4520" s="4" t="s">
        <v>6972</v>
      </c>
      <c r="E4520" s="4">
        <v>0.0</v>
      </c>
      <c r="F4520" s="4">
        <v>19.0</v>
      </c>
      <c r="G4520" s="4" t="s">
        <v>6973</v>
      </c>
    </row>
    <row r="4521">
      <c r="A4521" s="1">
        <v>4519.0</v>
      </c>
      <c r="B4521" s="4" t="s">
        <v>6943</v>
      </c>
      <c r="C4521" s="5" t="str">
        <f>IFERROR(__xludf.DUMMYFUNCTION("GOOGLETRANSLATE(D:D,""auto"",""en"")"),"Xichang fire causing many sacrifices")</f>
        <v>Xichang fire causing many sacrifices</v>
      </c>
      <c r="D4521" s="4" t="s">
        <v>6974</v>
      </c>
      <c r="E4521" s="4">
        <v>0.0</v>
      </c>
      <c r="F4521" s="4">
        <v>20.0</v>
      </c>
      <c r="G4521" s="4" t="s">
        <v>6975</v>
      </c>
    </row>
    <row r="4522">
      <c r="A4522" s="1">
        <v>4520.0</v>
      </c>
      <c r="B4522" s="4" t="s">
        <v>6943</v>
      </c>
      <c r="C4522" s="5" t="str">
        <f>IFERROR(__xludf.DUMMYFUNCTION("GOOGLETRANSLATE(D:D,""auto"",""en"")"),"Guangzhou Dongxiao Road subsidence")</f>
        <v>Guangzhou Dongxiao Road subsidence</v>
      </c>
      <c r="D4522" s="4" t="s">
        <v>6976</v>
      </c>
      <c r="E4522" s="4">
        <v>0.0</v>
      </c>
      <c r="F4522" s="4">
        <v>21.0</v>
      </c>
      <c r="G4522" s="4" t="s">
        <v>6977</v>
      </c>
    </row>
    <row r="4523">
      <c r="A4523" s="1">
        <v>4521.0</v>
      </c>
      <c r="B4523" s="4" t="s">
        <v>6943</v>
      </c>
      <c r="C4523" s="5" t="str">
        <f>IFERROR(__xludf.DUMMYFUNCTION("GOOGLETRANSLATE(D:D,""auto"",""en"")"),"Xi'an, Shaanxi U-enabled license plates")</f>
        <v>Xi'an, Shaanxi U-enabled license plates</v>
      </c>
      <c r="D4523" s="4" t="s">
        <v>6978</v>
      </c>
      <c r="E4523" s="4">
        <v>0.0</v>
      </c>
      <c r="F4523" s="4">
        <v>22.0</v>
      </c>
      <c r="G4523" s="4" t="s">
        <v>6979</v>
      </c>
    </row>
    <row r="4524">
      <c r="A4524" s="1">
        <v>4522.0</v>
      </c>
      <c r="B4524" s="4" t="s">
        <v>6943</v>
      </c>
      <c r="C4524" s="5" t="str">
        <f>IFERROR(__xludf.DUMMYFUNCTION("GOOGLETRANSLATE(D:D,""auto"",""en"")"),"Kunming forest fire")</f>
        <v>Kunming forest fire</v>
      </c>
      <c r="D4524" s="4" t="s">
        <v>6980</v>
      </c>
      <c r="E4524" s="4">
        <v>0.0</v>
      </c>
      <c r="F4524" s="4">
        <v>23.0</v>
      </c>
      <c r="G4524" s="4" t="s">
        <v>6981</v>
      </c>
    </row>
    <row r="4525">
      <c r="A4525" s="1">
        <v>4523.0</v>
      </c>
      <c r="B4525" s="4" t="s">
        <v>6943</v>
      </c>
      <c r="C4525" s="5" t="str">
        <f>IFERROR(__xludf.DUMMYFUNCTION("GOOGLETRANSLATE(D:D,""auto"",""en"")"),"Ministry of Education, in response to the college entrance examination postponed")</f>
        <v>Ministry of Education, in response to the college entrance examination postponed</v>
      </c>
      <c r="D4525" s="4" t="s">
        <v>6982</v>
      </c>
      <c r="E4525" s="4">
        <v>0.0</v>
      </c>
      <c r="F4525" s="4">
        <v>24.0</v>
      </c>
      <c r="G4525" s="4" t="s">
        <v>6983</v>
      </c>
    </row>
    <row r="4526">
      <c r="A4526" s="1">
        <v>4524.0</v>
      </c>
      <c r="B4526" s="4" t="s">
        <v>6943</v>
      </c>
      <c r="C4526" s="5" t="str">
        <f>IFERROR(__xludf.DUMMYFUNCTION("GOOGLETRANSLATE(D:D,""auto"",""en"")"),"Henan school time determined")</f>
        <v>Henan school time determined</v>
      </c>
      <c r="D4526" s="4" t="s">
        <v>6984</v>
      </c>
      <c r="E4526" s="4">
        <v>0.0</v>
      </c>
      <c r="F4526" s="4">
        <v>25.0</v>
      </c>
      <c r="G4526" s="4" t="s">
        <v>6985</v>
      </c>
    </row>
    <row r="4527">
      <c r="A4527" s="1">
        <v>4525.0</v>
      </c>
      <c r="B4527" s="4" t="s">
        <v>6943</v>
      </c>
      <c r="C4527" s="5" t="str">
        <f>IFERROR(__xludf.DUMMYFUNCTION("GOOGLETRANSLATE(D:D,""auto"",""en"")"),"India's population is now infected with capital")</f>
        <v>India's population is now infected with capital</v>
      </c>
      <c r="D4527" s="4" t="s">
        <v>6986</v>
      </c>
      <c r="E4527" s="4">
        <v>0.0</v>
      </c>
      <c r="F4527" s="4">
        <v>26.0</v>
      </c>
      <c r="G4527" s="4" t="s">
        <v>6987</v>
      </c>
    </row>
    <row r="4528">
      <c r="A4528" s="1">
        <v>4526.0</v>
      </c>
      <c r="B4528" s="4" t="s">
        <v>6943</v>
      </c>
      <c r="C4528" s="5" t="str">
        <f>IFERROR(__xludf.DUMMYFUNCTION("GOOGLETRANSLATE(D:D,""auto"",""en"")"),"Universities fall semester postponed")</f>
        <v>Universities fall semester postponed</v>
      </c>
      <c r="D4528" s="4" t="s">
        <v>6988</v>
      </c>
      <c r="E4528" s="4">
        <v>0.0</v>
      </c>
      <c r="F4528" s="4">
        <v>27.0</v>
      </c>
      <c r="G4528" s="4" t="s">
        <v>6989</v>
      </c>
    </row>
    <row r="4529">
      <c r="A4529" s="1">
        <v>4527.0</v>
      </c>
      <c r="B4529" s="4" t="s">
        <v>6943</v>
      </c>
      <c r="C4529" s="5" t="str">
        <f>IFERROR(__xludf.DUMMYFUNCTION("GOOGLETRANSLATE(D:D,""auto"",""en"")"),"US government to send fault ventilator")</f>
        <v>US government to send fault ventilator</v>
      </c>
      <c r="D4529" s="4" t="s">
        <v>6990</v>
      </c>
      <c r="E4529" s="4">
        <v>0.0</v>
      </c>
      <c r="F4529" s="4">
        <v>28.0</v>
      </c>
      <c r="G4529" s="4" t="s">
        <v>6991</v>
      </c>
    </row>
    <row r="4530">
      <c r="A4530" s="1">
        <v>4528.0</v>
      </c>
      <c r="B4530" s="4" t="s">
        <v>6943</v>
      </c>
      <c r="C4530" s="5" t="str">
        <f>IFERROR(__xludf.DUMMYFUNCTION("GOOGLETRANSLATE(D:D,""auto"",""en"")"),"And more determined to postpone the exam")</f>
        <v>And more determined to postpone the exam</v>
      </c>
      <c r="D4530" s="4" t="s">
        <v>6992</v>
      </c>
      <c r="E4530" s="4">
        <v>0.0</v>
      </c>
      <c r="F4530" s="4">
        <v>29.0</v>
      </c>
      <c r="G4530" s="4" t="s">
        <v>6993</v>
      </c>
    </row>
    <row r="4531">
      <c r="A4531" s="1">
        <v>4529.0</v>
      </c>
      <c r="B4531" s="4" t="s">
        <v>6943</v>
      </c>
      <c r="C4531" s="5" t="str">
        <f>IFERROR(__xludf.DUMMYFUNCTION("GOOGLETRANSLATE(D:D,""auto"",""en"")"),"US new single-day break 20000")</f>
        <v>US new single-day break 20000</v>
      </c>
      <c r="D4531" s="4" t="s">
        <v>6994</v>
      </c>
      <c r="E4531" s="4">
        <v>0.0</v>
      </c>
      <c r="F4531" s="4">
        <v>30.0</v>
      </c>
      <c r="G4531" s="4" t="s">
        <v>6995</v>
      </c>
    </row>
    <row r="4532">
      <c r="A4532" s="1">
        <v>4530.0</v>
      </c>
      <c r="B4532" s="4" t="s">
        <v>6943</v>
      </c>
      <c r="C4532" s="5" t="str">
        <f>IFERROR(__xludf.DUMMYFUNCTION("GOOGLETRANSLATE(D:D,""auto"",""en"")"),"Anglo-American epidemic thrown pot China")</f>
        <v>Anglo-American epidemic thrown pot China</v>
      </c>
      <c r="D4532" s="4" t="s">
        <v>6996</v>
      </c>
      <c r="E4532" s="4">
        <v>0.0</v>
      </c>
      <c r="F4532" s="4">
        <v>31.0</v>
      </c>
      <c r="G4532" s="4" t="s">
        <v>6997</v>
      </c>
    </row>
    <row r="4533">
      <c r="A4533" s="1">
        <v>4531.0</v>
      </c>
      <c r="B4533" s="4" t="s">
        <v>6943</v>
      </c>
      <c r="C4533" s="5" t="str">
        <f>IFERROR(__xludf.DUMMYFUNCTION("GOOGLETRANSLATE(D:D,""auto"",""en"")"),"Hope is licensed titles")</f>
        <v>Hope is licensed titles</v>
      </c>
      <c r="D4533" s="4" t="s">
        <v>6998</v>
      </c>
      <c r="E4533" s="4">
        <v>0.0</v>
      </c>
      <c r="F4533" s="4">
        <v>32.0</v>
      </c>
      <c r="G4533" s="4" t="s">
        <v>6999</v>
      </c>
    </row>
    <row r="4534">
      <c r="A4534" s="1">
        <v>4532.0</v>
      </c>
      <c r="B4534" s="4" t="s">
        <v>6943</v>
      </c>
      <c r="C4534" s="5" t="str">
        <f>IFERROR(__xludf.DUMMYFUNCTION("GOOGLETRANSLATE(D:D,""auto"",""en"")"),"19 heroic martyrs who apply for appraisal")</f>
        <v>19 heroic martyrs who apply for appraisal</v>
      </c>
      <c r="D4534" s="4" t="s">
        <v>7000</v>
      </c>
      <c r="E4534" s="4">
        <v>0.0</v>
      </c>
      <c r="F4534" s="4">
        <v>33.0</v>
      </c>
      <c r="G4534" s="4" t="s">
        <v>7001</v>
      </c>
    </row>
    <row r="4535">
      <c r="A4535" s="1">
        <v>4533.0</v>
      </c>
      <c r="B4535" s="4" t="s">
        <v>6943</v>
      </c>
      <c r="C4535" s="5" t="str">
        <f>IFERROR(__xludf.DUMMYFUNCTION("GOOGLETRANSLATE(D:D,""auto"",""en"")"),"Suzhou Wong Kan Tai accident")</f>
        <v>Suzhou Wong Kan Tai accident</v>
      </c>
      <c r="D4535" s="4" t="s">
        <v>7002</v>
      </c>
      <c r="E4535" s="4">
        <v>0.0</v>
      </c>
      <c r="F4535" s="4">
        <v>34.0</v>
      </c>
      <c r="G4535" s="4" t="s">
        <v>7003</v>
      </c>
    </row>
    <row r="4536">
      <c r="A4536" s="1">
        <v>4534.0</v>
      </c>
      <c r="B4536" s="4" t="s">
        <v>6943</v>
      </c>
      <c r="C4536" s="5" t="str">
        <f>IFERROR(__xludf.DUMMYFUNCTION("GOOGLETRANSLATE(D:D,""auto"",""en"")"),"Xichang ignition point resurgence")</f>
        <v>Xichang ignition point resurgence</v>
      </c>
      <c r="D4536" s="4" t="s">
        <v>7004</v>
      </c>
      <c r="E4536" s="4">
        <v>0.0</v>
      </c>
      <c r="F4536" s="4">
        <v>35.0</v>
      </c>
      <c r="G4536" s="4" t="s">
        <v>7005</v>
      </c>
    </row>
    <row r="4537">
      <c r="A4537" s="1">
        <v>4535.0</v>
      </c>
      <c r="B4537" s="4" t="s">
        <v>6943</v>
      </c>
      <c r="C4537" s="5" t="str">
        <f>IFERROR(__xludf.DUMMYFUNCTION("GOOGLETRANSLATE(D:D,""auto"",""en"")"),"Over 800,000 cases diagnosed worldwide")</f>
        <v>Over 800,000 cases diagnosed worldwide</v>
      </c>
      <c r="D4537" s="4" t="s">
        <v>7006</v>
      </c>
      <c r="E4537" s="4">
        <v>0.0</v>
      </c>
      <c r="F4537" s="4">
        <v>36.0</v>
      </c>
      <c r="G4537" s="4" t="s">
        <v>7007</v>
      </c>
    </row>
    <row r="4538">
      <c r="A4538" s="1">
        <v>4536.0</v>
      </c>
      <c r="B4538" s="4" t="s">
        <v>6943</v>
      </c>
      <c r="C4538" s="5" t="str">
        <f>IFERROR(__xludf.DUMMYFUNCTION("GOOGLETRANSLATE(D:D,""auto"",""en"")"),"Ministry of Foreign Affairs to talk about ships collide")</f>
        <v>Ministry of Foreign Affairs to talk about ships collide</v>
      </c>
      <c r="D4538" s="4" t="s">
        <v>7008</v>
      </c>
      <c r="E4538" s="4">
        <v>0.0</v>
      </c>
      <c r="F4538" s="4">
        <v>37.0</v>
      </c>
      <c r="G4538" s="4" t="s">
        <v>7009</v>
      </c>
    </row>
    <row r="4539">
      <c r="A4539" s="1">
        <v>4537.0</v>
      </c>
      <c r="B4539" s="4" t="s">
        <v>6943</v>
      </c>
      <c r="C4539" s="5" t="str">
        <f>IFERROR(__xludf.DUMMYFUNCTION("GOOGLETRANSLATE(D:D,""auto"",""en"")"),"Huanggang Novelty Retrieval of dismissal")</f>
        <v>Huanggang Novelty Retrieval of dismissal</v>
      </c>
      <c r="D4539" s="4" t="s">
        <v>6939</v>
      </c>
      <c r="E4539" s="4">
        <v>0.0</v>
      </c>
      <c r="F4539" s="4">
        <v>38.0</v>
      </c>
      <c r="G4539" s="4" t="s">
        <v>6940</v>
      </c>
    </row>
    <row r="4540">
      <c r="A4540" s="1">
        <v>4538.0</v>
      </c>
      <c r="B4540" s="4" t="s">
        <v>6943</v>
      </c>
      <c r="C4540" s="5" t="str">
        <f>IFERROR(__xludf.DUMMYFUNCTION("GOOGLETRANSLATE(D:D,""auto"",""en"")"),"Godfrey girlfriend suspected new romance")</f>
        <v>Godfrey girlfriend suspected new romance</v>
      </c>
      <c r="D4540" s="4" t="s">
        <v>6903</v>
      </c>
      <c r="E4540" s="4">
        <v>0.0</v>
      </c>
      <c r="F4540" s="4">
        <v>39.0</v>
      </c>
      <c r="G4540" s="4" t="s">
        <v>6904</v>
      </c>
    </row>
    <row r="4541">
      <c r="A4541" s="1">
        <v>4539.0</v>
      </c>
      <c r="B4541" s="4" t="s">
        <v>6943</v>
      </c>
      <c r="C4541" s="5" t="str">
        <f>IFERROR(__xludf.DUMMYFUNCTION("GOOGLETRANSLATE(D:D,""auto"",""en"")"),"Department of derailment victims Tiejing")</f>
        <v>Department of derailment victims Tiejing</v>
      </c>
      <c r="D4541" s="4" t="s">
        <v>6901</v>
      </c>
      <c r="E4541" s="4">
        <v>0.0</v>
      </c>
      <c r="F4541" s="4">
        <v>40.0</v>
      </c>
      <c r="G4541" s="4" t="s">
        <v>6902</v>
      </c>
    </row>
    <row r="4542">
      <c r="A4542" s="1">
        <v>4540.0</v>
      </c>
      <c r="B4542" s="4" t="s">
        <v>6943</v>
      </c>
      <c r="C4542" s="5" t="str">
        <f>IFERROR(__xludf.DUMMYFUNCTION("GOOGLETRANSLATE(D:D,""auto"",""en"")"),"In April a number of new regulations")</f>
        <v>In April a number of new regulations</v>
      </c>
      <c r="D4542" s="4" t="s">
        <v>7010</v>
      </c>
      <c r="E4542" s="4">
        <v>0.0</v>
      </c>
      <c r="F4542" s="4">
        <v>41.0</v>
      </c>
      <c r="G4542" s="4" t="s">
        <v>7011</v>
      </c>
    </row>
    <row r="4543">
      <c r="A4543" s="1">
        <v>4541.0</v>
      </c>
      <c r="B4543" s="4" t="s">
        <v>6943</v>
      </c>
      <c r="C4543" s="5" t="str">
        <f>IFERROR(__xludf.DUMMYFUNCTION("GOOGLETRANSLATE(D:D,""auto"",""en"")"),"National new cases of 48 cases")</f>
        <v>National new cases of 48 cases</v>
      </c>
      <c r="D4543" s="4" t="s">
        <v>7012</v>
      </c>
      <c r="E4543" s="4">
        <v>0.0</v>
      </c>
      <c r="F4543" s="4">
        <v>42.0</v>
      </c>
      <c r="G4543" s="4" t="s">
        <v>7013</v>
      </c>
    </row>
    <row r="4544">
      <c r="A4544" s="1">
        <v>4542.0</v>
      </c>
      <c r="B4544" s="4" t="s">
        <v>6943</v>
      </c>
      <c r="C4544" s="5" t="str">
        <f>IFERROR(__xludf.DUMMYFUNCTION("GOOGLETRANSLATE(D:D,""auto"",""en"")"),"China's first supplies arrived in New York")</f>
        <v>China's first supplies arrived in New York</v>
      </c>
      <c r="D4544" s="4" t="s">
        <v>6893</v>
      </c>
      <c r="E4544" s="4">
        <v>0.0</v>
      </c>
      <c r="F4544" s="4">
        <v>43.0</v>
      </c>
      <c r="G4544" s="4" t="s">
        <v>6894</v>
      </c>
    </row>
    <row r="4545">
      <c r="A4545" s="1">
        <v>4543.0</v>
      </c>
      <c r="B4545" s="4" t="s">
        <v>6943</v>
      </c>
      <c r="C4545" s="5" t="str">
        <f>IFERROR(__xludf.DUMMYFUNCTION("GOOGLETRANSLATE(D:D,""auto"",""en"")"),"Lu Lu underweight exposure 80")</f>
        <v>Lu Lu underweight exposure 80</v>
      </c>
      <c r="D4545" s="4" t="s">
        <v>7014</v>
      </c>
      <c r="E4545" s="4">
        <v>0.0</v>
      </c>
      <c r="F4545" s="4">
        <v>44.0</v>
      </c>
      <c r="G4545" s="4" t="s">
        <v>7015</v>
      </c>
    </row>
    <row r="4546">
      <c r="A4546" s="1">
        <v>4544.0</v>
      </c>
      <c r="B4546" s="4" t="s">
        <v>6943</v>
      </c>
      <c r="C4546" s="5" t="str">
        <f>IFERROR(__xludf.DUMMYFUNCTION("GOOGLETRANSLATE(D:D,""auto"",""en"")"),"Request to return fugitives to surrender")</f>
        <v>Request to return fugitives to surrender</v>
      </c>
      <c r="D4546" s="4" t="s">
        <v>7016</v>
      </c>
      <c r="E4546" s="4">
        <v>0.0</v>
      </c>
      <c r="F4546" s="4">
        <v>45.0</v>
      </c>
      <c r="G4546" s="4" t="s">
        <v>7017</v>
      </c>
    </row>
    <row r="4547">
      <c r="A4547" s="1">
        <v>4545.0</v>
      </c>
      <c r="B4547" s="4" t="s">
        <v>6943</v>
      </c>
      <c r="C4547" s="5" t="str">
        <f>IFERROR(__xludf.DUMMYFUNCTION("GOOGLETRANSLATE(D:D,""auto"",""en"")"),"Store Nicholas billions Save Rent")</f>
        <v>Store Nicholas billions Save Rent</v>
      </c>
      <c r="D4547" s="4" t="s">
        <v>7018</v>
      </c>
      <c r="E4547" s="4">
        <v>0.0</v>
      </c>
      <c r="F4547" s="4">
        <v>46.0</v>
      </c>
      <c r="G4547" s="4" t="s">
        <v>7019</v>
      </c>
    </row>
    <row r="4548">
      <c r="A4548" s="1">
        <v>4546.0</v>
      </c>
      <c r="B4548" s="4" t="s">
        <v>6943</v>
      </c>
      <c r="C4548" s="5" t="str">
        <f>IFERROR(__xludf.DUMMYFUNCTION("GOOGLETRANSLATE(D:D,""auto"",""en"")"),"Three artists simultaneously Ait Li Jing")</f>
        <v>Three artists simultaneously Ait Li Jing</v>
      </c>
      <c r="D4548" s="4" t="s">
        <v>7020</v>
      </c>
      <c r="E4548" s="4">
        <v>0.0</v>
      </c>
      <c r="F4548" s="4">
        <v>47.0</v>
      </c>
      <c r="G4548" s="4" t="s">
        <v>7021</v>
      </c>
    </row>
    <row r="4549">
      <c r="A4549" s="1">
        <v>4547.0</v>
      </c>
      <c r="B4549" s="4" t="s">
        <v>6943</v>
      </c>
      <c r="C4549" s="5" t="str">
        <f>IFERROR(__xludf.DUMMYFUNCTION("GOOGLETRANSLATE(D:D,""auto"",""en"")"),"US patients diagnosed over 160 000")</f>
        <v>US patients diagnosed over 160 000</v>
      </c>
      <c r="D4549" s="4" t="s">
        <v>7022</v>
      </c>
      <c r="E4549" s="4">
        <v>0.0</v>
      </c>
      <c r="F4549" s="4">
        <v>48.0</v>
      </c>
      <c r="G4549" s="4" t="s">
        <v>7023</v>
      </c>
    </row>
    <row r="4550">
      <c r="A4550" s="1">
        <v>4548.0</v>
      </c>
      <c r="B4550" s="4" t="s">
        <v>6943</v>
      </c>
      <c r="C4550" s="5" t="str">
        <f>IFERROR(__xludf.DUMMYFUNCTION("GOOGLETRANSLATE(D:D,""auto"",""en"")"),"Japan's Mount Fuji eruption prediction")</f>
        <v>Japan's Mount Fuji eruption prediction</v>
      </c>
      <c r="D4550" s="4" t="s">
        <v>7024</v>
      </c>
      <c r="E4550" s="4">
        <v>0.0</v>
      </c>
      <c r="F4550" s="4">
        <v>49.0</v>
      </c>
      <c r="G4550" s="4" t="s">
        <v>7025</v>
      </c>
    </row>
    <row r="4551">
      <c r="A4551" s="1">
        <v>4549.0</v>
      </c>
      <c r="B4551" s="4" t="s">
        <v>6943</v>
      </c>
      <c r="C4551" s="5" t="str">
        <f>IFERROR(__xludf.DUMMYFUNCTION("GOOGLETRANSLATE(D:D,""auto"",""en"")"),"On the Education Ministry to resume classes wearing masks")</f>
        <v>On the Education Ministry to resume classes wearing masks</v>
      </c>
      <c r="D4551" s="4" t="s">
        <v>7026</v>
      </c>
      <c r="E4551" s="4">
        <v>0.0</v>
      </c>
      <c r="F4551" s="4">
        <v>50.0</v>
      </c>
      <c r="G4551" s="4" t="s">
        <v>7027</v>
      </c>
    </row>
    <row r="4552">
      <c r="A4552" s="1">
        <v>4550.0</v>
      </c>
      <c r="B4552" s="4" t="s">
        <v>7028</v>
      </c>
      <c r="C4552" s="5" t="str">
        <f>IFERROR(__xludf.DUMMYFUNCTION("GOOGLETRANSLATE(D:D,""auto"",""en"")"),"Italy throughout lowered to half")</f>
        <v>Italy throughout lowered to half</v>
      </c>
      <c r="D4552" s="4" t="s">
        <v>7029</v>
      </c>
      <c r="E4552" s="4">
        <v>0.0</v>
      </c>
      <c r="F4552" s="4">
        <v>1.0</v>
      </c>
      <c r="G4552" s="4" t="s">
        <v>7030</v>
      </c>
    </row>
    <row r="4553">
      <c r="A4553" s="1">
        <v>4551.0</v>
      </c>
      <c r="B4553" s="4" t="s">
        <v>7028</v>
      </c>
      <c r="C4553" s="5" t="str">
        <f>IFERROR(__xludf.DUMMYFUNCTION("GOOGLETRANSLATE(D:D,""auto"",""en"")"),"Xichang list of fire victims")</f>
        <v>Xichang list of fire victims</v>
      </c>
      <c r="D4553" s="4" t="s">
        <v>6964</v>
      </c>
      <c r="E4553" s="4">
        <v>0.0</v>
      </c>
      <c r="F4553" s="4">
        <v>2.0</v>
      </c>
      <c r="G4553" s="4" t="s">
        <v>6965</v>
      </c>
    </row>
    <row r="4554">
      <c r="A4554" s="1">
        <v>4552.0</v>
      </c>
      <c r="B4554" s="4" t="s">
        <v>7028</v>
      </c>
      <c r="C4554" s="5" t="str">
        <f>IFERROR(__xludf.DUMMYFUNCTION("GOOGLETRANSLATE(D:D,""auto"",""en"")"),"Hang Li Lanjuan back to pick up her husband")</f>
        <v>Hang Li Lanjuan back to pick up her husband</v>
      </c>
      <c r="D4554" s="4" t="s">
        <v>7031</v>
      </c>
      <c r="E4554" s="4">
        <v>0.0</v>
      </c>
      <c r="F4554" s="4">
        <v>3.0</v>
      </c>
      <c r="G4554" s="4" t="s">
        <v>7032</v>
      </c>
    </row>
    <row r="4555">
      <c r="A4555" s="1">
        <v>4553.0</v>
      </c>
      <c r="B4555" s="4" t="s">
        <v>7028</v>
      </c>
      <c r="C4555" s="5" t="str">
        <f>IFERROR(__xludf.DUMMYFUNCTION("GOOGLETRANSLATE(D:D,""auto"",""en"")"),"Zhao Liying studio issued a statement")</f>
        <v>Zhao Liying studio issued a statement</v>
      </c>
      <c r="D4555" s="4" t="s">
        <v>7033</v>
      </c>
      <c r="E4555" s="4">
        <v>0.0</v>
      </c>
      <c r="F4555" s="4">
        <v>4.0</v>
      </c>
      <c r="G4555" s="4" t="s">
        <v>7034</v>
      </c>
    </row>
    <row r="4556">
      <c r="A4556" s="1">
        <v>4554.0</v>
      </c>
      <c r="B4556" s="4" t="s">
        <v>7028</v>
      </c>
      <c r="C4556" s="5" t="str">
        <f>IFERROR(__xludf.DUMMYFUNCTION("GOOGLETRANSLATE(D:D,""auto"",""en"")"),"Idaho earthquake")</f>
        <v>Idaho earthquake</v>
      </c>
      <c r="D4556" s="4" t="s">
        <v>7035</v>
      </c>
      <c r="E4556" s="4">
        <v>0.0</v>
      </c>
      <c r="F4556" s="4">
        <v>5.0</v>
      </c>
      <c r="G4556" s="4" t="s">
        <v>7036</v>
      </c>
    </row>
    <row r="4557">
      <c r="A4557" s="1">
        <v>4555.0</v>
      </c>
      <c r="B4557" s="4" t="s">
        <v>7028</v>
      </c>
      <c r="C4557" s="5" t="str">
        <f>IFERROR(__xludf.DUMMYFUNCTION("GOOGLETRANSLATE(D:D,""auto"",""en"")"),"Xichang ignition point resurgence")</f>
        <v>Xichang ignition point resurgence</v>
      </c>
      <c r="D4557" s="4" t="s">
        <v>7004</v>
      </c>
      <c r="E4557" s="4">
        <v>0.0</v>
      </c>
      <c r="F4557" s="4">
        <v>6.0</v>
      </c>
      <c r="G4557" s="4" t="s">
        <v>7005</v>
      </c>
    </row>
    <row r="4558">
      <c r="A4558" s="1">
        <v>4556.0</v>
      </c>
      <c r="B4558" s="4" t="s">
        <v>7028</v>
      </c>
      <c r="C4558" s="5" t="str">
        <f>IFERROR(__xludf.DUMMYFUNCTION("GOOGLETRANSLATE(D:D,""auto"",""en"")"),"Over 800,000 cases diagnosed worldwide")</f>
        <v>Over 800,000 cases diagnosed worldwide</v>
      </c>
      <c r="D4558" s="4" t="s">
        <v>7006</v>
      </c>
      <c r="E4558" s="4">
        <v>0.0</v>
      </c>
      <c r="F4558" s="4">
        <v>7.0</v>
      </c>
      <c r="G4558" s="4" t="s">
        <v>7007</v>
      </c>
    </row>
    <row r="4559">
      <c r="A4559" s="1">
        <v>4557.0</v>
      </c>
      <c r="B4559" s="4" t="s">
        <v>7028</v>
      </c>
      <c r="C4559" s="5" t="str">
        <f>IFERROR(__xludf.DUMMYFUNCTION("GOOGLETRANSLATE(D:D,""auto"",""en"")"),"CNN anchor diagnosed infections")</f>
        <v>CNN anchor diagnosed infections</v>
      </c>
      <c r="D4559" s="4" t="s">
        <v>7037</v>
      </c>
      <c r="E4559" s="4">
        <v>0.0</v>
      </c>
      <c r="F4559" s="4">
        <v>8.0</v>
      </c>
      <c r="G4559" s="4" t="s">
        <v>7038</v>
      </c>
    </row>
    <row r="4560">
      <c r="A4560" s="1">
        <v>4558.0</v>
      </c>
      <c r="B4560" s="4" t="s">
        <v>7028</v>
      </c>
      <c r="C4560" s="5" t="str">
        <f>IFERROR(__xludf.DUMMYFUNCTION("GOOGLETRANSLATE(D:D,""auto"",""en"")"),"130 cases nationwide increased asymptomatic")</f>
        <v>130 cases nationwide increased asymptomatic</v>
      </c>
      <c r="D4560" s="4" t="s">
        <v>7039</v>
      </c>
      <c r="E4560" s="4">
        <v>0.0</v>
      </c>
      <c r="F4560" s="4">
        <v>9.0</v>
      </c>
      <c r="G4560" s="4" t="s">
        <v>7040</v>
      </c>
    </row>
    <row r="4561">
      <c r="A4561" s="1">
        <v>4559.0</v>
      </c>
      <c r="B4561" s="4" t="s">
        <v>7028</v>
      </c>
      <c r="C4561" s="5" t="str">
        <f>IFERROR(__xludf.DUMMYFUNCTION("GOOGLETRANSLATE(D:D,""auto"",""en"")"),"Zhengzhou will be issued 400 million coupons")</f>
        <v>Zhengzhou will be issued 400 million coupons</v>
      </c>
      <c r="D4561" s="4" t="s">
        <v>7041</v>
      </c>
      <c r="E4561" s="4">
        <v>0.0</v>
      </c>
      <c r="F4561" s="4">
        <v>10.0</v>
      </c>
      <c r="G4561" s="4" t="s">
        <v>7042</v>
      </c>
    </row>
    <row r="4562">
      <c r="A4562" s="1">
        <v>4560.0</v>
      </c>
      <c r="B4562" s="4" t="s">
        <v>7028</v>
      </c>
      <c r="C4562" s="5" t="str">
        <f>IFERROR(__xludf.DUMMYFUNCTION("GOOGLETRANSLATE(D:D,""auto"",""en"")"),"Spain new single-day high death")</f>
        <v>Spain new single-day high death</v>
      </c>
      <c r="D4562" s="4" t="s">
        <v>7043</v>
      </c>
      <c r="E4562" s="4">
        <v>0.0</v>
      </c>
      <c r="F4562" s="4">
        <v>11.0</v>
      </c>
      <c r="G4562" s="4" t="s">
        <v>7044</v>
      </c>
    </row>
    <row r="4563">
      <c r="A4563" s="1">
        <v>4561.0</v>
      </c>
      <c r="B4563" s="4" t="s">
        <v>7028</v>
      </c>
      <c r="C4563" s="5" t="str">
        <f>IFERROR(__xludf.DUMMYFUNCTION("GOOGLETRANSLATE(D:D,""auto"",""en"")"),"Export supplies to tighten the fight against SARS")</f>
        <v>Export supplies to tighten the fight against SARS</v>
      </c>
      <c r="D4563" s="4" t="s">
        <v>7045</v>
      </c>
      <c r="E4563" s="4">
        <v>0.0</v>
      </c>
      <c r="F4563" s="4">
        <v>12.0</v>
      </c>
      <c r="G4563" s="4" t="s">
        <v>7046</v>
      </c>
    </row>
    <row r="4564">
      <c r="A4564" s="1">
        <v>4562.0</v>
      </c>
      <c r="B4564" s="4" t="s">
        <v>7028</v>
      </c>
      <c r="C4564" s="5" t="str">
        <f>IFERROR(__xludf.DUMMYFUNCTION("GOOGLETRANSLATE(D:D,""auto"",""en"")"),"Over 850,000 confirmed cases worldwide")</f>
        <v>Over 850,000 confirmed cases worldwide</v>
      </c>
      <c r="D4564" s="4" t="s">
        <v>7047</v>
      </c>
      <c r="E4564" s="4">
        <v>0.0</v>
      </c>
      <c r="F4564" s="4">
        <v>13.0</v>
      </c>
      <c r="G4564" s="4" t="s">
        <v>7048</v>
      </c>
    </row>
    <row r="4565">
      <c r="A4565" s="1">
        <v>4563.0</v>
      </c>
      <c r="B4565" s="4" t="s">
        <v>7028</v>
      </c>
      <c r="C4565" s="5" t="str">
        <f>IFERROR(__xludf.DUMMYFUNCTION("GOOGLETRANSLATE(D:D,""auto"",""en"")"),"Pompeo talk about the contribution of US aid")</f>
        <v>Pompeo talk about the contribution of US aid</v>
      </c>
      <c r="D4565" s="4" t="s">
        <v>7049</v>
      </c>
      <c r="E4565" s="4">
        <v>0.0</v>
      </c>
      <c r="F4565" s="4">
        <v>14.0</v>
      </c>
      <c r="G4565" s="4" t="s">
        <v>7050</v>
      </c>
    </row>
    <row r="4566">
      <c r="A4566" s="1">
        <v>4564.0</v>
      </c>
      <c r="B4566" s="4" t="s">
        <v>7028</v>
      </c>
      <c r="C4566" s="5" t="str">
        <f>IFERROR(__xludf.DUMMYFUNCTION("GOOGLETRANSLATE(D:D,""auto"",""en"")"),"Xingtai batch of teachers to go abroad without authorization")</f>
        <v>Xingtai batch of teachers to go abroad without authorization</v>
      </c>
      <c r="D4566" s="4" t="s">
        <v>7051</v>
      </c>
      <c r="E4566" s="4">
        <v>0.0</v>
      </c>
      <c r="F4566" s="4">
        <v>15.0</v>
      </c>
      <c r="G4566" s="4" t="s">
        <v>7052</v>
      </c>
    </row>
    <row r="4567">
      <c r="A4567" s="1">
        <v>4565.0</v>
      </c>
      <c r="B4567" s="4" t="s">
        <v>7028</v>
      </c>
      <c r="C4567" s="5" t="str">
        <f>IFERROR(__xludf.DUMMYFUNCTION("GOOGLETRANSLATE(D:D,""auto"",""en"")"),"British 17 people infected")</f>
        <v>British 17 people infected</v>
      </c>
      <c r="D4567" s="4" t="s">
        <v>7053</v>
      </c>
      <c r="E4567" s="4">
        <v>0.0</v>
      </c>
      <c r="F4567" s="4">
        <v>16.0</v>
      </c>
      <c r="G4567" s="4" t="s">
        <v>7054</v>
      </c>
    </row>
    <row r="4568">
      <c r="A4568" s="1">
        <v>4566.0</v>
      </c>
      <c r="B4568" s="4" t="s">
        <v>7028</v>
      </c>
      <c r="C4568" s="5" t="str">
        <f>IFERROR(__xludf.DUMMYFUNCTION("GOOGLETRANSLATE(D:D,""auto"",""en"")"),"Foreign man for Beijing refused to isolation")</f>
        <v>Foreign man for Beijing refused to isolation</v>
      </c>
      <c r="D4568" s="4" t="s">
        <v>7055</v>
      </c>
      <c r="E4568" s="4">
        <v>0.0</v>
      </c>
      <c r="F4568" s="4">
        <v>17.0</v>
      </c>
      <c r="G4568" s="4" t="s">
        <v>7056</v>
      </c>
    </row>
    <row r="4569">
      <c r="A4569" s="1">
        <v>4567.0</v>
      </c>
      <c r="B4569" s="4" t="s">
        <v>7028</v>
      </c>
      <c r="C4569" s="5" t="str">
        <f>IFERROR(__xludf.DUMMYFUNCTION("GOOGLETRANSLATE(D:D,""auto"",""en"")"),"Hua Chunying Four questions Pompeo")</f>
        <v>Hua Chunying Four questions Pompeo</v>
      </c>
      <c r="D4569" s="4" t="s">
        <v>7057</v>
      </c>
      <c r="E4569" s="4">
        <v>0.0</v>
      </c>
      <c r="F4569" s="4">
        <v>18.0</v>
      </c>
      <c r="G4569" s="4" t="s">
        <v>7058</v>
      </c>
    </row>
    <row r="4570">
      <c r="A4570" s="1">
        <v>4568.0</v>
      </c>
      <c r="B4570" s="4" t="s">
        <v>7028</v>
      </c>
      <c r="C4570" s="5" t="str">
        <f>IFERROR(__xludf.DUMMYFUNCTION("GOOGLETRANSLATE(D:D,""auto"",""en"")"),"Qingming go back to Beijing to be isolated")</f>
        <v>Qingming go back to Beijing to be isolated</v>
      </c>
      <c r="D4570" s="4" t="s">
        <v>7059</v>
      </c>
      <c r="E4570" s="4">
        <v>0.0</v>
      </c>
      <c r="F4570" s="4">
        <v>19.0</v>
      </c>
      <c r="G4570" s="4" t="s">
        <v>7060</v>
      </c>
    </row>
    <row r="4571">
      <c r="A4571" s="1">
        <v>4569.0</v>
      </c>
      <c r="B4571" s="4" t="s">
        <v>7028</v>
      </c>
      <c r="C4571" s="5" t="str">
        <f>IFERROR(__xludf.DUMMYFUNCTION("GOOGLETRANSLATE(D:D,""auto"",""en"")"),"Zhong Nanshan talk epidemic inflection point")</f>
        <v>Zhong Nanshan talk epidemic inflection point</v>
      </c>
      <c r="D4571" s="4" t="s">
        <v>7061</v>
      </c>
      <c r="E4571" s="4">
        <v>0.0</v>
      </c>
      <c r="F4571" s="4">
        <v>20.0</v>
      </c>
      <c r="G4571" s="4" t="s">
        <v>7062</v>
      </c>
    </row>
    <row r="4572">
      <c r="A4572" s="1">
        <v>4570.0</v>
      </c>
      <c r="B4572" s="4" t="s">
        <v>7028</v>
      </c>
      <c r="C4572" s="5" t="str">
        <f>IFERROR(__xludf.DUMMYFUNCTION("GOOGLETRANSLATE(D:D,""auto"",""en"")"),"Overheating list with a cargo net exposure")</f>
        <v>Overheating list with a cargo net exposure</v>
      </c>
      <c r="D4572" s="4" t="s">
        <v>7063</v>
      </c>
      <c r="E4572" s="4">
        <v>0.0</v>
      </c>
      <c r="F4572" s="4">
        <v>21.0</v>
      </c>
      <c r="G4572" s="4" t="s">
        <v>7064</v>
      </c>
    </row>
    <row r="4573">
      <c r="A4573" s="1">
        <v>4571.0</v>
      </c>
      <c r="B4573" s="4" t="s">
        <v>7028</v>
      </c>
      <c r="C4573" s="5" t="str">
        <f>IFERROR(__xludf.DUMMYFUNCTION("GOOGLETRANSLATE(D:D,""auto"",""en"")"),"Lu cut in response to detection of an event")</f>
        <v>Lu cut in response to detection of an event</v>
      </c>
      <c r="D4573" s="4" t="s">
        <v>7065</v>
      </c>
      <c r="E4573" s="4">
        <v>0.0</v>
      </c>
      <c r="F4573" s="4">
        <v>22.0</v>
      </c>
      <c r="G4573" s="4" t="s">
        <v>7066</v>
      </c>
    </row>
    <row r="4574">
      <c r="A4574" s="1">
        <v>4572.0</v>
      </c>
      <c r="B4574" s="4" t="s">
        <v>7028</v>
      </c>
      <c r="C4574" s="5" t="str">
        <f>IFERROR(__xludf.DUMMYFUNCTION("GOOGLETRANSLATE(D:D,""auto"",""en"")"),"Suzhou Wong Kan Tai accident")</f>
        <v>Suzhou Wong Kan Tai accident</v>
      </c>
      <c r="D4574" s="4" t="s">
        <v>7002</v>
      </c>
      <c r="E4574" s="4">
        <v>0.0</v>
      </c>
      <c r="F4574" s="4">
        <v>23.0</v>
      </c>
      <c r="G4574" s="4" t="s">
        <v>7003</v>
      </c>
    </row>
    <row r="4575">
      <c r="A4575" s="1">
        <v>4573.0</v>
      </c>
      <c r="B4575" s="4" t="s">
        <v>7028</v>
      </c>
      <c r="C4575" s="5" t="str">
        <f>IFERROR(__xludf.DUMMYFUNCTION("GOOGLETRANSLATE(D:D,""auto"",""en"")"),"US media exposure status of hospitals in New York")</f>
        <v>US media exposure status of hospitals in New York</v>
      </c>
      <c r="D4575" s="4" t="s">
        <v>7067</v>
      </c>
      <c r="E4575" s="4">
        <v>0.0</v>
      </c>
      <c r="F4575" s="4">
        <v>24.0</v>
      </c>
      <c r="G4575" s="4" t="s">
        <v>7068</v>
      </c>
    </row>
    <row r="4576">
      <c r="A4576" s="1">
        <v>4574.0</v>
      </c>
      <c r="B4576" s="4" t="s">
        <v>7028</v>
      </c>
      <c r="C4576" s="5" t="str">
        <f>IFERROR(__xludf.DUMMYFUNCTION("GOOGLETRANSLATE(D:D,""auto"",""en"")"),"Ohio into a major disaster area")</f>
        <v>Ohio into a major disaster area</v>
      </c>
      <c r="D4576" s="4" t="s">
        <v>7069</v>
      </c>
      <c r="E4576" s="4">
        <v>0.0</v>
      </c>
      <c r="F4576" s="4">
        <v>25.0</v>
      </c>
      <c r="G4576" s="4" t="s">
        <v>7070</v>
      </c>
    </row>
    <row r="4577">
      <c r="A4577" s="1">
        <v>4575.0</v>
      </c>
      <c r="B4577" s="4" t="s">
        <v>7028</v>
      </c>
      <c r="C4577" s="5" t="str">
        <f>IFERROR(__xludf.DUMMYFUNCTION("GOOGLETRANSLATE(D:D,""auto"",""en"")"),"Guo Jingfei return to work if two fat")</f>
        <v>Guo Jingfei return to work if two fat</v>
      </c>
      <c r="D4577" s="4" t="s">
        <v>7071</v>
      </c>
      <c r="E4577" s="4">
        <v>0.0</v>
      </c>
      <c r="F4577" s="4">
        <v>26.0</v>
      </c>
      <c r="G4577" s="4" t="s">
        <v>7072</v>
      </c>
    </row>
    <row r="4578">
      <c r="A4578" s="1">
        <v>4576.0</v>
      </c>
      <c r="B4578" s="4" t="s">
        <v>7028</v>
      </c>
      <c r="C4578" s="5" t="str">
        <f>IFERROR(__xludf.DUMMYFUNCTION("GOOGLETRANSLATE(D:D,""auto"",""en"")"),"Guangdong new cases of 11 cases")</f>
        <v>Guangdong new cases of 11 cases</v>
      </c>
      <c r="D4578" s="4" t="s">
        <v>7073</v>
      </c>
      <c r="E4578" s="4">
        <v>0.0</v>
      </c>
      <c r="F4578" s="4">
        <v>27.0</v>
      </c>
      <c r="G4578" s="4" t="s">
        <v>7074</v>
      </c>
    </row>
    <row r="4579">
      <c r="A4579" s="1">
        <v>4577.0</v>
      </c>
      <c r="B4579" s="4" t="s">
        <v>7028</v>
      </c>
      <c r="C4579" s="5" t="str">
        <f>IFERROR(__xludf.DUMMYFUNCTION("GOOGLETRANSLATE(D:D,""auto"",""en"")"),"Chinese Academy of Sciences led the five left to fight another day")</f>
        <v>Chinese Academy of Sciences led the five left to fight another day</v>
      </c>
      <c r="D4579" s="4" t="s">
        <v>7075</v>
      </c>
      <c r="E4579" s="4">
        <v>0.0</v>
      </c>
      <c r="F4579" s="4">
        <v>28.0</v>
      </c>
      <c r="G4579" s="4" t="s">
        <v>7076</v>
      </c>
    </row>
    <row r="4580">
      <c r="A4580" s="1">
        <v>4578.0</v>
      </c>
      <c r="B4580" s="4" t="s">
        <v>7028</v>
      </c>
      <c r="C4580" s="5" t="str">
        <f>IFERROR(__xludf.DUMMYFUNCTION("GOOGLETRANSLATE(D:D,""auto"",""en"")"),"Beijing announced the opening condition")</f>
        <v>Beijing announced the opening condition</v>
      </c>
      <c r="D4580" s="4" t="s">
        <v>7077</v>
      </c>
      <c r="E4580" s="4">
        <v>0.0</v>
      </c>
      <c r="F4580" s="4">
        <v>29.0</v>
      </c>
      <c r="G4580" s="4" t="s">
        <v>7078</v>
      </c>
    </row>
    <row r="4581">
      <c r="A4581" s="1">
        <v>4579.0</v>
      </c>
      <c r="B4581" s="4" t="s">
        <v>7028</v>
      </c>
      <c r="C4581" s="5" t="str">
        <f>IFERROR(__xludf.DUMMYFUNCTION("GOOGLETRANSLATE(D:D,""auto"",""en"")"),"Zoo large number of animal deaths")</f>
        <v>Zoo large number of animal deaths</v>
      </c>
      <c r="D4581" s="4" t="s">
        <v>7079</v>
      </c>
      <c r="E4581" s="4">
        <v>0.0</v>
      </c>
      <c r="F4581" s="4">
        <v>30.0</v>
      </c>
      <c r="G4581" s="4" t="s">
        <v>7080</v>
      </c>
    </row>
    <row r="4582">
      <c r="A4582" s="1">
        <v>4580.0</v>
      </c>
      <c r="B4582" s="4" t="s">
        <v>7028</v>
      </c>
      <c r="C4582" s="5" t="str">
        <f>IFERROR(__xludf.DUMMYFUNCTION("GOOGLETRANSLATE(D:D,""auto"",""en"")"),"American food store hundreds of car")</f>
        <v>American food store hundreds of car</v>
      </c>
      <c r="D4582" s="4" t="s">
        <v>7081</v>
      </c>
      <c r="E4582" s="4">
        <v>0.0</v>
      </c>
      <c r="F4582" s="4">
        <v>31.0</v>
      </c>
      <c r="G4582" s="4" t="s">
        <v>7082</v>
      </c>
    </row>
    <row r="4583">
      <c r="A4583" s="1">
        <v>4581.0</v>
      </c>
      <c r="B4583" s="4" t="s">
        <v>7028</v>
      </c>
      <c r="C4583" s="5" t="str">
        <f>IFERROR(__xludf.DUMMYFUNCTION("GOOGLETRANSLATE(D:D,""auto"",""en"")"),"Forest Fire Chinese rumor")</f>
        <v>Forest Fire Chinese rumor</v>
      </c>
      <c r="D4583" s="4" t="s">
        <v>7083</v>
      </c>
      <c r="E4583" s="4">
        <v>0.0</v>
      </c>
      <c r="F4583" s="4">
        <v>32.0</v>
      </c>
      <c r="G4583" s="4" t="s">
        <v>7084</v>
      </c>
    </row>
    <row r="4584">
      <c r="A4584" s="1">
        <v>4582.0</v>
      </c>
      <c r="B4584" s="4" t="s">
        <v>7028</v>
      </c>
      <c r="C4584" s="5" t="str">
        <f>IFERROR(__xludf.DUMMYFUNCTION("GOOGLETRANSLATE(D:D,""auto"",""en"")"),"4 vaccine volunteers return home")</f>
        <v>4 vaccine volunteers return home</v>
      </c>
      <c r="D4584" s="4" t="s">
        <v>7085</v>
      </c>
      <c r="E4584" s="4">
        <v>0.0</v>
      </c>
      <c r="F4584" s="4">
        <v>33.0</v>
      </c>
      <c r="G4584" s="4" t="s">
        <v>7086</v>
      </c>
    </row>
    <row r="4585">
      <c r="A4585" s="1">
        <v>4583.0</v>
      </c>
      <c r="B4585" s="4" t="s">
        <v>7028</v>
      </c>
      <c r="C4585" s="5" t="str">
        <f>IFERROR(__xludf.DUMMYFUNCTION("GOOGLETRANSLATE(D:D,""auto"",""en"")"),"Lee Shau Kee grandson diagnosed with the new crown")</f>
        <v>Lee Shau Kee grandson diagnosed with the new crown</v>
      </c>
      <c r="D4585" s="4" t="s">
        <v>7087</v>
      </c>
      <c r="E4585" s="4">
        <v>0.0</v>
      </c>
      <c r="F4585" s="4">
        <v>34.0</v>
      </c>
      <c r="G4585" s="4" t="s">
        <v>7088</v>
      </c>
    </row>
    <row r="4586">
      <c r="A4586" s="1">
        <v>4584.0</v>
      </c>
      <c r="B4586" s="4" t="s">
        <v>7028</v>
      </c>
      <c r="C4586" s="5" t="str">
        <f>IFERROR(__xludf.DUMMYFUNCTION("GOOGLETRANSLATE(D:D,""auto"",""en"")"),"US aircraft carrier captain for help")</f>
        <v>US aircraft carrier captain for help</v>
      </c>
      <c r="D4586" s="4" t="s">
        <v>7089</v>
      </c>
      <c r="E4586" s="4">
        <v>0.0</v>
      </c>
      <c r="F4586" s="4">
        <v>35.0</v>
      </c>
      <c r="G4586" s="4" t="s">
        <v>7090</v>
      </c>
    </row>
    <row r="4587">
      <c r="A4587" s="1">
        <v>4585.0</v>
      </c>
      <c r="B4587" s="4" t="s">
        <v>7028</v>
      </c>
      <c r="C4587" s="5" t="str">
        <f>IFERROR(__xludf.DUMMYFUNCTION("GOOGLETRANSLATE(D:D,""auto"",""en"")"),"Fire 19 people were killed details")</f>
        <v>Fire 19 people were killed details</v>
      </c>
      <c r="D4587" s="4" t="s">
        <v>7091</v>
      </c>
      <c r="E4587" s="4">
        <v>0.0</v>
      </c>
      <c r="F4587" s="4">
        <v>36.0</v>
      </c>
      <c r="G4587" s="4" t="s">
        <v>7092</v>
      </c>
    </row>
    <row r="4588">
      <c r="A4588" s="1">
        <v>4586.0</v>
      </c>
      <c r="B4588" s="4" t="s">
        <v>7028</v>
      </c>
      <c r="C4588" s="5" t="str">
        <f>IFERROR(__xludf.DUMMYFUNCTION("GOOGLETRANSLATE(D:D,""auto"",""en"")"),"Shangfen smoke induced wildfires")</f>
        <v>Shangfen smoke induced wildfires</v>
      </c>
      <c r="D4588" s="4" t="s">
        <v>7093</v>
      </c>
      <c r="E4588" s="4">
        <v>0.0</v>
      </c>
      <c r="F4588" s="4">
        <v>37.0</v>
      </c>
      <c r="G4588" s="4" t="s">
        <v>7094</v>
      </c>
    </row>
    <row r="4589">
      <c r="A4589" s="1">
        <v>4587.0</v>
      </c>
      <c r="B4589" s="4" t="s">
        <v>7028</v>
      </c>
      <c r="C4589" s="5" t="str">
        <f>IFERROR(__xludf.DUMMYFUNCTION("GOOGLETRANSLATE(D:D,""auto"",""en"")"),"China attacks US officials addiction")</f>
        <v>China attacks US officials addiction</v>
      </c>
      <c r="D4589" s="4" t="s">
        <v>7095</v>
      </c>
      <c r="E4589" s="4">
        <v>0.0</v>
      </c>
      <c r="F4589" s="4">
        <v>38.0</v>
      </c>
      <c r="G4589" s="4" t="s">
        <v>7096</v>
      </c>
    </row>
    <row r="4590">
      <c r="A4590" s="1">
        <v>4588.0</v>
      </c>
      <c r="B4590" s="4" t="s">
        <v>7028</v>
      </c>
      <c r="C4590" s="5" t="str">
        <f>IFERROR(__xludf.DUMMYFUNCTION("GOOGLETRANSLATE(D:D,""auto"",""en"")"),"National new cases of 36 cases")</f>
        <v>National new cases of 36 cases</v>
      </c>
      <c r="D4590" s="4" t="s">
        <v>7097</v>
      </c>
      <c r="E4590" s="4">
        <v>0.0</v>
      </c>
      <c r="F4590" s="4">
        <v>39.0</v>
      </c>
      <c r="G4590" s="4" t="s">
        <v>7098</v>
      </c>
    </row>
    <row r="4591">
      <c r="A4591" s="1">
        <v>4589.0</v>
      </c>
      <c r="B4591" s="4" t="s">
        <v>7028</v>
      </c>
      <c r="C4591" s="5" t="str">
        <f>IFERROR(__xludf.DUMMYFUNCTION("GOOGLETRANSLATE(D:D,""auto"",""en"")"),"Prevent the virus enters space station")</f>
        <v>Prevent the virus enters space station</v>
      </c>
      <c r="D4591" s="4" t="s">
        <v>7099</v>
      </c>
      <c r="E4591" s="4">
        <v>0.0</v>
      </c>
      <c r="F4591" s="4">
        <v>40.0</v>
      </c>
      <c r="G4591" s="4" t="s">
        <v>7100</v>
      </c>
    </row>
    <row r="4592">
      <c r="A4592" s="1">
        <v>4590.0</v>
      </c>
      <c r="B4592" s="4" t="s">
        <v>7028</v>
      </c>
      <c r="C4592" s="5" t="str">
        <f>IFERROR(__xludf.DUMMYFUNCTION("GOOGLETRANSLATE(D:D,""auto"",""en"")"),"Hubei goods bought up action")</f>
        <v>Hubei goods bought up action</v>
      </c>
      <c r="D4592" s="4" t="s">
        <v>7101</v>
      </c>
      <c r="E4592" s="4">
        <v>0.0</v>
      </c>
      <c r="F4592" s="4">
        <v>41.0</v>
      </c>
      <c r="G4592" s="4" t="s">
        <v>7102</v>
      </c>
    </row>
    <row r="4593">
      <c r="A4593" s="1">
        <v>4591.0</v>
      </c>
      <c r="B4593" s="4" t="s">
        <v>7028</v>
      </c>
      <c r="C4593" s="5" t="str">
        <f>IFERROR(__xludf.DUMMYFUNCTION("GOOGLETRANSLATE(D:D,""auto"",""en"")"),"The United States refused to import Chinese KN95")</f>
        <v>The United States refused to import Chinese KN95</v>
      </c>
      <c r="D4593" s="4" t="s">
        <v>7103</v>
      </c>
      <c r="E4593" s="4">
        <v>0.0</v>
      </c>
      <c r="F4593" s="4">
        <v>42.0</v>
      </c>
      <c r="G4593" s="4" t="s">
        <v>7104</v>
      </c>
    </row>
    <row r="4594">
      <c r="A4594" s="1">
        <v>4592.0</v>
      </c>
      <c r="B4594" s="4" t="s">
        <v>7028</v>
      </c>
      <c r="C4594" s="5" t="str">
        <f>IFERROR(__xludf.DUMMYFUNCTION("GOOGLETRANSLATE(D:D,""auto"",""en"")"),"On the official Beijing Abstract Masks")</f>
        <v>On the official Beijing Abstract Masks</v>
      </c>
      <c r="D4594" s="4" t="s">
        <v>7105</v>
      </c>
      <c r="E4594" s="4">
        <v>0.0</v>
      </c>
      <c r="F4594" s="4">
        <v>43.0</v>
      </c>
      <c r="G4594" s="4" t="s">
        <v>7106</v>
      </c>
    </row>
    <row r="4595">
      <c r="A4595" s="1">
        <v>4593.0</v>
      </c>
      <c r="B4595" s="4" t="s">
        <v>7028</v>
      </c>
      <c r="C4595" s="5" t="str">
        <f>IFERROR(__xludf.DUMMYFUNCTION("GOOGLETRANSLATE(D:D,""auto"",""en"")"),"Woman arrested a fugitive for 31 years")</f>
        <v>Woman arrested a fugitive for 31 years</v>
      </c>
      <c r="D4595" s="4" t="s">
        <v>7107</v>
      </c>
      <c r="E4595" s="4">
        <v>0.0</v>
      </c>
      <c r="F4595" s="4">
        <v>44.0</v>
      </c>
      <c r="G4595" s="4" t="s">
        <v>7108</v>
      </c>
    </row>
    <row r="4596">
      <c r="A4596" s="1">
        <v>4594.0</v>
      </c>
      <c r="B4596" s="4" t="s">
        <v>7028</v>
      </c>
      <c r="C4596" s="5" t="str">
        <f>IFERROR(__xludf.DUMMYFUNCTION("GOOGLETRANSLATE(D:D,""auto"",""en"")"),"Zhong Nanshan exposure registration fee")</f>
        <v>Zhong Nanshan exposure registration fee</v>
      </c>
      <c r="D4596" s="4" t="s">
        <v>7109</v>
      </c>
      <c r="E4596" s="4">
        <v>0.0</v>
      </c>
      <c r="F4596" s="4">
        <v>45.0</v>
      </c>
      <c r="G4596" s="4" t="s">
        <v>7110</v>
      </c>
    </row>
    <row r="4597">
      <c r="A4597" s="1">
        <v>4595.0</v>
      </c>
      <c r="B4597" s="4" t="s">
        <v>7028</v>
      </c>
      <c r="C4597" s="5" t="str">
        <f>IFERROR(__xludf.DUMMYFUNCTION("GOOGLETRANSLATE(D:D,""auto"",""en"")"),"The official answer food crisis")</f>
        <v>The official answer food crisis</v>
      </c>
      <c r="D4597" s="4" t="s">
        <v>7111</v>
      </c>
      <c r="E4597" s="4">
        <v>0.0</v>
      </c>
      <c r="F4597" s="4">
        <v>46.0</v>
      </c>
      <c r="G4597" s="4" t="s">
        <v>7112</v>
      </c>
    </row>
    <row r="4598">
      <c r="A4598" s="1">
        <v>4596.0</v>
      </c>
      <c r="B4598" s="4" t="s">
        <v>7028</v>
      </c>
      <c r="C4598" s="5" t="str">
        <f>IFERROR(__xludf.DUMMYFUNCTION("GOOGLETRANSLATE(D:D,""auto"",""en"")"),"The 17th anniversary of the death of Leslie")</f>
        <v>The 17th anniversary of the death of Leslie</v>
      </c>
      <c r="D4598" s="4" t="s">
        <v>7113</v>
      </c>
      <c r="E4598" s="4">
        <v>0.0</v>
      </c>
      <c r="F4598" s="4">
        <v>47.0</v>
      </c>
      <c r="G4598" s="4" t="s">
        <v>7114</v>
      </c>
    </row>
    <row r="4599">
      <c r="A4599" s="1">
        <v>4597.0</v>
      </c>
      <c r="B4599" s="4" t="s">
        <v>7028</v>
      </c>
      <c r="C4599" s="5" t="str">
        <f>IFERROR(__xludf.DUMMYFUNCTION("GOOGLETRANSLATE(D:D,""auto"",""en"")"),"Xichang wildfires still burning")</f>
        <v>Xichang wildfires still burning</v>
      </c>
      <c r="D4599" s="4" t="s">
        <v>7115</v>
      </c>
      <c r="E4599" s="4">
        <v>0.0</v>
      </c>
      <c r="F4599" s="4">
        <v>48.0</v>
      </c>
      <c r="G4599" s="4" t="s">
        <v>7116</v>
      </c>
    </row>
    <row r="4600">
      <c r="A4600" s="1">
        <v>4598.0</v>
      </c>
      <c r="B4600" s="4" t="s">
        <v>7028</v>
      </c>
      <c r="C4600" s="5" t="str">
        <f>IFERROR(__xludf.DUMMYFUNCTION("GOOGLETRANSLATE(D:D,""auto"",""en"")"),"Trump bar on female reporters")</f>
        <v>Trump bar on female reporters</v>
      </c>
      <c r="D4600" s="4" t="s">
        <v>7117</v>
      </c>
      <c r="E4600" s="4">
        <v>0.0</v>
      </c>
      <c r="F4600" s="4">
        <v>49.0</v>
      </c>
      <c r="G4600" s="4" t="s">
        <v>7118</v>
      </c>
    </row>
    <row r="4601">
      <c r="A4601" s="1">
        <v>4599.0</v>
      </c>
      <c r="B4601" s="4" t="s">
        <v>7028</v>
      </c>
      <c r="C4601" s="5" t="str">
        <f>IFERROR(__xludf.DUMMYFUNCTION("GOOGLETRANSLATE(D:D,""auto"",""en"")"),"Changsha peak load shifting in four batches school")</f>
        <v>Changsha peak load shifting in four batches school</v>
      </c>
      <c r="D4601" s="4" t="s">
        <v>7119</v>
      </c>
      <c r="E4601" s="4">
        <v>0.0</v>
      </c>
      <c r="F4601" s="4">
        <v>50.0</v>
      </c>
      <c r="G4601" s="4" t="s">
        <v>7120</v>
      </c>
    </row>
    <row r="4602">
      <c r="A4602" s="1">
        <v>4600.0</v>
      </c>
      <c r="B4602" s="4" t="s">
        <v>7121</v>
      </c>
      <c r="C4602" s="5" t="str">
        <f>IFERROR(__xludf.DUMMYFUNCTION("GOOGLETRANSLATE(D:D,""auto"",""en"")"),"Rabe offspring for help to China")</f>
        <v>Rabe offspring for help to China</v>
      </c>
      <c r="D4602" s="4" t="s">
        <v>7122</v>
      </c>
      <c r="E4602" s="4">
        <v>0.0</v>
      </c>
      <c r="F4602" s="4">
        <v>1.0</v>
      </c>
      <c r="G4602" s="4" t="s">
        <v>7123</v>
      </c>
    </row>
    <row r="4603">
      <c r="A4603" s="1">
        <v>4601.0</v>
      </c>
      <c r="B4603" s="4" t="s">
        <v>7121</v>
      </c>
      <c r="C4603" s="5" t="str">
        <f>IFERROR(__xludf.DUMMYFUNCTION("GOOGLETRANSLATE(D:D,""auto"",""en"")"),"Italy epidemic has reached a tipping point")</f>
        <v>Italy epidemic has reached a tipping point</v>
      </c>
      <c r="D4603" s="4" t="s">
        <v>7124</v>
      </c>
      <c r="E4603" s="4">
        <v>0.0</v>
      </c>
      <c r="F4603" s="4">
        <v>2.0</v>
      </c>
      <c r="G4603" s="4" t="s">
        <v>7125</v>
      </c>
    </row>
    <row r="4604">
      <c r="A4604" s="1">
        <v>4602.0</v>
      </c>
      <c r="B4604" s="4" t="s">
        <v>7121</v>
      </c>
      <c r="C4604" s="5" t="str">
        <f>IFERROR(__xludf.DUMMYFUNCTION("GOOGLETRANSLATE(D:D,""auto"",""en"")"),"Overheating slip of the tongue")</f>
        <v>Overheating slip of the tongue</v>
      </c>
      <c r="D4604" s="4" t="s">
        <v>7126</v>
      </c>
      <c r="E4604" s="4">
        <v>0.0</v>
      </c>
      <c r="F4604" s="4">
        <v>3.0</v>
      </c>
      <c r="G4604" s="4" t="s">
        <v>7127</v>
      </c>
    </row>
    <row r="4605">
      <c r="A4605" s="1">
        <v>4603.0</v>
      </c>
      <c r="B4605" s="4" t="s">
        <v>7121</v>
      </c>
      <c r="C4605" s="5" t="str">
        <f>IFERROR(__xludf.DUMMYFUNCTION("GOOGLETRANSLATE(D:D,""auto"",""en"")"),"Lu cut in response to detection of an event")</f>
        <v>Lu cut in response to detection of an event</v>
      </c>
      <c r="D4605" s="4" t="s">
        <v>7065</v>
      </c>
      <c r="E4605" s="4">
        <v>0.0</v>
      </c>
      <c r="F4605" s="4">
        <v>4.0</v>
      </c>
      <c r="G4605" s="4" t="s">
        <v>7066</v>
      </c>
    </row>
    <row r="4606">
      <c r="A4606" s="1">
        <v>4604.0</v>
      </c>
      <c r="B4606" s="4" t="s">
        <v>7121</v>
      </c>
      <c r="C4606" s="5" t="str">
        <f>IFERROR(__xludf.DUMMYFUNCTION("GOOGLETRANSLATE(D:D,""auto"",""en"")"),"Overheating the hundreds of millions live with a cargo")</f>
        <v>Overheating the hundreds of millions live with a cargo</v>
      </c>
      <c r="D4606" s="4" t="s">
        <v>7128</v>
      </c>
      <c r="E4606" s="4">
        <v>0.0</v>
      </c>
      <c r="F4606" s="4">
        <v>5.0</v>
      </c>
      <c r="G4606" s="4" t="s">
        <v>7129</v>
      </c>
    </row>
    <row r="4607">
      <c r="A4607" s="1">
        <v>4605.0</v>
      </c>
      <c r="B4607" s="4" t="s">
        <v>7121</v>
      </c>
      <c r="C4607" s="5" t="str">
        <f>IFERROR(__xludf.DUMMYFUNCTION("GOOGLETRANSLATE(D:D,""auto"",""en"")"),"Over 210,000 cases diagnosed United States")</f>
        <v>Over 210,000 cases diagnosed United States</v>
      </c>
      <c r="D4607" s="4" t="s">
        <v>7130</v>
      </c>
      <c r="E4607" s="4">
        <v>0.0</v>
      </c>
      <c r="F4607" s="4">
        <v>6.0</v>
      </c>
      <c r="G4607" s="4" t="s">
        <v>7131</v>
      </c>
    </row>
    <row r="4608">
      <c r="A4608" s="1">
        <v>4606.0</v>
      </c>
      <c r="B4608" s="4" t="s">
        <v>7121</v>
      </c>
      <c r="C4608" s="5" t="str">
        <f>IFERROR(__xludf.DUMMYFUNCTION("GOOGLETRANSLATE(D:D,""auto"",""en"")"),"Huang Xiaoming and brokers termination")</f>
        <v>Huang Xiaoming and brokers termination</v>
      </c>
      <c r="D4608" s="4" t="s">
        <v>7132</v>
      </c>
      <c r="E4608" s="4">
        <v>0.0</v>
      </c>
      <c r="F4608" s="4">
        <v>7.0</v>
      </c>
      <c r="G4608" s="4" t="s">
        <v>7133</v>
      </c>
    </row>
    <row r="4609">
      <c r="A4609" s="1">
        <v>4607.0</v>
      </c>
      <c r="B4609" s="4" t="s">
        <v>7121</v>
      </c>
      <c r="C4609" s="5" t="str">
        <f>IFERROR(__xludf.DUMMYFUNCTION("GOOGLETRANSLATE(D:D,""auto"",""en"")"),"Foreign nurses and wounded patients")</f>
        <v>Foreign nurses and wounded patients</v>
      </c>
      <c r="D4609" s="4" t="s">
        <v>7134</v>
      </c>
      <c r="E4609" s="4">
        <v>0.0</v>
      </c>
      <c r="F4609" s="4">
        <v>8.0</v>
      </c>
      <c r="G4609" s="4" t="s">
        <v>7135</v>
      </c>
    </row>
    <row r="4610">
      <c r="A4610" s="1">
        <v>4608.0</v>
      </c>
      <c r="B4610" s="4" t="s">
        <v>7121</v>
      </c>
      <c r="C4610" s="5" t="str">
        <f>IFERROR(__xludf.DUMMYFUNCTION("GOOGLETRANSLATE(D:D,""auto"",""en"")"),"Japan's new single-day record")</f>
        <v>Japan's new single-day record</v>
      </c>
      <c r="D4610" s="4" t="s">
        <v>7136</v>
      </c>
      <c r="E4610" s="4">
        <v>0.0</v>
      </c>
      <c r="F4610" s="4">
        <v>9.0</v>
      </c>
      <c r="G4610" s="4" t="s">
        <v>7137</v>
      </c>
    </row>
    <row r="4611">
      <c r="A4611" s="1">
        <v>4609.0</v>
      </c>
      <c r="B4611" s="4" t="s">
        <v>7121</v>
      </c>
      <c r="C4611" s="5" t="str">
        <f>IFERROR(__xludf.DUMMYFUNCTION("GOOGLETRANSLATE(D:D,""auto"",""en"")"),"Silvia had to sell live rocket")</f>
        <v>Silvia had to sell live rocket</v>
      </c>
      <c r="D4611" s="4" t="s">
        <v>7138</v>
      </c>
      <c r="E4611" s="4">
        <v>0.0</v>
      </c>
      <c r="F4611" s="4">
        <v>10.0</v>
      </c>
      <c r="G4611" s="4" t="s">
        <v>7139</v>
      </c>
    </row>
    <row r="4612">
      <c r="A4612" s="1">
        <v>4610.0</v>
      </c>
      <c r="B4612" s="4" t="s">
        <v>7121</v>
      </c>
      <c r="C4612" s="5" t="str">
        <f>IFERROR(__xludf.DUMMYFUNCTION("GOOGLETRANSLATE(D:D,""auto"",""en"")"),"US confirmed the death of a baby")</f>
        <v>US confirmed the death of a baby</v>
      </c>
      <c r="D4612" s="4" t="s">
        <v>7140</v>
      </c>
      <c r="E4612" s="4">
        <v>0.0</v>
      </c>
      <c r="F4612" s="4">
        <v>11.0</v>
      </c>
      <c r="G4612" s="4" t="s">
        <v>7141</v>
      </c>
    </row>
    <row r="4613">
      <c r="A4613" s="1">
        <v>4611.0</v>
      </c>
      <c r="B4613" s="4" t="s">
        <v>7121</v>
      </c>
      <c r="C4613" s="5" t="str">
        <f>IFERROR(__xludf.DUMMYFUNCTION("GOOGLETRANSLATE(D:D,""auto"",""en"")"),"Laoshan jump the queue and then respond to events")</f>
        <v>Laoshan jump the queue and then respond to events</v>
      </c>
      <c r="D4613" s="4" t="s">
        <v>7142</v>
      </c>
      <c r="E4613" s="4">
        <v>0.0</v>
      </c>
      <c r="F4613" s="4">
        <v>12.0</v>
      </c>
      <c r="G4613" s="4" t="s">
        <v>7143</v>
      </c>
    </row>
    <row r="4614">
      <c r="A4614" s="1">
        <v>4612.0</v>
      </c>
      <c r="B4614" s="4" t="s">
        <v>7121</v>
      </c>
      <c r="C4614" s="5" t="str">
        <f>IFERROR(__xludf.DUMMYFUNCTION("GOOGLETRANSLATE(D:D,""auto"",""en"")"),"Woman arrested a fugitive for 31 years")</f>
        <v>Woman arrested a fugitive for 31 years</v>
      </c>
      <c r="D4614" s="4" t="s">
        <v>7107</v>
      </c>
      <c r="E4614" s="4">
        <v>0.0</v>
      </c>
      <c r="F4614" s="4">
        <v>13.0</v>
      </c>
      <c r="G4614" s="4" t="s">
        <v>7108</v>
      </c>
    </row>
    <row r="4615">
      <c r="A4615" s="1">
        <v>4613.0</v>
      </c>
      <c r="B4615" s="4" t="s">
        <v>7121</v>
      </c>
      <c r="C4615" s="5" t="str">
        <f>IFERROR(__xludf.DUMMYFUNCTION("GOOGLETRANSLATE(D:D,""auto"",""en"")"),"Beijing announced the opening condition")</f>
        <v>Beijing announced the opening condition</v>
      </c>
      <c r="D4615" s="4" t="s">
        <v>7077</v>
      </c>
      <c r="E4615" s="4">
        <v>0.0</v>
      </c>
      <c r="F4615" s="4">
        <v>14.0</v>
      </c>
      <c r="G4615" s="4" t="s">
        <v>7078</v>
      </c>
    </row>
    <row r="4616">
      <c r="A4616" s="1">
        <v>4614.0</v>
      </c>
      <c r="B4616" s="4" t="s">
        <v>7121</v>
      </c>
      <c r="C4616" s="5" t="str">
        <f>IFERROR(__xludf.DUMMYFUNCTION("GOOGLETRANSLATE(D:D,""auto"",""en"")"),"Liang Chao respond Wedding differences")</f>
        <v>Liang Chao respond Wedding differences</v>
      </c>
      <c r="D4616" s="4" t="s">
        <v>7144</v>
      </c>
      <c r="E4616" s="4">
        <v>0.0</v>
      </c>
      <c r="F4616" s="4">
        <v>15.0</v>
      </c>
      <c r="G4616" s="4" t="s">
        <v>7145</v>
      </c>
    </row>
    <row r="4617">
      <c r="A4617" s="1">
        <v>4615.0</v>
      </c>
      <c r="B4617" s="4" t="s">
        <v>7121</v>
      </c>
      <c r="C4617" s="5" t="str">
        <f>IFERROR(__xludf.DUMMYFUNCTION("GOOGLETRANSLATE(D:D,""auto"",""en"")"),"Rising divorce rate is warning")</f>
        <v>Rising divorce rate is warning</v>
      </c>
      <c r="D4617" s="4" t="s">
        <v>7146</v>
      </c>
      <c r="E4617" s="4">
        <v>0.0</v>
      </c>
      <c r="F4617" s="4">
        <v>16.0</v>
      </c>
      <c r="G4617" s="4" t="s">
        <v>7147</v>
      </c>
    </row>
    <row r="4618">
      <c r="A4618" s="1">
        <v>4616.0</v>
      </c>
      <c r="B4618" s="4" t="s">
        <v>7121</v>
      </c>
      <c r="C4618" s="5" t="str">
        <f>IFERROR(__xludf.DUMMYFUNCTION("GOOGLETRANSLATE(D:D,""auto"",""en"")"),"Lin Dan to join Danish club")</f>
        <v>Lin Dan to join Danish club</v>
      </c>
      <c r="D4618" s="4" t="s">
        <v>7148</v>
      </c>
      <c r="E4618" s="4">
        <v>0.0</v>
      </c>
      <c r="F4618" s="4">
        <v>17.0</v>
      </c>
      <c r="G4618" s="4" t="s">
        <v>7149</v>
      </c>
    </row>
    <row r="4619">
      <c r="A4619" s="1">
        <v>4617.0</v>
      </c>
      <c r="B4619" s="4" t="s">
        <v>7121</v>
      </c>
      <c r="C4619" s="5" t="str">
        <f>IFERROR(__xludf.DUMMYFUNCTION("GOOGLETRANSLATE(D:D,""auto"",""en"")"),"China to break the chain of virus transmission")</f>
        <v>China to break the chain of virus transmission</v>
      </c>
      <c r="D4619" s="4" t="s">
        <v>7150</v>
      </c>
      <c r="E4619" s="4">
        <v>0.0</v>
      </c>
      <c r="F4619" s="4">
        <v>18.0</v>
      </c>
      <c r="G4619" s="4" t="s">
        <v>7151</v>
      </c>
    </row>
    <row r="4620">
      <c r="A4620" s="1">
        <v>4618.0</v>
      </c>
      <c r="B4620" s="4" t="s">
        <v>7121</v>
      </c>
      <c r="C4620" s="5" t="str">
        <f>IFERROR(__xludf.DUMMYFUNCTION("GOOGLETRANSLATE(D:D,""auto"",""en"")"),"Hongzhang Xin Yuan Yi issued a document for help")</f>
        <v>Hongzhang Xin Yuan Yi issued a document for help</v>
      </c>
      <c r="D4620" s="4" t="s">
        <v>7152</v>
      </c>
      <c r="E4620" s="4">
        <v>0.0</v>
      </c>
      <c r="F4620" s="4">
        <v>19.0</v>
      </c>
      <c r="G4620" s="4" t="s">
        <v>7153</v>
      </c>
    </row>
    <row r="4621">
      <c r="A4621" s="1">
        <v>4619.0</v>
      </c>
      <c r="B4621" s="4" t="s">
        <v>7121</v>
      </c>
      <c r="C4621" s="5" t="str">
        <f>IFERROR(__xludf.DUMMYFUNCTION("GOOGLETRANSLATE(D:D,""auto"",""en"")"),"WHO talk to foreign media accusing China")</f>
        <v>WHO talk to foreign media accusing China</v>
      </c>
      <c r="D4621" s="4" t="s">
        <v>7154</v>
      </c>
      <c r="E4621" s="4">
        <v>0.0</v>
      </c>
      <c r="F4621" s="4">
        <v>20.0</v>
      </c>
      <c r="G4621" s="4" t="s">
        <v>7155</v>
      </c>
    </row>
    <row r="4622">
      <c r="A4622" s="1">
        <v>4620.0</v>
      </c>
      <c r="B4622" s="4" t="s">
        <v>7121</v>
      </c>
      <c r="C4622" s="5" t="str">
        <f>IFERROR(__xludf.DUMMYFUNCTION("GOOGLETRANSLATE(D:D,""auto"",""en"")"),"Roche Diagnostics issued a statement to apologize")</f>
        <v>Roche Diagnostics issued a statement to apologize</v>
      </c>
      <c r="D4622" s="4" t="s">
        <v>7156</v>
      </c>
      <c r="E4622" s="4">
        <v>0.0</v>
      </c>
      <c r="F4622" s="4">
        <v>21.0</v>
      </c>
      <c r="G4622" s="4" t="s">
        <v>7157</v>
      </c>
    </row>
    <row r="4623">
      <c r="A4623" s="1">
        <v>4621.0</v>
      </c>
      <c r="B4623" s="4" t="s">
        <v>7121</v>
      </c>
      <c r="C4623" s="5" t="str">
        <f>IFERROR(__xludf.DUMMYFUNCTION("GOOGLETRANSLATE(D:D,""auto"",""en"")"),"Indian slum is now epidemic")</f>
        <v>Indian slum is now epidemic</v>
      </c>
      <c r="D4623" s="4" t="s">
        <v>7158</v>
      </c>
      <c r="E4623" s="4">
        <v>0.0</v>
      </c>
      <c r="F4623" s="4">
        <v>22.0</v>
      </c>
      <c r="G4623" s="4" t="s">
        <v>7159</v>
      </c>
    </row>
    <row r="4624">
      <c r="A4624" s="1">
        <v>4622.0</v>
      </c>
      <c r="B4624" s="4" t="s">
        <v>7121</v>
      </c>
      <c r="C4624" s="5" t="str">
        <f>IFERROR(__xludf.DUMMYFUNCTION("GOOGLETRANSLATE(D:D,""auto"",""en"")"),"Surnamed Guo old cases families of sound")</f>
        <v>Surnamed Guo old cases families of sound</v>
      </c>
      <c r="D4624" s="4" t="s">
        <v>7160</v>
      </c>
      <c r="E4624" s="4">
        <v>0.0</v>
      </c>
      <c r="F4624" s="4">
        <v>23.0</v>
      </c>
      <c r="G4624" s="4" t="s">
        <v>7161</v>
      </c>
    </row>
    <row r="4625">
      <c r="A4625" s="1">
        <v>4623.0</v>
      </c>
      <c r="B4625" s="4" t="s">
        <v>7121</v>
      </c>
      <c r="C4625" s="5" t="str">
        <f>IFERROR(__xludf.DUMMYFUNCTION("GOOGLETRANSLATE(D:D,""auto"",""en"")"),"Trump friend infect new crown")</f>
        <v>Trump friend infect new crown</v>
      </c>
      <c r="D4625" s="4" t="s">
        <v>7162</v>
      </c>
      <c r="E4625" s="4">
        <v>0.0</v>
      </c>
      <c r="F4625" s="4">
        <v>24.0</v>
      </c>
      <c r="G4625" s="4" t="s">
        <v>7163</v>
      </c>
    </row>
    <row r="4626">
      <c r="A4626" s="1">
        <v>4624.0</v>
      </c>
      <c r="B4626" s="4" t="s">
        <v>7121</v>
      </c>
      <c r="C4626" s="5" t="str">
        <f>IFERROR(__xludf.DUMMYFUNCTION("GOOGLETRANSLATE(D:D,""auto"",""en"")"),"Trump said Burns to play ball")</f>
        <v>Trump said Burns to play ball</v>
      </c>
      <c r="D4626" s="4" t="s">
        <v>7164</v>
      </c>
      <c r="E4626" s="4">
        <v>0.0</v>
      </c>
      <c r="F4626" s="4">
        <v>25.0</v>
      </c>
      <c r="G4626" s="4" t="s">
        <v>7165</v>
      </c>
    </row>
    <row r="4627">
      <c r="A4627" s="1">
        <v>4625.0</v>
      </c>
      <c r="B4627" s="4" t="s">
        <v>7121</v>
      </c>
      <c r="C4627" s="5" t="str">
        <f>IFERROR(__xludf.DUMMYFUNCTION("GOOGLETRANSLATE(D:D,""auto"",""en"")"),"Commerce Department to respond to food prices")</f>
        <v>Commerce Department to respond to food prices</v>
      </c>
      <c r="D4627" s="4" t="s">
        <v>7166</v>
      </c>
      <c r="E4627" s="4">
        <v>0.0</v>
      </c>
      <c r="F4627" s="4">
        <v>26.0</v>
      </c>
      <c r="G4627" s="4" t="s">
        <v>7167</v>
      </c>
    </row>
    <row r="4628">
      <c r="A4628" s="1">
        <v>4626.0</v>
      </c>
      <c r="B4628" s="4" t="s">
        <v>7121</v>
      </c>
      <c r="C4628" s="5" t="str">
        <f>IFERROR(__xludf.DUMMYFUNCTION("GOOGLETRANSLATE(D:D,""auto"",""en"")"),"The New York Times blasted Fox")</f>
        <v>The New York Times blasted Fox</v>
      </c>
      <c r="D4628" s="4" t="s">
        <v>7168</v>
      </c>
      <c r="E4628" s="4">
        <v>0.0</v>
      </c>
      <c r="F4628" s="4">
        <v>27.0</v>
      </c>
      <c r="G4628" s="4" t="s">
        <v>7169</v>
      </c>
    </row>
    <row r="4629">
      <c r="A4629" s="1">
        <v>4627.0</v>
      </c>
      <c r="B4629" s="4" t="s">
        <v>7121</v>
      </c>
      <c r="C4629" s="5" t="str">
        <f>IFERROR(__xludf.DUMMYFUNCTION("GOOGLETRANSLATE(D:D,""auto"",""en"")"),"Ministry of Foreign Affairs to talk about the United States weighed on Huawei")</f>
        <v>Ministry of Foreign Affairs to talk about the United States weighed on Huawei</v>
      </c>
      <c r="D4629" s="4" t="s">
        <v>7170</v>
      </c>
      <c r="E4629" s="4">
        <v>0.0</v>
      </c>
      <c r="F4629" s="4">
        <v>28.0</v>
      </c>
      <c r="G4629" s="4" t="s">
        <v>7171</v>
      </c>
    </row>
    <row r="4630">
      <c r="A4630" s="1">
        <v>4628.0</v>
      </c>
      <c r="B4630" s="4" t="s">
        <v>7121</v>
      </c>
      <c r="C4630" s="5" t="str">
        <f>IFERROR(__xludf.DUMMYFUNCTION("GOOGLETRANSLATE(D:D,""auto"",""en"")"),"People's Daily commentary alien to jump the queue")</f>
        <v>People's Daily commentary alien to jump the queue</v>
      </c>
      <c r="D4630" s="4" t="s">
        <v>7172</v>
      </c>
      <c r="E4630" s="4">
        <v>0.0</v>
      </c>
      <c r="F4630" s="4">
        <v>29.0</v>
      </c>
      <c r="G4630" s="4" t="s">
        <v>7173</v>
      </c>
    </row>
    <row r="4631">
      <c r="A4631" s="1">
        <v>4629.0</v>
      </c>
      <c r="B4631" s="4" t="s">
        <v>7121</v>
      </c>
      <c r="C4631" s="5" t="str">
        <f>IFERROR(__xludf.DUMMYFUNCTION("GOOGLETRANSLATE(D:D,""auto"",""en"")"),"A Kyoto University outbreak")</f>
        <v>A Kyoto University outbreak</v>
      </c>
      <c r="D4631" s="4" t="s">
        <v>7174</v>
      </c>
      <c r="E4631" s="4">
        <v>0.0</v>
      </c>
      <c r="F4631" s="4">
        <v>30.0</v>
      </c>
      <c r="G4631" s="4" t="s">
        <v>7175</v>
      </c>
    </row>
    <row r="4632">
      <c r="A4632" s="1">
        <v>4630.0</v>
      </c>
      <c r="B4632" s="4" t="s">
        <v>7121</v>
      </c>
      <c r="C4632" s="5" t="str">
        <f>IFERROR(__xludf.DUMMYFUNCTION("GOOGLETRANSLATE(D:D,""auto"",""en"")"),"Foreigners who apologized to jump the queue")</f>
        <v>Foreigners who apologized to jump the queue</v>
      </c>
      <c r="D4632" s="4" t="s">
        <v>7176</v>
      </c>
      <c r="E4632" s="4">
        <v>0.0</v>
      </c>
      <c r="F4632" s="4">
        <v>31.0</v>
      </c>
      <c r="G4632" s="4" t="s">
        <v>7177</v>
      </c>
    </row>
    <row r="4633">
      <c r="A4633" s="1">
        <v>4631.0</v>
      </c>
      <c r="B4633" s="4" t="s">
        <v>7121</v>
      </c>
      <c r="C4633" s="5" t="str">
        <f>IFERROR(__xludf.DUMMYFUNCTION("GOOGLETRANSLATE(D:D,""auto"",""en"")"),"Sun Yang endorsement of the product was to resist")</f>
        <v>Sun Yang endorsement of the product was to resist</v>
      </c>
      <c r="D4633" s="4" t="s">
        <v>7178</v>
      </c>
      <c r="E4633" s="4">
        <v>0.0</v>
      </c>
      <c r="F4633" s="4">
        <v>32.0</v>
      </c>
      <c r="G4633" s="4" t="s">
        <v>7179</v>
      </c>
    </row>
    <row r="4634">
      <c r="A4634" s="1">
        <v>4632.0</v>
      </c>
      <c r="B4634" s="4" t="s">
        <v>7121</v>
      </c>
      <c r="C4634" s="5" t="str">
        <f>IFERROR(__xludf.DUMMYFUNCTION("GOOGLETRANSLATE(D:D,""auto"",""en"")"),"Zhong Nanshan worry overseas epidemic")</f>
        <v>Zhong Nanshan worry overseas epidemic</v>
      </c>
      <c r="D4634" s="4" t="s">
        <v>7180</v>
      </c>
      <c r="E4634" s="4">
        <v>0.0</v>
      </c>
      <c r="F4634" s="4">
        <v>33.0</v>
      </c>
      <c r="G4634" s="4" t="s">
        <v>7181</v>
      </c>
    </row>
    <row r="4635">
      <c r="A4635" s="1">
        <v>4633.0</v>
      </c>
      <c r="B4635" s="4" t="s">
        <v>7121</v>
      </c>
      <c r="C4635" s="5" t="str">
        <f>IFERROR(__xludf.DUMMYFUNCTION("GOOGLETRANSLATE(D:D,""auto"",""en"")"),"Jump the queue to be educated expatriates")</f>
        <v>Jump the queue to be educated expatriates</v>
      </c>
      <c r="D4635" s="4" t="s">
        <v>7182</v>
      </c>
      <c r="E4635" s="4">
        <v>0.0</v>
      </c>
      <c r="F4635" s="4">
        <v>34.0</v>
      </c>
      <c r="G4635" s="4" t="s">
        <v>7183</v>
      </c>
    </row>
    <row r="4636">
      <c r="A4636" s="1">
        <v>4634.0</v>
      </c>
      <c r="B4636" s="4" t="s">
        <v>7121</v>
      </c>
      <c r="C4636" s="5" t="str">
        <f>IFERROR(__xludf.DUMMYFUNCTION("GOOGLETRANSLATE(D:D,""auto"",""en"")"),"Zhong Nanshan talk sequelae")</f>
        <v>Zhong Nanshan talk sequelae</v>
      </c>
      <c r="D4636" s="4" t="s">
        <v>7184</v>
      </c>
      <c r="E4636" s="4">
        <v>0.0</v>
      </c>
      <c r="F4636" s="4">
        <v>35.0</v>
      </c>
      <c r="G4636" s="4" t="s">
        <v>7185</v>
      </c>
    </row>
    <row r="4637">
      <c r="A4637" s="1">
        <v>4635.0</v>
      </c>
      <c r="B4637" s="4" t="s">
        <v>7121</v>
      </c>
      <c r="C4637" s="5" t="str">
        <f>IFERROR(__xludf.DUMMYFUNCTION("GOOGLETRANSLATE(D:D,""auto"",""en"")"),"Zhong Nanshan talk epidemic inflection point")</f>
        <v>Zhong Nanshan talk epidemic inflection point</v>
      </c>
      <c r="D4637" s="4" t="s">
        <v>7061</v>
      </c>
      <c r="E4637" s="4">
        <v>0.0</v>
      </c>
      <c r="F4637" s="4">
        <v>36.0</v>
      </c>
      <c r="G4637" s="4" t="s">
        <v>7062</v>
      </c>
    </row>
    <row r="4638">
      <c r="A4638" s="1">
        <v>4636.0</v>
      </c>
      <c r="B4638" s="4" t="s">
        <v>7121</v>
      </c>
      <c r="C4638" s="5" t="str">
        <f>IFERROR(__xludf.DUMMYFUNCTION("GOOGLETRANSLATE(D:D,""auto"",""en"")"),"Ronaldinho first swallow defeat in prison")</f>
        <v>Ronaldinho first swallow defeat in prison</v>
      </c>
      <c r="D4638" s="4" t="s">
        <v>7186</v>
      </c>
      <c r="E4638" s="4">
        <v>0.0</v>
      </c>
      <c r="F4638" s="4">
        <v>37.0</v>
      </c>
      <c r="G4638" s="4" t="s">
        <v>7187</v>
      </c>
    </row>
    <row r="4639">
      <c r="A4639" s="1">
        <v>4637.0</v>
      </c>
      <c r="B4639" s="4" t="s">
        <v>7121</v>
      </c>
      <c r="C4639" s="5" t="str">
        <f>IFERROR(__xludf.DUMMYFUNCTION("GOOGLETRANSLATE(D:D,""auto"",""en"")"),"36 Chinese students diagnosed")</f>
        <v>36 Chinese students diagnosed</v>
      </c>
      <c r="D4639" s="4" t="s">
        <v>7188</v>
      </c>
      <c r="E4639" s="4">
        <v>0.0</v>
      </c>
      <c r="F4639" s="4">
        <v>38.0</v>
      </c>
      <c r="G4639" s="4" t="s">
        <v>7189</v>
      </c>
    </row>
    <row r="4640">
      <c r="A4640" s="1">
        <v>4638.0</v>
      </c>
      <c r="B4640" s="4" t="s">
        <v>7121</v>
      </c>
      <c r="C4640" s="5" t="str">
        <f>IFERROR(__xludf.DUMMYFUNCTION("GOOGLETRANSLATE(D:D,""auto"",""en"")"),"Fukuoka hospital suspected mass infection")</f>
        <v>Fukuoka hospital suspected mass infection</v>
      </c>
      <c r="D4640" s="4" t="s">
        <v>7190</v>
      </c>
      <c r="E4640" s="4">
        <v>0.0</v>
      </c>
      <c r="F4640" s="4">
        <v>39.0</v>
      </c>
      <c r="G4640" s="4" t="s">
        <v>7191</v>
      </c>
    </row>
    <row r="4641">
      <c r="A4641" s="1">
        <v>4639.0</v>
      </c>
      <c r="B4641" s="4" t="s">
        <v>7121</v>
      </c>
      <c r="C4641" s="5" t="str">
        <f>IFERROR(__xludf.DUMMYFUNCTION("GOOGLETRANSLATE(D:D,""auto"",""en"")"),"Nanjing second time approved school")</f>
        <v>Nanjing second time approved school</v>
      </c>
      <c r="D4641" s="4" t="s">
        <v>7192</v>
      </c>
      <c r="E4641" s="4">
        <v>0.0</v>
      </c>
      <c r="F4641" s="4">
        <v>40.0</v>
      </c>
      <c r="G4641" s="4" t="s">
        <v>7193</v>
      </c>
    </row>
    <row r="4642">
      <c r="A4642" s="1">
        <v>4640.0</v>
      </c>
      <c r="B4642" s="4" t="s">
        <v>7121</v>
      </c>
      <c r="C4642" s="5" t="str">
        <f>IFERROR(__xludf.DUMMYFUNCTION("GOOGLETRANSLATE(D:D,""auto"",""en"")"),"The first oil war victim")</f>
        <v>The first oil war victim</v>
      </c>
      <c r="D4642" s="4" t="s">
        <v>7194</v>
      </c>
      <c r="E4642" s="4">
        <v>0.0</v>
      </c>
      <c r="F4642" s="4">
        <v>41.0</v>
      </c>
      <c r="G4642" s="4" t="s">
        <v>7195</v>
      </c>
    </row>
    <row r="4643">
      <c r="A4643" s="1">
        <v>4641.0</v>
      </c>
      <c r="B4643" s="4" t="s">
        <v>7121</v>
      </c>
      <c r="C4643" s="5" t="str">
        <f>IFERROR(__xludf.DUMMYFUNCTION("GOOGLETRANSLATE(D:D,""auto"",""en"")"),"US severe epidemic recognize Peng Sicheng")</f>
        <v>US severe epidemic recognize Peng Sicheng</v>
      </c>
      <c r="D4643" s="4" t="s">
        <v>7196</v>
      </c>
      <c r="E4643" s="4">
        <v>0.0</v>
      </c>
      <c r="F4643" s="4">
        <v>42.0</v>
      </c>
      <c r="G4643" s="4" t="s">
        <v>7197</v>
      </c>
    </row>
    <row r="4644">
      <c r="A4644" s="1">
        <v>4642.0</v>
      </c>
      <c r="B4644" s="4" t="s">
        <v>7121</v>
      </c>
      <c r="C4644" s="5" t="str">
        <f>IFERROR(__xludf.DUMMYFUNCTION("GOOGLETRANSLATE(D:D,""auto"",""en"")"),"British 17 people infected")</f>
        <v>British 17 people infected</v>
      </c>
      <c r="D4644" s="4" t="s">
        <v>7053</v>
      </c>
      <c r="E4644" s="4">
        <v>0.0</v>
      </c>
      <c r="F4644" s="4">
        <v>43.0</v>
      </c>
      <c r="G4644" s="4" t="s">
        <v>7054</v>
      </c>
    </row>
    <row r="4645">
      <c r="A4645" s="1">
        <v>4643.0</v>
      </c>
      <c r="B4645" s="4" t="s">
        <v>7121</v>
      </c>
      <c r="C4645" s="5" t="str">
        <f>IFERROR(__xludf.DUMMYFUNCTION("GOOGLETRANSLATE(D:D,""auto"",""en"")"),"Foreign media talk about Chinese control measures")</f>
        <v>Foreign media talk about Chinese control measures</v>
      </c>
      <c r="D4645" s="4" t="s">
        <v>7198</v>
      </c>
      <c r="E4645" s="4">
        <v>0.0</v>
      </c>
      <c r="F4645" s="4">
        <v>44.0</v>
      </c>
      <c r="G4645" s="4" t="s">
        <v>7199</v>
      </c>
    </row>
    <row r="4646">
      <c r="A4646" s="1">
        <v>4644.0</v>
      </c>
      <c r="B4646" s="4" t="s">
        <v>7121</v>
      </c>
      <c r="C4646" s="5" t="str">
        <f>IFERROR(__xludf.DUMMYFUNCTION("GOOGLETRANSLATE(D:D,""auto"",""en"")"),"Inner Mongolia now asymptomatic 1 case")</f>
        <v>Inner Mongolia now asymptomatic 1 case</v>
      </c>
      <c r="D4646" s="4" t="s">
        <v>7200</v>
      </c>
      <c r="E4646" s="4">
        <v>0.0</v>
      </c>
      <c r="F4646" s="4">
        <v>45.0</v>
      </c>
      <c r="G4646" s="4" t="s">
        <v>7201</v>
      </c>
    </row>
    <row r="4647">
      <c r="A4647" s="1">
        <v>4645.0</v>
      </c>
      <c r="B4647" s="4" t="s">
        <v>7121</v>
      </c>
      <c r="C4647" s="5" t="str">
        <f>IFERROR(__xludf.DUMMYFUNCTION("GOOGLETRANSLATE(D:D,""auto"",""en"")"),"The train hit the open man hospital ship")</f>
        <v>The train hit the open man hospital ship</v>
      </c>
      <c r="D4647" s="4" t="s">
        <v>7202</v>
      </c>
      <c r="E4647" s="4">
        <v>0.0</v>
      </c>
      <c r="F4647" s="4">
        <v>46.0</v>
      </c>
      <c r="G4647" s="4" t="s">
        <v>7203</v>
      </c>
    </row>
    <row r="4648">
      <c r="A4648" s="1">
        <v>4646.0</v>
      </c>
      <c r="B4648" s="4" t="s">
        <v>7121</v>
      </c>
      <c r="C4648" s="5" t="str">
        <f>IFERROR(__xludf.DUMMYFUNCTION("GOOGLETRANSLATE(D:D,""auto"",""en"")"),"Add approximately 50 cases per minute")</f>
        <v>Add approximately 50 cases per minute</v>
      </c>
      <c r="D4648" s="4" t="s">
        <v>7204</v>
      </c>
      <c r="E4648" s="4">
        <v>0.0</v>
      </c>
      <c r="F4648" s="4">
        <v>47.0</v>
      </c>
      <c r="G4648" s="4" t="s">
        <v>7205</v>
      </c>
    </row>
    <row r="4649">
      <c r="A4649" s="1">
        <v>4647.0</v>
      </c>
      <c r="B4649" s="4" t="s">
        <v>7121</v>
      </c>
      <c r="C4649" s="5" t="str">
        <f>IFERROR(__xludf.DUMMYFUNCTION("GOOGLETRANSLATE(D:D,""auto"",""en"")"),"Standard &amp; Poor's biggest one-day drop")</f>
        <v>Standard &amp; Poor's biggest one-day drop</v>
      </c>
      <c r="D4649" s="4" t="s">
        <v>7206</v>
      </c>
      <c r="E4649" s="4">
        <v>0.0</v>
      </c>
      <c r="F4649" s="4">
        <v>48.0</v>
      </c>
      <c r="G4649" s="4" t="s">
        <v>7207</v>
      </c>
    </row>
    <row r="4650">
      <c r="A4650" s="1">
        <v>4648.0</v>
      </c>
      <c r="B4650" s="4" t="s">
        <v>7121</v>
      </c>
      <c r="C4650" s="5" t="str">
        <f>IFERROR(__xludf.DUMMYFUNCTION("GOOGLETRANSLATE(D:D,""auto"",""en"")"),"Hua Chunying talk about Taiwan donated masks")</f>
        <v>Hua Chunying talk about Taiwan donated masks</v>
      </c>
      <c r="D4650" s="4" t="s">
        <v>7208</v>
      </c>
      <c r="E4650" s="4">
        <v>0.0</v>
      </c>
      <c r="F4650" s="4">
        <v>49.0</v>
      </c>
      <c r="G4650" s="4" t="s">
        <v>7209</v>
      </c>
    </row>
    <row r="4651">
      <c r="A4651" s="1">
        <v>4649.0</v>
      </c>
      <c r="B4651" s="4" t="s">
        <v>7121</v>
      </c>
      <c r="C4651" s="5" t="str">
        <f>IFERROR(__xludf.DUMMYFUNCTION("GOOGLETRANSLATE(D:D,""auto"",""en"")"),"In 2020 the first delisting company")</f>
        <v>In 2020 the first delisting company</v>
      </c>
      <c r="D4651" s="4" t="s">
        <v>7210</v>
      </c>
      <c r="E4651" s="4">
        <v>0.0</v>
      </c>
      <c r="F4651" s="4">
        <v>50.0</v>
      </c>
      <c r="G4651" s="4" t="s">
        <v>7211</v>
      </c>
    </row>
    <row r="4652">
      <c r="A4652" s="1">
        <v>4650.0</v>
      </c>
      <c r="B4652" s="4" t="s">
        <v>7212</v>
      </c>
      <c r="C4652" s="5" t="str">
        <f>IFERROR(__xludf.DUMMYFUNCTION("GOOGLETRANSLATE(D:D,""auto"",""en"")"),"Isolation owner confirmed actuator 97")</f>
        <v>Isolation owner confirmed actuator 97</v>
      </c>
      <c r="D4652" s="4" t="s">
        <v>7213</v>
      </c>
      <c r="E4652" s="4">
        <v>0.0</v>
      </c>
      <c r="F4652" s="4">
        <v>1.0</v>
      </c>
      <c r="G4652" s="4" t="s">
        <v>7214</v>
      </c>
    </row>
    <row r="4653">
      <c r="A4653" s="1">
        <v>4651.0</v>
      </c>
      <c r="B4653" s="4" t="s">
        <v>7212</v>
      </c>
      <c r="C4653" s="5" t="str">
        <f>IFERROR(__xludf.DUMMYFUNCTION("GOOGLETRANSLATE(D:D,""auto"",""en"")"),"Fortunately or Swiss coffee will be accountable")</f>
        <v>Fortunately or Swiss coffee will be accountable</v>
      </c>
      <c r="D4653" s="4" t="s">
        <v>7215</v>
      </c>
      <c r="E4653" s="4">
        <v>0.0</v>
      </c>
      <c r="F4653" s="4">
        <v>2.0</v>
      </c>
      <c r="G4653" s="4" t="s">
        <v>7216</v>
      </c>
    </row>
    <row r="4654">
      <c r="A4654" s="1">
        <v>4652.0</v>
      </c>
      <c r="B4654" s="4" t="s">
        <v>7212</v>
      </c>
      <c r="C4654" s="5" t="str">
        <f>IFERROR(__xludf.DUMMYFUNCTION("GOOGLETRANSLATE(D:D,""auto"",""en"")"),"US confirmed the death of a baby")</f>
        <v>US confirmed the death of a baby</v>
      </c>
      <c r="D4654" s="4" t="s">
        <v>7140</v>
      </c>
      <c r="E4654" s="4">
        <v>0.0</v>
      </c>
      <c r="F4654" s="4">
        <v>3.0</v>
      </c>
      <c r="G4654" s="4" t="s">
        <v>7141</v>
      </c>
    </row>
    <row r="4655">
      <c r="A4655" s="1">
        <v>4653.0</v>
      </c>
      <c r="B4655" s="4" t="s">
        <v>7212</v>
      </c>
      <c r="C4655" s="5" t="str">
        <f>IFERROR(__xludf.DUMMYFUNCTION("GOOGLETRANSLATE(D:D,""auto"",""en"")"),"Director Deng responded blame nurse")</f>
        <v>Director Deng responded blame nurse</v>
      </c>
      <c r="D4655" s="4" t="s">
        <v>7217</v>
      </c>
      <c r="E4655" s="4">
        <v>0.0</v>
      </c>
      <c r="F4655" s="4">
        <v>4.0</v>
      </c>
      <c r="G4655" s="4" t="s">
        <v>7218</v>
      </c>
    </row>
    <row r="4656">
      <c r="A4656" s="1">
        <v>4654.0</v>
      </c>
      <c r="B4656" s="4" t="s">
        <v>7212</v>
      </c>
      <c r="C4656" s="5" t="str">
        <f>IFERROR(__xludf.DUMMYFUNCTION("GOOGLETRANSLATE(D:D,""auto"",""en"")"),"108 new crown vaccine inoculation")</f>
        <v>108 new crown vaccine inoculation</v>
      </c>
      <c r="D4656" s="4" t="s">
        <v>7219</v>
      </c>
      <c r="E4656" s="4">
        <v>0.0</v>
      </c>
      <c r="F4656" s="4">
        <v>5.0</v>
      </c>
      <c r="G4656" s="4" t="s">
        <v>7220</v>
      </c>
    </row>
    <row r="4657">
      <c r="A4657" s="1">
        <v>4655.0</v>
      </c>
      <c r="B4657" s="4" t="s">
        <v>7212</v>
      </c>
      <c r="C4657" s="5" t="str">
        <f>IFERROR(__xludf.DUMMYFUNCTION("GOOGLETRANSLATE(D:D,""auto"",""en"")"),"April 4 national mourning")</f>
        <v>April 4 national mourning</v>
      </c>
      <c r="D4657" s="4" t="s">
        <v>7221</v>
      </c>
      <c r="E4657" s="4">
        <v>0.0</v>
      </c>
      <c r="F4657" s="4">
        <v>6.0</v>
      </c>
      <c r="G4657" s="4" t="s">
        <v>7222</v>
      </c>
    </row>
    <row r="4658">
      <c r="A4658" s="1">
        <v>4656.0</v>
      </c>
      <c r="B4658" s="4" t="s">
        <v>7212</v>
      </c>
      <c r="C4658" s="5" t="str">
        <f>IFERROR(__xludf.DUMMYFUNCTION("GOOGLETRANSLATE(D:D,""auto"",""en"")"),"Or exposure to wrap up the Premier League in China")</f>
        <v>Or exposure to wrap up the Premier League in China</v>
      </c>
      <c r="D4658" s="4" t="s">
        <v>7223</v>
      </c>
      <c r="E4658" s="4">
        <v>0.0</v>
      </c>
      <c r="F4658" s="4">
        <v>7.0</v>
      </c>
      <c r="G4658" s="4" t="s">
        <v>7224</v>
      </c>
    </row>
    <row r="4659">
      <c r="A4659" s="1">
        <v>4657.0</v>
      </c>
      <c r="B4659" s="4" t="s">
        <v>7212</v>
      </c>
      <c r="C4659" s="5" t="str">
        <f>IFERROR(__xludf.DUMMYFUNCTION("GOOGLETRANSLATE(D:D,""auto"",""en"")"),"US aircraft carrier captain was removed from office")</f>
        <v>US aircraft carrier captain was removed from office</v>
      </c>
      <c r="D4659" s="4" t="s">
        <v>7225</v>
      </c>
      <c r="E4659" s="4">
        <v>0.0</v>
      </c>
      <c r="F4659" s="4">
        <v>8.0</v>
      </c>
      <c r="G4659" s="4" t="s">
        <v>7226</v>
      </c>
    </row>
    <row r="4660">
      <c r="A4660" s="1">
        <v>4658.0</v>
      </c>
      <c r="B4660" s="4" t="s">
        <v>7212</v>
      </c>
      <c r="C4660" s="5" t="str">
        <f>IFERROR(__xludf.DUMMYFUNCTION("GOOGLETRANSLATE(D:D,""auto"",""en"")"),"On the official store 500 kg of rice")</f>
        <v>On the official store 500 kg of rice</v>
      </c>
      <c r="D4660" s="4" t="s">
        <v>7227</v>
      </c>
      <c r="E4660" s="4">
        <v>0.0</v>
      </c>
      <c r="F4660" s="4">
        <v>9.0</v>
      </c>
      <c r="G4660" s="4" t="s">
        <v>7228</v>
      </c>
    </row>
    <row r="4661">
      <c r="A4661" s="1">
        <v>4659.0</v>
      </c>
      <c r="B4661" s="4" t="s">
        <v>7212</v>
      </c>
      <c r="C4661" s="5" t="str">
        <f>IFERROR(__xludf.DUMMYFUNCTION("GOOGLETRANSLATE(D:D,""auto"",""en"")"),"51 cases of asymptomatic infection by E")</f>
        <v>51 cases of asymptomatic infection by E</v>
      </c>
      <c r="D4661" s="4" t="s">
        <v>7229</v>
      </c>
      <c r="E4661" s="4">
        <v>0.0</v>
      </c>
      <c r="F4661" s="4">
        <v>10.0</v>
      </c>
      <c r="G4661" s="4" t="s">
        <v>7230</v>
      </c>
    </row>
    <row r="4662">
      <c r="A4662" s="1">
        <v>4660.0</v>
      </c>
      <c r="B4662" s="4" t="s">
        <v>7212</v>
      </c>
      <c r="C4662" s="5" t="str">
        <f>IFERROR(__xludf.DUMMYFUNCTION("GOOGLETRANSLATE(D:D,""auto"",""en"")"),"Playground buried corpse case upheld the sentence")</f>
        <v>Playground buried corpse case upheld the sentence</v>
      </c>
      <c r="D4662" s="4" t="s">
        <v>7231</v>
      </c>
      <c r="E4662" s="4">
        <v>0.0</v>
      </c>
      <c r="F4662" s="4">
        <v>11.0</v>
      </c>
      <c r="G4662" s="4" t="s">
        <v>7232</v>
      </c>
    </row>
    <row r="4663">
      <c r="A4663" s="1">
        <v>4661.0</v>
      </c>
      <c r="B4663" s="4" t="s">
        <v>7212</v>
      </c>
      <c r="C4663" s="5" t="str">
        <f>IFERROR(__xludf.DUMMYFUNCTION("GOOGLETRANSLATE(D:D,""auto"",""en"")"),"Breaking the one million cases diagnosed worldwide")</f>
        <v>Breaking the one million cases diagnosed worldwide</v>
      </c>
      <c r="D4663" s="4" t="s">
        <v>7233</v>
      </c>
      <c r="E4663" s="4">
        <v>0.0</v>
      </c>
      <c r="F4663" s="4">
        <v>12.0</v>
      </c>
      <c r="G4663" s="4" t="s">
        <v>7234</v>
      </c>
    </row>
    <row r="4664">
      <c r="A4664" s="1">
        <v>4662.0</v>
      </c>
      <c r="B4664" s="4" t="s">
        <v>7212</v>
      </c>
      <c r="C4664" s="5" t="str">
        <f>IFERROR(__xludf.DUMMYFUNCTION("GOOGLETRANSLATE(D:D,""auto"",""en"")"),"Fortunately, chairman of Swiss coffee sound")</f>
        <v>Fortunately, chairman of Swiss coffee sound</v>
      </c>
      <c r="D4664" s="4" t="s">
        <v>7235</v>
      </c>
      <c r="E4664" s="4">
        <v>0.0</v>
      </c>
      <c r="F4664" s="4">
        <v>13.0</v>
      </c>
      <c r="G4664" s="4" t="s">
        <v>7236</v>
      </c>
    </row>
    <row r="4665">
      <c r="A4665" s="1">
        <v>4663.0</v>
      </c>
      <c r="B4665" s="4" t="s">
        <v>7212</v>
      </c>
      <c r="C4665" s="5" t="str">
        <f>IFERROR(__xludf.DUMMYFUNCTION("GOOGLETRANSLATE(D:D,""auto"",""en"")"),"Fortunately, in the Swiss overcrowded stores")</f>
        <v>Fortunately, in the Swiss overcrowded stores</v>
      </c>
      <c r="D4665" s="4" t="s">
        <v>7237</v>
      </c>
      <c r="E4665" s="4">
        <v>0.0</v>
      </c>
      <c r="F4665" s="4">
        <v>14.0</v>
      </c>
      <c r="G4665" s="4" t="s">
        <v>7238</v>
      </c>
    </row>
    <row r="4666">
      <c r="A4666" s="1">
        <v>4664.0</v>
      </c>
      <c r="B4666" s="4" t="s">
        <v>7212</v>
      </c>
      <c r="C4666" s="5" t="str">
        <f>IFERROR(__xludf.DUMMYFUNCTION("GOOGLETRANSLATE(D:D,""auto"",""en"")"),"US excess milk is drained")</f>
        <v>US excess milk is drained</v>
      </c>
      <c r="D4666" s="4" t="s">
        <v>7239</v>
      </c>
      <c r="E4666" s="4">
        <v>0.0</v>
      </c>
      <c r="F4666" s="4">
        <v>15.0</v>
      </c>
      <c r="G4666" s="4" t="s">
        <v>7240</v>
      </c>
    </row>
    <row r="4667">
      <c r="A4667" s="1">
        <v>4665.0</v>
      </c>
      <c r="B4667" s="4" t="s">
        <v>7212</v>
      </c>
      <c r="C4667" s="5" t="str">
        <f>IFERROR(__xludf.DUMMYFUNCTION("GOOGLETRANSLATE(D:D,""auto"",""en"")"),"Brazil rejected only Chinese aid")</f>
        <v>Brazil rejected only Chinese aid</v>
      </c>
      <c r="D4667" s="4" t="s">
        <v>7241</v>
      </c>
      <c r="E4667" s="4">
        <v>0.0</v>
      </c>
      <c r="F4667" s="4">
        <v>16.0</v>
      </c>
      <c r="G4667" s="4" t="s">
        <v>7242</v>
      </c>
    </row>
    <row r="4668">
      <c r="A4668" s="1">
        <v>4666.0</v>
      </c>
      <c r="B4668" s="4" t="s">
        <v>7212</v>
      </c>
      <c r="C4668" s="5" t="str">
        <f>IFERROR(__xludf.DUMMYFUNCTION("GOOGLETRANSLATE(D:D,""auto"",""en"")"),"Sun Wenbin was executed")</f>
        <v>Sun Wenbin was executed</v>
      </c>
      <c r="D4668" s="4" t="s">
        <v>7243</v>
      </c>
      <c r="E4668" s="4">
        <v>0.0</v>
      </c>
      <c r="F4668" s="4">
        <v>17.0</v>
      </c>
      <c r="G4668" s="4" t="s">
        <v>7244</v>
      </c>
    </row>
    <row r="4669">
      <c r="A4669" s="1">
        <v>4667.0</v>
      </c>
      <c r="B4669" s="4" t="s">
        <v>7212</v>
      </c>
      <c r="C4669" s="5" t="str">
        <f>IFERROR(__xludf.DUMMYFUNCTION("GOOGLETRANSLATE(D:D,""auto"",""en"")"),"Overheating the hundreds of millions live with a cargo")</f>
        <v>Overheating the hundreds of millions live with a cargo</v>
      </c>
      <c r="D4669" s="4" t="s">
        <v>7128</v>
      </c>
      <c r="E4669" s="4">
        <v>0.0</v>
      </c>
      <c r="F4669" s="4">
        <v>18.0</v>
      </c>
      <c r="G4669" s="4" t="s">
        <v>7129</v>
      </c>
    </row>
    <row r="4670">
      <c r="A4670" s="1">
        <v>4668.0</v>
      </c>
      <c r="B4670" s="4" t="s">
        <v>7212</v>
      </c>
      <c r="C4670" s="5" t="str">
        <f>IFERROR(__xludf.DUMMYFUNCTION("GOOGLETRANSLATE(D:D,""auto"",""en"")"),"US Treasury to sell one hundred billion")</f>
        <v>US Treasury to sell one hundred billion</v>
      </c>
      <c r="D4670" s="4" t="s">
        <v>7245</v>
      </c>
      <c r="E4670" s="4">
        <v>0.0</v>
      </c>
      <c r="F4670" s="4">
        <v>19.0</v>
      </c>
      <c r="G4670" s="4" t="s">
        <v>7246</v>
      </c>
    </row>
    <row r="4671">
      <c r="A4671" s="1">
        <v>4669.0</v>
      </c>
      <c r="B4671" s="4" t="s">
        <v>7212</v>
      </c>
      <c r="C4671" s="5" t="str">
        <f>IFERROR(__xludf.DUMMYFUNCTION("GOOGLETRANSLATE(D:D,""auto"",""en"")"),"Zhong Nanshan deny concealed epidemic")</f>
        <v>Zhong Nanshan deny concealed epidemic</v>
      </c>
      <c r="D4671" s="4" t="s">
        <v>7247</v>
      </c>
      <c r="E4671" s="4">
        <v>0.0</v>
      </c>
      <c r="F4671" s="4">
        <v>20.0</v>
      </c>
      <c r="G4671" s="4" t="s">
        <v>7248</v>
      </c>
    </row>
    <row r="4672">
      <c r="A4672" s="1">
        <v>4670.0</v>
      </c>
      <c r="B4672" s="4" t="s">
        <v>7212</v>
      </c>
      <c r="C4672" s="5" t="str">
        <f>IFERROR(__xludf.DUMMYFUNCTION("GOOGLETRANSLATE(D:D,""auto"",""en"")"),"India lost to 9,000 cases")</f>
        <v>India lost to 9,000 cases</v>
      </c>
      <c r="D4672" s="4" t="s">
        <v>7249</v>
      </c>
      <c r="E4672" s="4">
        <v>0.0</v>
      </c>
      <c r="F4672" s="4">
        <v>21.0</v>
      </c>
      <c r="G4672" s="4" t="s">
        <v>7250</v>
      </c>
    </row>
    <row r="4673">
      <c r="A4673" s="1">
        <v>4671.0</v>
      </c>
      <c r="B4673" s="4" t="s">
        <v>7212</v>
      </c>
      <c r="C4673" s="5" t="str">
        <f>IFERROR(__xludf.DUMMYFUNCTION("GOOGLETRANSLATE(D:D,""auto"",""en"")"),"Vucic three times thanks to China")</f>
        <v>Vucic three times thanks to China</v>
      </c>
      <c r="D4673" s="4" t="s">
        <v>7251</v>
      </c>
      <c r="E4673" s="4">
        <v>0.0</v>
      </c>
      <c r="F4673" s="4">
        <v>22.0</v>
      </c>
      <c r="G4673" s="4" t="s">
        <v>7252</v>
      </c>
    </row>
    <row r="4674">
      <c r="A4674" s="1">
        <v>4672.0</v>
      </c>
      <c r="B4674" s="4" t="s">
        <v>7212</v>
      </c>
      <c r="C4674" s="5" t="str">
        <f>IFERROR(__xludf.DUMMYFUNCTION("GOOGLETRANSLATE(D:D,""auto"",""en"")"),"Thailand burst African horse sickness")</f>
        <v>Thailand burst African horse sickness</v>
      </c>
      <c r="D4674" s="4" t="s">
        <v>7253</v>
      </c>
      <c r="E4674" s="4">
        <v>0.0</v>
      </c>
      <c r="F4674" s="4">
        <v>23.0</v>
      </c>
      <c r="G4674" s="4" t="s">
        <v>7254</v>
      </c>
    </row>
    <row r="4675">
      <c r="A4675" s="1">
        <v>4673.0</v>
      </c>
      <c r="B4675" s="4" t="s">
        <v>7212</v>
      </c>
      <c r="C4675" s="5" t="str">
        <f>IFERROR(__xludf.DUMMYFUNCTION("GOOGLETRANSLATE(D:D,""auto"",""en"")"),"The fishing boat hit China Coast Guard ship")</f>
        <v>The fishing boat hit China Coast Guard ship</v>
      </c>
      <c r="D4675" s="4" t="s">
        <v>7255</v>
      </c>
      <c r="E4675" s="4">
        <v>0.0</v>
      </c>
      <c r="F4675" s="4">
        <v>24.0</v>
      </c>
      <c r="G4675" s="4" t="s">
        <v>7256</v>
      </c>
    </row>
    <row r="4676">
      <c r="A4676" s="1">
        <v>4674.0</v>
      </c>
      <c r="B4676" s="4" t="s">
        <v>7212</v>
      </c>
      <c r="C4676" s="5" t="str">
        <f>IFERROR(__xludf.DUMMYFUNCTION("GOOGLETRANSLATE(D:D,""auto"",""en"")"),"United States thousands of police infection")</f>
        <v>United States thousands of police infection</v>
      </c>
      <c r="D4676" s="4" t="s">
        <v>7257</v>
      </c>
      <c r="E4676" s="4">
        <v>0.0</v>
      </c>
      <c r="F4676" s="4">
        <v>25.0</v>
      </c>
      <c r="G4676" s="4" t="s">
        <v>7258</v>
      </c>
    </row>
    <row r="4677">
      <c r="A4677" s="1">
        <v>4675.0</v>
      </c>
      <c r="B4677" s="4" t="s">
        <v>7212</v>
      </c>
      <c r="C4677" s="5" t="str">
        <f>IFERROR(__xludf.DUMMYFUNCTION("GOOGLETRANSLATE(D:D,""auto"",""en"")"),"Dad took his son to meet handcuffs")</f>
        <v>Dad took his son to meet handcuffs</v>
      </c>
      <c r="D4677" s="4" t="s">
        <v>7259</v>
      </c>
      <c r="E4677" s="4">
        <v>0.0</v>
      </c>
      <c r="F4677" s="4">
        <v>26.0</v>
      </c>
      <c r="G4677" s="4" t="s">
        <v>7260</v>
      </c>
    </row>
    <row r="4678">
      <c r="A4678" s="1">
        <v>4676.0</v>
      </c>
      <c r="B4678" s="4" t="s">
        <v>7212</v>
      </c>
      <c r="C4678" s="5" t="str">
        <f>IFERROR(__xludf.DUMMYFUNCTION("GOOGLETRANSLATE(D:D,""auto"",""en"")"),"Zhang talk Overheating")</f>
        <v>Zhang talk Overheating</v>
      </c>
      <c r="D4678" s="4" t="s">
        <v>7261</v>
      </c>
      <c r="E4678" s="4">
        <v>0.0</v>
      </c>
      <c r="F4678" s="4">
        <v>27.0</v>
      </c>
      <c r="G4678" s="4" t="s">
        <v>7262</v>
      </c>
    </row>
    <row r="4679">
      <c r="A4679" s="1">
        <v>4677.0</v>
      </c>
      <c r="B4679" s="4" t="s">
        <v>7212</v>
      </c>
      <c r="C4679" s="5" t="str">
        <f>IFERROR(__xludf.DUMMYFUNCTION("GOOGLETRANSLATE(D:D,""auto"",""en"")"),"Han closed strengthen community management")</f>
        <v>Han closed strengthen community management</v>
      </c>
      <c r="D4679" s="4" t="s">
        <v>7263</v>
      </c>
      <c r="E4679" s="4">
        <v>0.0</v>
      </c>
      <c r="F4679" s="4">
        <v>28.0</v>
      </c>
      <c r="G4679" s="4" t="s">
        <v>7264</v>
      </c>
    </row>
    <row r="4680">
      <c r="A4680" s="1">
        <v>4678.0</v>
      </c>
      <c r="B4680" s="4" t="s">
        <v>7212</v>
      </c>
      <c r="C4680" s="5" t="str">
        <f>IFERROR(__xludf.DUMMYFUNCTION("GOOGLETRANSLATE(D:D,""auto"",""en"")"),"Trump blasted 3M Company")</f>
        <v>Trump blasted 3M Company</v>
      </c>
      <c r="D4680" s="4" t="s">
        <v>7265</v>
      </c>
      <c r="E4680" s="4">
        <v>0.0</v>
      </c>
      <c r="F4680" s="4">
        <v>29.0</v>
      </c>
      <c r="G4680" s="4" t="s">
        <v>7266</v>
      </c>
    </row>
    <row r="4681">
      <c r="A4681" s="1">
        <v>4679.0</v>
      </c>
      <c r="B4681" s="4" t="s">
        <v>7212</v>
      </c>
      <c r="C4681" s="5" t="str">
        <f>IFERROR(__xludf.DUMMYFUNCTION("GOOGLETRANSLATE(D:D,""auto"",""en"")"),"Trump secondary test negative")</f>
        <v>Trump secondary test negative</v>
      </c>
      <c r="D4681" s="4" t="s">
        <v>7267</v>
      </c>
      <c r="E4681" s="4">
        <v>0.0</v>
      </c>
      <c r="F4681" s="4">
        <v>30.0</v>
      </c>
      <c r="G4681" s="4" t="s">
        <v>7268</v>
      </c>
    </row>
    <row r="4682">
      <c r="A4682" s="1">
        <v>4680.0</v>
      </c>
      <c r="B4682" s="4" t="s">
        <v>7212</v>
      </c>
      <c r="C4682" s="5" t="str">
        <f>IFERROR(__xludf.DUMMYFUNCTION("GOOGLETRANSLATE(D:D,""auto"",""en"")"),"NASA prohibit employees from using Zoom")</f>
        <v>NASA prohibit employees from using Zoom</v>
      </c>
      <c r="D4682" s="4" t="s">
        <v>7269</v>
      </c>
      <c r="E4682" s="4">
        <v>0.0</v>
      </c>
      <c r="F4682" s="4">
        <v>31.0</v>
      </c>
      <c r="G4682" s="4" t="s">
        <v>7270</v>
      </c>
    </row>
    <row r="4683">
      <c r="A4683" s="1">
        <v>4681.0</v>
      </c>
      <c r="B4683" s="4" t="s">
        <v>7212</v>
      </c>
      <c r="C4683" s="5" t="str">
        <f>IFERROR(__xludf.DUMMYFUNCTION("GOOGLETRANSLATE(D:D,""auto"",""en"")"),"The official response to a letter of apology signature")</f>
        <v>The official response to a letter of apology signature</v>
      </c>
      <c r="D4683" s="4" t="s">
        <v>7271</v>
      </c>
      <c r="E4683" s="4">
        <v>0.0</v>
      </c>
      <c r="F4683" s="4">
        <v>32.0</v>
      </c>
      <c r="G4683" s="4" t="s">
        <v>7272</v>
      </c>
    </row>
    <row r="4684">
      <c r="A4684" s="1">
        <v>4682.0</v>
      </c>
      <c r="B4684" s="4" t="s">
        <v>7212</v>
      </c>
      <c r="C4684" s="5" t="str">
        <f>IFERROR(__xludf.DUMMYFUNCTION("GOOGLETRANSLATE(D:D,""auto"",""en"")"),"The central bank said the money will not be shortage")</f>
        <v>The central bank said the money will not be shortage</v>
      </c>
      <c r="D4684" s="4" t="s">
        <v>7273</v>
      </c>
      <c r="E4684" s="4">
        <v>0.0</v>
      </c>
      <c r="F4684" s="4">
        <v>33.0</v>
      </c>
      <c r="G4684" s="4" t="s">
        <v>7274</v>
      </c>
    </row>
    <row r="4685">
      <c r="A4685" s="1">
        <v>4683.0</v>
      </c>
      <c r="B4685" s="4" t="s">
        <v>7212</v>
      </c>
      <c r="C4685" s="5" t="str">
        <f>IFERROR(__xludf.DUMMYFUNCTION("GOOGLETRANSLATE(D:D,""auto"",""en"")"),"These 13 cases confirmed a")</f>
        <v>These 13 cases confirmed a</v>
      </c>
      <c r="D4685" s="4" t="s">
        <v>7275</v>
      </c>
      <c r="E4685" s="4">
        <v>0.0</v>
      </c>
      <c r="F4685" s="4">
        <v>34.0</v>
      </c>
      <c r="G4685" s="4" t="s">
        <v>7276</v>
      </c>
    </row>
    <row r="4686">
      <c r="A4686" s="1">
        <v>4684.0</v>
      </c>
      <c r="B4686" s="4" t="s">
        <v>7212</v>
      </c>
      <c r="C4686" s="5" t="str">
        <f>IFERROR(__xludf.DUMMYFUNCTION("GOOGLETRANSLATE(D:D,""auto"",""en"")"),"Sun Yang endorsement of the product was to resist")</f>
        <v>Sun Yang endorsement of the product was to resist</v>
      </c>
      <c r="D4686" s="4" t="s">
        <v>7178</v>
      </c>
      <c r="E4686" s="4">
        <v>0.0</v>
      </c>
      <c r="F4686" s="4">
        <v>35.0</v>
      </c>
      <c r="G4686" s="4" t="s">
        <v>7179</v>
      </c>
    </row>
    <row r="4687">
      <c r="A4687" s="1">
        <v>4685.0</v>
      </c>
      <c r="B4687" s="4" t="s">
        <v>7212</v>
      </c>
      <c r="C4687" s="5" t="str">
        <f>IFERROR(__xludf.DUMMYFUNCTION("GOOGLETRANSLATE(D:D,""auto"",""en"")"),"Zhong Nanshan worry overseas epidemic")</f>
        <v>Zhong Nanshan worry overseas epidemic</v>
      </c>
      <c r="D4687" s="4" t="s">
        <v>7180</v>
      </c>
      <c r="E4687" s="4">
        <v>0.0</v>
      </c>
      <c r="F4687" s="4">
        <v>36.0</v>
      </c>
      <c r="G4687" s="4" t="s">
        <v>7181</v>
      </c>
    </row>
    <row r="4688">
      <c r="A4688" s="1">
        <v>4686.0</v>
      </c>
      <c r="B4688" s="4" t="s">
        <v>7212</v>
      </c>
      <c r="C4688" s="5" t="str">
        <f>IFERROR(__xludf.DUMMYFUNCTION("GOOGLETRANSLATE(D:D,""auto"",""en"")"),"Guo Moupeng jailed for a year and a half")</f>
        <v>Guo Moupeng jailed for a year and a half</v>
      </c>
      <c r="D4688" s="4" t="s">
        <v>7277</v>
      </c>
      <c r="E4688" s="4">
        <v>0.0</v>
      </c>
      <c r="F4688" s="4">
        <v>37.0</v>
      </c>
      <c r="G4688" s="4" t="s">
        <v>7278</v>
      </c>
    </row>
    <row r="4689">
      <c r="A4689" s="1">
        <v>4687.0</v>
      </c>
      <c r="B4689" s="4" t="s">
        <v>7212</v>
      </c>
      <c r="C4689" s="5" t="str">
        <f>IFERROR(__xludf.DUMMYFUNCTION("GOOGLETRANSLATE(D:D,""auto"",""en"")"),"Part TV series broadcast pause row")</f>
        <v>Part TV series broadcast pause row</v>
      </c>
      <c r="D4689" s="4" t="s">
        <v>7279</v>
      </c>
      <c r="E4689" s="4">
        <v>0.0</v>
      </c>
      <c r="F4689" s="4">
        <v>38.0</v>
      </c>
      <c r="G4689" s="4" t="s">
        <v>7280</v>
      </c>
    </row>
    <row r="4690">
      <c r="A4690" s="1">
        <v>4688.0</v>
      </c>
      <c r="B4690" s="4" t="s">
        <v>7212</v>
      </c>
      <c r="C4690" s="5" t="str">
        <f>IFERROR(__xludf.DUMMYFUNCTION("GOOGLETRANSLATE(D:D,""auto"",""en"")"),"Trump criticized Johnson")</f>
        <v>Trump criticized Johnson</v>
      </c>
      <c r="D4690" s="4" t="s">
        <v>7281</v>
      </c>
      <c r="E4690" s="4">
        <v>0.0</v>
      </c>
      <c r="F4690" s="4">
        <v>39.0</v>
      </c>
      <c r="G4690" s="4" t="s">
        <v>7282</v>
      </c>
    </row>
    <row r="4691">
      <c r="A4691" s="1">
        <v>4689.0</v>
      </c>
      <c r="B4691" s="4" t="s">
        <v>7212</v>
      </c>
      <c r="C4691" s="5" t="str">
        <f>IFERROR(__xludf.DUMMYFUNCTION("GOOGLETRANSLATE(D:D,""auto"",""en"")"),"US severe epidemic recognize Peng Sicheng")</f>
        <v>US severe epidemic recognize Peng Sicheng</v>
      </c>
      <c r="D4691" s="4" t="s">
        <v>7196</v>
      </c>
      <c r="E4691" s="4">
        <v>0.0</v>
      </c>
      <c r="F4691" s="4">
        <v>40.0</v>
      </c>
      <c r="G4691" s="4" t="s">
        <v>7197</v>
      </c>
    </row>
    <row r="4692">
      <c r="A4692" s="1">
        <v>4690.0</v>
      </c>
      <c r="B4692" s="4" t="s">
        <v>7212</v>
      </c>
      <c r="C4692" s="5" t="str">
        <f>IFERROR(__xludf.DUMMYFUNCTION("GOOGLETRANSLATE(D:D,""auto"",""en"")"),"The first oil war victim")</f>
        <v>The first oil war victim</v>
      </c>
      <c r="D4692" s="4" t="s">
        <v>7194</v>
      </c>
      <c r="E4692" s="4">
        <v>0.0</v>
      </c>
      <c r="F4692" s="4">
        <v>41.0</v>
      </c>
      <c r="G4692" s="4" t="s">
        <v>7195</v>
      </c>
    </row>
    <row r="4693">
      <c r="A4693" s="1">
        <v>4691.0</v>
      </c>
      <c r="B4693" s="4" t="s">
        <v>7212</v>
      </c>
      <c r="C4693" s="5" t="str">
        <f>IFERROR(__xludf.DUMMYFUNCTION("GOOGLETRANSLATE(D:D,""auto"",""en"")"),"Beijing Baiwangshan fire")</f>
        <v>Beijing Baiwangshan fire</v>
      </c>
      <c r="D4693" s="4" t="s">
        <v>7283</v>
      </c>
      <c r="E4693" s="4">
        <v>0.0</v>
      </c>
      <c r="F4693" s="4">
        <v>42.0</v>
      </c>
      <c r="G4693" s="4" t="s">
        <v>7284</v>
      </c>
    </row>
    <row r="4694">
      <c r="A4694" s="1">
        <v>4692.0</v>
      </c>
      <c r="B4694" s="4" t="s">
        <v>7212</v>
      </c>
      <c r="C4694" s="5" t="str">
        <f>IFERROR(__xludf.DUMMYFUNCTION("GOOGLETRANSLATE(D:D,""auto"",""en"")"),"Engage in multi-national boycott stigma")</f>
        <v>Engage in multi-national boycott stigma</v>
      </c>
      <c r="D4694" s="4" t="s">
        <v>7285</v>
      </c>
      <c r="E4694" s="4">
        <v>0.0</v>
      </c>
      <c r="F4694" s="4">
        <v>43.0</v>
      </c>
      <c r="G4694" s="4" t="s">
        <v>7286</v>
      </c>
    </row>
    <row r="4695">
      <c r="A4695" s="1">
        <v>4693.0</v>
      </c>
      <c r="B4695" s="4" t="s">
        <v>7212</v>
      </c>
      <c r="C4695" s="5" t="str">
        <f>IFERROR(__xludf.DUMMYFUNCTION("GOOGLETRANSLATE(D:D,""auto"",""en"")"),"In 2020 the first delisting company")</f>
        <v>In 2020 the first delisting company</v>
      </c>
      <c r="D4695" s="4" t="s">
        <v>7210</v>
      </c>
      <c r="E4695" s="4">
        <v>0.0</v>
      </c>
      <c r="F4695" s="4">
        <v>44.0</v>
      </c>
      <c r="G4695" s="4" t="s">
        <v>7211</v>
      </c>
    </row>
    <row r="4696">
      <c r="A4696" s="1">
        <v>4694.0</v>
      </c>
      <c r="B4696" s="4" t="s">
        <v>7212</v>
      </c>
      <c r="C4696" s="5" t="str">
        <f>IFERROR(__xludf.DUMMYFUNCTION("GOOGLETRANSLATE(D:D,""auto"",""en"")"),"Zhang Zetian respond to donate supplies")</f>
        <v>Zhang Zetian respond to donate supplies</v>
      </c>
      <c r="D4696" s="4" t="s">
        <v>7287</v>
      </c>
      <c r="E4696" s="4">
        <v>0.0</v>
      </c>
      <c r="F4696" s="4">
        <v>45.0</v>
      </c>
      <c r="G4696" s="4" t="s">
        <v>7288</v>
      </c>
    </row>
    <row r="4697">
      <c r="A4697" s="1">
        <v>4695.0</v>
      </c>
      <c r="B4697" s="4" t="s">
        <v>7212</v>
      </c>
      <c r="C4697" s="5" t="str">
        <f>IFERROR(__xludf.DUMMYFUNCTION("GOOGLETRANSLATE(D:D,""auto"",""en"")"),"Guangzhou hit a bus tunnel")</f>
        <v>Guangzhou hit a bus tunnel</v>
      </c>
      <c r="D4697" s="4" t="s">
        <v>7289</v>
      </c>
      <c r="E4697" s="4">
        <v>0.0</v>
      </c>
      <c r="F4697" s="4">
        <v>46.0</v>
      </c>
      <c r="G4697" s="4" t="s">
        <v>7290</v>
      </c>
    </row>
    <row r="4698">
      <c r="A4698" s="1">
        <v>4696.0</v>
      </c>
      <c r="B4698" s="4" t="s">
        <v>7212</v>
      </c>
      <c r="C4698" s="5" t="str">
        <f>IFERROR(__xludf.DUMMYFUNCTION("GOOGLETRANSLATE(D:D,""auto"",""en"")"),"Zhong Nanshan worried that the US epidemic")</f>
        <v>Zhong Nanshan worried that the US epidemic</v>
      </c>
      <c r="D4698" s="4" t="s">
        <v>7291</v>
      </c>
      <c r="E4698" s="4">
        <v>0.0</v>
      </c>
      <c r="F4698" s="4">
        <v>47.0</v>
      </c>
      <c r="G4698" s="4" t="s">
        <v>7292</v>
      </c>
    </row>
    <row r="4699">
      <c r="A4699" s="1">
        <v>4697.0</v>
      </c>
      <c r="B4699" s="4" t="s">
        <v>7212</v>
      </c>
      <c r="C4699" s="5" t="str">
        <f>IFERROR(__xludf.DUMMYFUNCTION("GOOGLETRANSLATE(D:D,""auto"",""en"")"),"Hubei workers pay talks was beaten")</f>
        <v>Hubei workers pay talks was beaten</v>
      </c>
      <c r="D4699" s="4" t="s">
        <v>7293</v>
      </c>
      <c r="E4699" s="4">
        <v>0.0</v>
      </c>
      <c r="F4699" s="4">
        <v>48.0</v>
      </c>
      <c r="G4699" s="4" t="s">
        <v>7294</v>
      </c>
    </row>
    <row r="4700">
      <c r="A4700" s="1">
        <v>4698.0</v>
      </c>
      <c r="B4700" s="4" t="s">
        <v>7212</v>
      </c>
      <c r="C4700" s="5" t="str">
        <f>IFERROR(__xludf.DUMMYFUNCTION("GOOGLETRANSLATE(D:D,""auto"",""en"")"),"A Kyoto University outbreak")</f>
        <v>A Kyoto University outbreak</v>
      </c>
      <c r="D4700" s="4" t="s">
        <v>7174</v>
      </c>
      <c r="E4700" s="4">
        <v>0.0</v>
      </c>
      <c r="F4700" s="4">
        <v>49.0</v>
      </c>
      <c r="G4700" s="4" t="s">
        <v>7175</v>
      </c>
    </row>
    <row r="4701">
      <c r="A4701" s="1">
        <v>4699.0</v>
      </c>
      <c r="B4701" s="4" t="s">
        <v>7212</v>
      </c>
      <c r="C4701" s="5" t="str">
        <f>IFERROR(__xludf.DUMMYFUNCTION("GOOGLETRANSLATE(D:D,""auto"",""en"")"),"Amazon stock N95 masks")</f>
        <v>Amazon stock N95 masks</v>
      </c>
      <c r="D4701" s="4" t="s">
        <v>7295</v>
      </c>
      <c r="E4701" s="4">
        <v>0.0</v>
      </c>
      <c r="F4701" s="4">
        <v>50.0</v>
      </c>
      <c r="G4701" s="4" t="s">
        <v>7296</v>
      </c>
    </row>
    <row r="4702">
      <c r="A4702" s="1">
        <v>4700.0</v>
      </c>
      <c r="B4702" s="4" t="s">
        <v>7297</v>
      </c>
      <c r="C4702" s="5" t="str">
        <f>IFERROR(__xludf.DUMMYFUNCTION("GOOGLETRANSLATE(D:D,""auto"",""en"")"),"Festival of national mourning")</f>
        <v>Festival of national mourning</v>
      </c>
      <c r="D4702" s="4" t="s">
        <v>7298</v>
      </c>
      <c r="E4702" s="4">
        <v>0.0</v>
      </c>
      <c r="F4702" s="4">
        <v>1.0</v>
      </c>
      <c r="G4702" s="4" t="s">
        <v>7299</v>
      </c>
    </row>
    <row r="4703">
      <c r="A4703" s="1">
        <v>4701.0</v>
      </c>
      <c r="B4703" s="4" t="s">
        <v>7297</v>
      </c>
      <c r="C4703" s="5" t="str">
        <f>IFERROR(__xludf.DUMMYFUNCTION("GOOGLETRANSLATE(D:D,""auto"",""en"")"),"The fishing boat hit China Coast Guard ship")</f>
        <v>The fishing boat hit China Coast Guard ship</v>
      </c>
      <c r="D4703" s="4" t="s">
        <v>7255</v>
      </c>
      <c r="E4703" s="4">
        <v>0.0</v>
      </c>
      <c r="F4703" s="4">
        <v>2.0</v>
      </c>
      <c r="G4703" s="4" t="s">
        <v>7256</v>
      </c>
    </row>
    <row r="4704">
      <c r="A4704" s="1">
        <v>4702.0</v>
      </c>
      <c r="B4704" s="4" t="s">
        <v>7297</v>
      </c>
      <c r="C4704" s="5" t="str">
        <f>IFERROR(__xludf.DUMMYFUNCTION("GOOGLETRANSLATE(D:D,""auto"",""en"")"),"Jingdong Liu Qiang East responded retiring")</f>
        <v>Jingdong Liu Qiang East responded retiring</v>
      </c>
      <c r="D4704" s="4" t="s">
        <v>7300</v>
      </c>
      <c r="E4704" s="4">
        <v>0.0</v>
      </c>
      <c r="F4704" s="4">
        <v>3.0</v>
      </c>
      <c r="G4704" s="4" t="s">
        <v>7301</v>
      </c>
    </row>
    <row r="4705">
      <c r="A4705" s="1">
        <v>4703.0</v>
      </c>
      <c r="B4705" s="4" t="s">
        <v>7297</v>
      </c>
      <c r="C4705" s="5" t="str">
        <f>IFERROR(__xludf.DUMMYFUNCTION("GOOGLETRANSLATE(D:D,""auto"",""en"")"),"Zhong Nanshan vigil of silence")</f>
        <v>Zhong Nanshan vigil of silence</v>
      </c>
      <c r="D4705" s="4" t="s">
        <v>7302</v>
      </c>
      <c r="E4705" s="4">
        <v>0.0</v>
      </c>
      <c r="F4705" s="4">
        <v>4.0</v>
      </c>
      <c r="G4705" s="4" t="s">
        <v>7303</v>
      </c>
    </row>
    <row r="4706">
      <c r="A4706" s="1">
        <v>4704.0</v>
      </c>
      <c r="B4706" s="4" t="s">
        <v>7297</v>
      </c>
      <c r="C4706" s="5" t="str">
        <f>IFERROR(__xludf.DUMMYFUNCTION("GOOGLETRANSLATE(D:D,""auto"",""en"")"),"These 13 cases confirmed a")</f>
        <v>These 13 cases confirmed a</v>
      </c>
      <c r="D4706" s="4" t="s">
        <v>7275</v>
      </c>
      <c r="E4706" s="4">
        <v>0.0</v>
      </c>
      <c r="F4706" s="4">
        <v>5.0</v>
      </c>
      <c r="G4706" s="4" t="s">
        <v>7276</v>
      </c>
    </row>
    <row r="4707">
      <c r="A4707" s="1">
        <v>4705.0</v>
      </c>
      <c r="B4707" s="4" t="s">
        <v>7297</v>
      </c>
      <c r="C4707" s="5" t="str">
        <f>IFERROR(__xludf.DUMMYFUNCTION("GOOGLETRANSLATE(D:D,""auto"",""en"")"),"India lost to 9,000 cases")</f>
        <v>India lost to 9,000 cases</v>
      </c>
      <c r="D4707" s="4" t="s">
        <v>7249</v>
      </c>
      <c r="E4707" s="4">
        <v>0.0</v>
      </c>
      <c r="F4707" s="4">
        <v>6.0</v>
      </c>
      <c r="G4707" s="4" t="s">
        <v>7250</v>
      </c>
    </row>
    <row r="4708">
      <c r="A4708" s="1">
        <v>4706.0</v>
      </c>
      <c r="B4708" s="4" t="s">
        <v>7297</v>
      </c>
      <c r="C4708" s="5" t="str">
        <f>IFERROR(__xludf.DUMMYFUNCTION("GOOGLETRANSLATE(D:D,""auto"",""en"")"),"US Treasury to sell one hundred billion")</f>
        <v>US Treasury to sell one hundred billion</v>
      </c>
      <c r="D4708" s="4" t="s">
        <v>7245</v>
      </c>
      <c r="E4708" s="4">
        <v>0.0</v>
      </c>
      <c r="F4708" s="4">
        <v>7.0</v>
      </c>
      <c r="G4708" s="4" t="s">
        <v>7246</v>
      </c>
    </row>
    <row r="4709">
      <c r="A4709" s="1">
        <v>4707.0</v>
      </c>
      <c r="B4709" s="4" t="s">
        <v>7297</v>
      </c>
      <c r="C4709" s="5" t="str">
        <f>IFERROR(__xludf.DUMMYFUNCTION("GOOGLETRANSLATE(D:D,""auto"",""en"")"),"Thailand burst African horse sickness")</f>
        <v>Thailand burst African horse sickness</v>
      </c>
      <c r="D4709" s="4" t="s">
        <v>7253</v>
      </c>
      <c r="E4709" s="4">
        <v>0.0</v>
      </c>
      <c r="F4709" s="4">
        <v>8.0</v>
      </c>
      <c r="G4709" s="4" t="s">
        <v>7254</v>
      </c>
    </row>
    <row r="4710">
      <c r="A4710" s="1">
        <v>4708.0</v>
      </c>
      <c r="B4710" s="4" t="s">
        <v>7297</v>
      </c>
      <c r="C4710" s="5" t="str">
        <f>IFERROR(__xludf.DUMMYFUNCTION("GOOGLETRANSLATE(D:D,""auto"",""en"")"),"Guangzhou nurse was injured starter sound")</f>
        <v>Guangzhou nurse was injured starter sound</v>
      </c>
      <c r="D4710" s="4" t="s">
        <v>7304</v>
      </c>
      <c r="E4710" s="4">
        <v>0.0</v>
      </c>
      <c r="F4710" s="4">
        <v>9.0</v>
      </c>
      <c r="G4710" s="4" t="s">
        <v>7305</v>
      </c>
    </row>
    <row r="4711">
      <c r="A4711" s="1">
        <v>4709.0</v>
      </c>
      <c r="B4711" s="4" t="s">
        <v>7297</v>
      </c>
      <c r="C4711" s="5" t="str">
        <f>IFERROR(__xludf.DUMMYFUNCTION("GOOGLETRANSLATE(D:D,""auto"",""en"")"),"Tiananmen Square to half-mast")</f>
        <v>Tiananmen Square to half-mast</v>
      </c>
      <c r="D4711" s="4" t="s">
        <v>7306</v>
      </c>
      <c r="E4711" s="4">
        <v>0.0</v>
      </c>
      <c r="F4711" s="4">
        <v>10.0</v>
      </c>
      <c r="G4711" s="4" t="s">
        <v>7307</v>
      </c>
    </row>
    <row r="4712">
      <c r="A4712" s="1">
        <v>4710.0</v>
      </c>
      <c r="B4712" s="4" t="s">
        <v>7297</v>
      </c>
      <c r="C4712" s="5" t="str">
        <f>IFERROR(__xludf.DUMMYFUNCTION("GOOGLETRANSLATE(D:D,""auto"",""en"")"),"Wuhan stopped vehicle 3 minutes")</f>
        <v>Wuhan stopped vehicle 3 minutes</v>
      </c>
      <c r="D4712" s="4" t="s">
        <v>7308</v>
      </c>
      <c r="E4712" s="4">
        <v>0.0</v>
      </c>
      <c r="F4712" s="4">
        <v>11.0</v>
      </c>
      <c r="G4712" s="4" t="s">
        <v>7309</v>
      </c>
    </row>
    <row r="4713">
      <c r="A4713" s="1">
        <v>4711.0</v>
      </c>
      <c r="B4713" s="4" t="s">
        <v>7297</v>
      </c>
      <c r="C4713" s="5" t="str">
        <f>IFERROR(__xludf.DUMMYFUNCTION("GOOGLETRANSLATE(D:D,""auto"",""en"")"),"Many stop taking one day game")</f>
        <v>Many stop taking one day game</v>
      </c>
      <c r="D4713" s="4" t="s">
        <v>7310</v>
      </c>
      <c r="E4713" s="4">
        <v>0.0</v>
      </c>
      <c r="F4713" s="4">
        <v>12.0</v>
      </c>
      <c r="G4713" s="4" t="s">
        <v>7311</v>
      </c>
    </row>
    <row r="4714">
      <c r="A4714" s="1">
        <v>4712.0</v>
      </c>
      <c r="B4714" s="4" t="s">
        <v>7297</v>
      </c>
      <c r="C4714" s="5" t="str">
        <f>IFERROR(__xludf.DUMMYFUNCTION("GOOGLETRANSLATE(D:D,""auto"",""en"")"),"Cat group infection Niikappu virulent")</f>
        <v>Cat group infection Niikappu virulent</v>
      </c>
      <c r="D4714" s="4" t="s">
        <v>7312</v>
      </c>
      <c r="E4714" s="4">
        <v>0.0</v>
      </c>
      <c r="F4714" s="4">
        <v>13.0</v>
      </c>
      <c r="G4714" s="4" t="s">
        <v>7313</v>
      </c>
    </row>
    <row r="4715">
      <c r="A4715" s="1">
        <v>4713.0</v>
      </c>
      <c r="B4715" s="4" t="s">
        <v>7297</v>
      </c>
      <c r="C4715" s="5" t="str">
        <f>IFERROR(__xludf.DUMMYFUNCTION("GOOGLETRANSLATE(D:D,""auto"",""en"")"),"Jingdong Liu Qiang East outgoing legal")</f>
        <v>Jingdong Liu Qiang East outgoing legal</v>
      </c>
      <c r="D4715" s="4" t="s">
        <v>7314</v>
      </c>
      <c r="E4715" s="4">
        <v>0.0</v>
      </c>
      <c r="F4715" s="4">
        <v>14.0</v>
      </c>
      <c r="G4715" s="4" t="s">
        <v>7315</v>
      </c>
    </row>
    <row r="4716">
      <c r="A4716" s="1">
        <v>4714.0</v>
      </c>
      <c r="B4716" s="4" t="s">
        <v>7297</v>
      </c>
      <c r="C4716" s="5" t="str">
        <f>IFERROR(__xludf.DUMMYFUNCTION("GOOGLETRANSLATE(D:D,""auto"",""en"")"),"Huawei's stake in power equipment")</f>
        <v>Huawei's stake in power equipment</v>
      </c>
      <c r="D4716" s="4" t="s">
        <v>7316</v>
      </c>
      <c r="E4716" s="4">
        <v>0.0</v>
      </c>
      <c r="F4716" s="4">
        <v>15.0</v>
      </c>
      <c r="G4716" s="4" t="s">
        <v>7317</v>
      </c>
    </row>
    <row r="4717">
      <c r="A4717" s="1">
        <v>4715.0</v>
      </c>
      <c r="B4717" s="4" t="s">
        <v>7297</v>
      </c>
      <c r="C4717" s="5" t="str">
        <f>IFERROR(__xludf.DUMMYFUNCTION("GOOGLETRANSLATE(D:D,""auto"",""en"")"),"ZHANG Wen-hong talk about France epidemic")</f>
        <v>ZHANG Wen-hong talk about France epidemic</v>
      </c>
      <c r="D4717" s="4" t="s">
        <v>7318</v>
      </c>
      <c r="E4717" s="4">
        <v>0.0</v>
      </c>
      <c r="F4717" s="4">
        <v>16.0</v>
      </c>
      <c r="G4717" s="4" t="s">
        <v>7319</v>
      </c>
    </row>
    <row r="4718">
      <c r="A4718" s="1">
        <v>4716.0</v>
      </c>
      <c r="B4718" s="4" t="s">
        <v>7297</v>
      </c>
      <c r="C4718" s="5" t="str">
        <f>IFERROR(__xludf.DUMMYFUNCTION("GOOGLETRANSLATE(D:D,""auto"",""en"")"),"Zhong Nanshan worried that the US epidemic")</f>
        <v>Zhong Nanshan worried that the US epidemic</v>
      </c>
      <c r="D4718" s="4" t="s">
        <v>7291</v>
      </c>
      <c r="E4718" s="4">
        <v>0.0</v>
      </c>
      <c r="F4718" s="4">
        <v>17.0</v>
      </c>
      <c r="G4718" s="4" t="s">
        <v>7292</v>
      </c>
    </row>
    <row r="4719">
      <c r="A4719" s="1">
        <v>4717.0</v>
      </c>
      <c r="B4719" s="4" t="s">
        <v>7297</v>
      </c>
      <c r="C4719" s="5" t="str">
        <f>IFERROR(__xludf.DUMMYFUNCTION("GOOGLETRANSLATE(D:D,""auto"",""en"")"),"Sun Wenbin was executed")</f>
        <v>Sun Wenbin was executed</v>
      </c>
      <c r="D4719" s="4" t="s">
        <v>7243</v>
      </c>
      <c r="E4719" s="4">
        <v>0.0</v>
      </c>
      <c r="F4719" s="4">
        <v>18.0</v>
      </c>
      <c r="G4719" s="4" t="s">
        <v>7244</v>
      </c>
    </row>
    <row r="4720">
      <c r="A4720" s="1">
        <v>4718.0</v>
      </c>
      <c r="B4720" s="4" t="s">
        <v>7297</v>
      </c>
      <c r="C4720" s="5" t="str">
        <f>IFERROR(__xludf.DUMMYFUNCTION("GOOGLETRANSLATE(D:D,""auto"",""en"")"),"Brazil rejected only Chinese aid")</f>
        <v>Brazil rejected only Chinese aid</v>
      </c>
      <c r="D4720" s="4" t="s">
        <v>7241</v>
      </c>
      <c r="E4720" s="4">
        <v>0.0</v>
      </c>
      <c r="F4720" s="4">
        <v>19.0</v>
      </c>
      <c r="G4720" s="4" t="s">
        <v>7242</v>
      </c>
    </row>
    <row r="4721">
      <c r="A4721" s="1">
        <v>4719.0</v>
      </c>
      <c r="B4721" s="4" t="s">
        <v>7297</v>
      </c>
      <c r="C4721" s="5" t="str">
        <f>IFERROR(__xludf.DUMMYFUNCTION("GOOGLETRANSLATE(D:D,""auto"",""en"")"),"Vucic three times thanks to China")</f>
        <v>Vucic three times thanks to China</v>
      </c>
      <c r="D4721" s="4" t="s">
        <v>7251</v>
      </c>
      <c r="E4721" s="4">
        <v>0.0</v>
      </c>
      <c r="F4721" s="4">
        <v>20.0</v>
      </c>
      <c r="G4721" s="4" t="s">
        <v>7252</v>
      </c>
    </row>
    <row r="4722">
      <c r="A4722" s="1">
        <v>4720.0</v>
      </c>
      <c r="B4722" s="4" t="s">
        <v>7297</v>
      </c>
      <c r="C4722" s="5" t="str">
        <f>IFERROR(__xludf.DUMMYFUNCTION("GOOGLETRANSLATE(D:D,""auto"",""en"")"),"Guo Moupeng jailed for a year and a half")</f>
        <v>Guo Moupeng jailed for a year and a half</v>
      </c>
      <c r="D4722" s="4" t="s">
        <v>7277</v>
      </c>
      <c r="E4722" s="4">
        <v>0.0</v>
      </c>
      <c r="F4722" s="4">
        <v>21.0</v>
      </c>
      <c r="G4722" s="4" t="s">
        <v>7278</v>
      </c>
    </row>
    <row r="4723">
      <c r="A4723" s="1">
        <v>4721.0</v>
      </c>
      <c r="B4723" s="4" t="s">
        <v>7297</v>
      </c>
      <c r="C4723" s="5" t="str">
        <f>IFERROR(__xludf.DUMMYFUNCTION("GOOGLETRANSLATE(D:D,""auto"",""en"")"),"New York nurse street protests")</f>
        <v>New York nurse street protests</v>
      </c>
      <c r="D4723" s="4" t="s">
        <v>7320</v>
      </c>
      <c r="E4723" s="4">
        <v>0.0</v>
      </c>
      <c r="F4723" s="4">
        <v>22.0</v>
      </c>
      <c r="G4723" s="4" t="s">
        <v>7321</v>
      </c>
    </row>
    <row r="4724">
      <c r="A4724" s="1">
        <v>4722.0</v>
      </c>
      <c r="B4724" s="4" t="s">
        <v>7297</v>
      </c>
      <c r="C4724" s="5" t="str">
        <f>IFERROR(__xludf.DUMMYFUNCTION("GOOGLETRANSLATE(D:D,""auto"",""en"")"),"Wuhan half-mast")</f>
        <v>Wuhan half-mast</v>
      </c>
      <c r="D4724" s="4" t="s">
        <v>7322</v>
      </c>
      <c r="E4724" s="4">
        <v>0.0</v>
      </c>
      <c r="F4724" s="4">
        <v>23.0</v>
      </c>
      <c r="G4724" s="4" t="s">
        <v>7323</v>
      </c>
    </row>
    <row r="4725">
      <c r="A4725" s="1">
        <v>4723.0</v>
      </c>
      <c r="B4725" s="4" t="s">
        <v>7297</v>
      </c>
      <c r="C4725" s="5" t="str">
        <f>IFERROR(__xludf.DUMMYFUNCTION("GOOGLETRANSLATE(D:D,""auto"",""en"")"),"Playground buried corpse case upheld the sentence")</f>
        <v>Playground buried corpse case upheld the sentence</v>
      </c>
      <c r="D4725" s="4" t="s">
        <v>7231</v>
      </c>
      <c r="E4725" s="4">
        <v>0.0</v>
      </c>
      <c r="F4725" s="4">
        <v>24.0</v>
      </c>
      <c r="G4725" s="4" t="s">
        <v>7232</v>
      </c>
    </row>
    <row r="4726">
      <c r="A4726" s="1">
        <v>4724.0</v>
      </c>
      <c r="B4726" s="4" t="s">
        <v>7297</v>
      </c>
      <c r="C4726" s="5" t="str">
        <f>IFERROR(__xludf.DUMMYFUNCTION("GOOGLETRANSLATE(D:D,""auto"",""en"")"),"Trump criticized Johnson")</f>
        <v>Trump criticized Johnson</v>
      </c>
      <c r="D4726" s="4" t="s">
        <v>7281</v>
      </c>
      <c r="E4726" s="4">
        <v>0.0</v>
      </c>
      <c r="F4726" s="4">
        <v>25.0</v>
      </c>
      <c r="G4726" s="4" t="s">
        <v>7282</v>
      </c>
    </row>
    <row r="4727">
      <c r="A4727" s="1">
        <v>4725.0</v>
      </c>
      <c r="B4727" s="4" t="s">
        <v>7297</v>
      </c>
      <c r="C4727" s="5" t="str">
        <f>IFERROR(__xludf.DUMMYFUNCTION("GOOGLETRANSLATE(D:D,""auto"",""en"")"),"Fortunately, chairman of Swiss coffee sound")</f>
        <v>Fortunately, chairman of Swiss coffee sound</v>
      </c>
      <c r="D4727" s="4" t="s">
        <v>7235</v>
      </c>
      <c r="E4727" s="4">
        <v>0.0</v>
      </c>
      <c r="F4727" s="4">
        <v>26.0</v>
      </c>
      <c r="G4727" s="4" t="s">
        <v>7236</v>
      </c>
    </row>
    <row r="4728">
      <c r="A4728" s="1">
        <v>4726.0</v>
      </c>
      <c r="B4728" s="4" t="s">
        <v>7297</v>
      </c>
      <c r="C4728" s="5" t="str">
        <f>IFERROR(__xludf.DUMMYFUNCTION("GOOGLETRANSLATE(D:D,""auto"",""en"")"),"Fortunately, in the Swiss overcrowded stores")</f>
        <v>Fortunately, in the Swiss overcrowded stores</v>
      </c>
      <c r="D4728" s="4" t="s">
        <v>7237</v>
      </c>
      <c r="E4728" s="4">
        <v>0.0</v>
      </c>
      <c r="F4728" s="4">
        <v>27.0</v>
      </c>
      <c r="G4728" s="4" t="s">
        <v>7238</v>
      </c>
    </row>
    <row r="4729">
      <c r="A4729" s="1">
        <v>4727.0</v>
      </c>
      <c r="B4729" s="4" t="s">
        <v>7297</v>
      </c>
      <c r="C4729" s="5" t="str">
        <f>IFERROR(__xludf.DUMMYFUNCTION("GOOGLETRANSLATE(D:D,""auto"",""en"")"),"Trump blasted 3M Company")</f>
        <v>Trump blasted 3M Company</v>
      </c>
      <c r="D4729" s="4" t="s">
        <v>7265</v>
      </c>
      <c r="E4729" s="4">
        <v>0.0</v>
      </c>
      <c r="F4729" s="4">
        <v>28.0</v>
      </c>
      <c r="G4729" s="4" t="s">
        <v>7266</v>
      </c>
    </row>
    <row r="4730">
      <c r="A4730" s="1">
        <v>4728.0</v>
      </c>
      <c r="B4730" s="4" t="s">
        <v>7297</v>
      </c>
      <c r="C4730" s="5" t="str">
        <f>IFERROR(__xludf.DUMMYFUNCTION("GOOGLETRANSLATE(D:D,""auto"",""en"")"),"The racial makeup of Michigan Case")</f>
        <v>The racial makeup of Michigan Case</v>
      </c>
      <c r="D4730" s="4" t="s">
        <v>7324</v>
      </c>
      <c r="E4730" s="4">
        <v>0.0</v>
      </c>
      <c r="F4730" s="4">
        <v>29.0</v>
      </c>
      <c r="G4730" s="4" t="s">
        <v>7325</v>
      </c>
    </row>
    <row r="4731">
      <c r="A4731" s="1">
        <v>4729.0</v>
      </c>
      <c r="B4731" s="4" t="s">
        <v>7297</v>
      </c>
      <c r="C4731" s="5" t="str">
        <f>IFERROR(__xludf.DUMMYFUNCTION("GOOGLETRANSLATE(D:D,""auto"",""en"")"),"On the official store 500 kg of rice")</f>
        <v>On the official store 500 kg of rice</v>
      </c>
      <c r="D4731" s="4" t="s">
        <v>7227</v>
      </c>
      <c r="E4731" s="4">
        <v>0.0</v>
      </c>
      <c r="F4731" s="4">
        <v>30.0</v>
      </c>
      <c r="G4731" s="4" t="s">
        <v>7228</v>
      </c>
    </row>
    <row r="4732">
      <c r="A4732" s="1">
        <v>4730.0</v>
      </c>
      <c r="B4732" s="4" t="s">
        <v>7297</v>
      </c>
      <c r="C4732" s="5" t="str">
        <f>IFERROR(__xludf.DUMMYFUNCTION("GOOGLETRANSLATE(D:D,""auto"",""en"")"),"Hubei workers pay talks was beaten")</f>
        <v>Hubei workers pay talks was beaten</v>
      </c>
      <c r="D4732" s="4" t="s">
        <v>7293</v>
      </c>
      <c r="E4732" s="4">
        <v>0.0</v>
      </c>
      <c r="F4732" s="4">
        <v>31.0</v>
      </c>
      <c r="G4732" s="4" t="s">
        <v>7294</v>
      </c>
    </row>
    <row r="4733">
      <c r="A4733" s="1">
        <v>4731.0</v>
      </c>
      <c r="B4733" s="4" t="s">
        <v>7297</v>
      </c>
      <c r="C4733" s="5" t="str">
        <f>IFERROR(__xludf.DUMMYFUNCTION("GOOGLETRANSLATE(D:D,""auto"",""en"")"),"The central bank said the money will not be shortage")</f>
        <v>The central bank said the money will not be shortage</v>
      </c>
      <c r="D4733" s="4" t="s">
        <v>7273</v>
      </c>
      <c r="E4733" s="4">
        <v>0.0</v>
      </c>
      <c r="F4733" s="4">
        <v>32.0</v>
      </c>
      <c r="G4733" s="4" t="s">
        <v>7274</v>
      </c>
    </row>
    <row r="4734">
      <c r="A4734" s="1">
        <v>4732.0</v>
      </c>
      <c r="B4734" s="4" t="s">
        <v>7297</v>
      </c>
      <c r="C4734" s="5" t="str">
        <f>IFERROR(__xludf.DUMMYFUNCTION("GOOGLETRANSLATE(D:D,""auto"",""en"")"),"Isolation owner confirmed actuator 97")</f>
        <v>Isolation owner confirmed actuator 97</v>
      </c>
      <c r="D4734" s="4" t="s">
        <v>7213</v>
      </c>
      <c r="E4734" s="4">
        <v>0.0</v>
      </c>
      <c r="F4734" s="4">
        <v>33.0</v>
      </c>
      <c r="G4734" s="4" t="s">
        <v>7214</v>
      </c>
    </row>
    <row r="4735">
      <c r="A4735" s="1">
        <v>4733.0</v>
      </c>
      <c r="B4735" s="4" t="s">
        <v>7297</v>
      </c>
      <c r="C4735" s="5" t="str">
        <f>IFERROR(__xludf.DUMMYFUNCTION("GOOGLETRANSLATE(D:D,""auto"",""en"")"),"108 new crown vaccine inoculation")</f>
        <v>108 new crown vaccine inoculation</v>
      </c>
      <c r="D4735" s="4" t="s">
        <v>7219</v>
      </c>
      <c r="E4735" s="4">
        <v>0.0</v>
      </c>
      <c r="F4735" s="4">
        <v>34.0</v>
      </c>
      <c r="G4735" s="4" t="s">
        <v>7220</v>
      </c>
    </row>
    <row r="4736">
      <c r="A4736" s="1">
        <v>4734.0</v>
      </c>
      <c r="B4736" s="4" t="s">
        <v>7297</v>
      </c>
      <c r="C4736" s="5" t="str">
        <f>IFERROR(__xludf.DUMMYFUNCTION("GOOGLETRANSLATE(D:D,""auto"",""en"")"),"The official response to a letter of apology signature")</f>
        <v>The official response to a letter of apology signature</v>
      </c>
      <c r="D4736" s="4" t="s">
        <v>7271</v>
      </c>
      <c r="E4736" s="4">
        <v>0.0</v>
      </c>
      <c r="F4736" s="4">
        <v>35.0</v>
      </c>
      <c r="G4736" s="4" t="s">
        <v>7272</v>
      </c>
    </row>
    <row r="4737">
      <c r="A4737" s="1">
        <v>4735.0</v>
      </c>
      <c r="B4737" s="4" t="s">
        <v>7297</v>
      </c>
      <c r="C4737" s="5" t="str">
        <f>IFERROR(__xludf.DUMMYFUNCTION("GOOGLETRANSLATE(D:D,""auto"",""en"")"),"51 cases of asymptomatic infection by E")</f>
        <v>51 cases of asymptomatic infection by E</v>
      </c>
      <c r="D4737" s="4" t="s">
        <v>7229</v>
      </c>
      <c r="E4737" s="4">
        <v>0.0</v>
      </c>
      <c r="F4737" s="4">
        <v>36.0</v>
      </c>
      <c r="G4737" s="4" t="s">
        <v>7230</v>
      </c>
    </row>
    <row r="4738">
      <c r="A4738" s="1">
        <v>4736.0</v>
      </c>
      <c r="B4738" s="4" t="s">
        <v>7297</v>
      </c>
      <c r="C4738" s="5" t="str">
        <f>IFERROR(__xludf.DUMMYFUNCTION("GOOGLETRANSLATE(D:D,""auto"",""en"")"),"US aircraft carrier captain was removed from office")</f>
        <v>US aircraft carrier captain was removed from office</v>
      </c>
      <c r="D4738" s="4" t="s">
        <v>7225</v>
      </c>
      <c r="E4738" s="4">
        <v>0.0</v>
      </c>
      <c r="F4738" s="4">
        <v>37.0</v>
      </c>
      <c r="G4738" s="4" t="s">
        <v>7226</v>
      </c>
    </row>
    <row r="4739">
      <c r="A4739" s="1">
        <v>4737.0</v>
      </c>
      <c r="B4739" s="4" t="s">
        <v>7297</v>
      </c>
      <c r="C4739" s="5" t="str">
        <f>IFERROR(__xludf.DUMMYFUNCTION("GOOGLETRANSLATE(D:D,""auto"",""en"")"),"Part TV series broadcast pause row")</f>
        <v>Part TV series broadcast pause row</v>
      </c>
      <c r="D4739" s="4" t="s">
        <v>7279</v>
      </c>
      <c r="E4739" s="4">
        <v>0.0</v>
      </c>
      <c r="F4739" s="4">
        <v>38.0</v>
      </c>
      <c r="G4739" s="4" t="s">
        <v>7280</v>
      </c>
    </row>
    <row r="4740">
      <c r="A4740" s="1">
        <v>4738.0</v>
      </c>
      <c r="B4740" s="4" t="s">
        <v>7297</v>
      </c>
      <c r="C4740" s="5" t="str">
        <f>IFERROR(__xludf.DUMMYFUNCTION("GOOGLETRANSLATE(D:D,""auto"",""en"")"),"Or exposure to wrap up the Premier League in China")</f>
        <v>Or exposure to wrap up the Premier League in China</v>
      </c>
      <c r="D4740" s="4" t="s">
        <v>7223</v>
      </c>
      <c r="E4740" s="4">
        <v>0.0</v>
      </c>
      <c r="F4740" s="4">
        <v>39.0</v>
      </c>
      <c r="G4740" s="4" t="s">
        <v>7224</v>
      </c>
    </row>
    <row r="4741">
      <c r="A4741" s="1">
        <v>4739.0</v>
      </c>
      <c r="B4741" s="4" t="s">
        <v>7297</v>
      </c>
      <c r="C4741" s="5" t="str">
        <f>IFERROR(__xludf.DUMMYFUNCTION("GOOGLETRANSLATE(D:D,""auto"",""en"")"),"Zhang talk Overheating")</f>
        <v>Zhang talk Overheating</v>
      </c>
      <c r="D4741" s="4" t="s">
        <v>7261</v>
      </c>
      <c r="E4741" s="4">
        <v>0.0</v>
      </c>
      <c r="F4741" s="4">
        <v>40.0</v>
      </c>
      <c r="G4741" s="4" t="s">
        <v>7262</v>
      </c>
    </row>
    <row r="4742">
      <c r="A4742" s="1">
        <v>4740.0</v>
      </c>
      <c r="B4742" s="4" t="s">
        <v>7297</v>
      </c>
      <c r="C4742" s="5" t="str">
        <f>IFERROR(__xludf.DUMMYFUNCTION("GOOGLETRANSLATE(D:D,""auto"",""en"")"),"35 US states major disaster status")</f>
        <v>35 US states major disaster status</v>
      </c>
      <c r="D4742" s="4" t="s">
        <v>7326</v>
      </c>
      <c r="E4742" s="4">
        <v>0.0</v>
      </c>
      <c r="F4742" s="4">
        <v>41.0</v>
      </c>
      <c r="G4742" s="4" t="s">
        <v>7327</v>
      </c>
    </row>
    <row r="4743">
      <c r="A4743" s="1">
        <v>4741.0</v>
      </c>
      <c r="B4743" s="4" t="s">
        <v>7297</v>
      </c>
      <c r="C4743" s="5" t="str">
        <f>IFERROR(__xludf.DUMMYFUNCTION("GOOGLETRANSLATE(D:D,""auto"",""en"")"),"Sun Yang endorsement of the product was to resist")</f>
        <v>Sun Yang endorsement of the product was to resist</v>
      </c>
      <c r="D4743" s="4" t="s">
        <v>7178</v>
      </c>
      <c r="E4743" s="4">
        <v>0.0</v>
      </c>
      <c r="F4743" s="4">
        <v>42.0</v>
      </c>
      <c r="G4743" s="4" t="s">
        <v>7179</v>
      </c>
    </row>
    <row r="4744">
      <c r="A4744" s="1">
        <v>4742.0</v>
      </c>
      <c r="B4744" s="4" t="s">
        <v>7297</v>
      </c>
      <c r="C4744" s="5" t="str">
        <f>IFERROR(__xludf.DUMMYFUNCTION("GOOGLETRANSLATE(D:D,""auto"",""en"")"),"The first oil war victim")</f>
        <v>The first oil war victim</v>
      </c>
      <c r="D4744" s="4" t="s">
        <v>7194</v>
      </c>
      <c r="E4744" s="4">
        <v>0.0</v>
      </c>
      <c r="F4744" s="4">
        <v>43.0</v>
      </c>
      <c r="G4744" s="4" t="s">
        <v>7195</v>
      </c>
    </row>
    <row r="4745">
      <c r="A4745" s="1">
        <v>4743.0</v>
      </c>
      <c r="B4745" s="4" t="s">
        <v>7297</v>
      </c>
      <c r="C4745" s="5" t="str">
        <f>IFERROR(__xludf.DUMMYFUNCTION("GOOGLETRANSLATE(D:D,""auto"",""en"")"),"Province 31 new cases of 31 cases")</f>
        <v>Province 31 new cases of 31 cases</v>
      </c>
      <c r="D4745" s="4" t="s">
        <v>6873</v>
      </c>
      <c r="E4745" s="4">
        <v>0.0</v>
      </c>
      <c r="F4745" s="4">
        <v>44.0</v>
      </c>
      <c r="G4745" s="4" t="s">
        <v>6874</v>
      </c>
    </row>
    <row r="4746">
      <c r="A4746" s="1">
        <v>4744.0</v>
      </c>
      <c r="B4746" s="4" t="s">
        <v>7297</v>
      </c>
      <c r="C4746" s="5" t="str">
        <f>IFERROR(__xludf.DUMMYFUNCTION("GOOGLETRANSLATE(D:D,""auto"",""en"")"),"Dad took his son to meet handcuffs")</f>
        <v>Dad took his son to meet handcuffs</v>
      </c>
      <c r="D4746" s="4" t="s">
        <v>7259</v>
      </c>
      <c r="E4746" s="4">
        <v>0.0</v>
      </c>
      <c r="F4746" s="4">
        <v>45.0</v>
      </c>
      <c r="G4746" s="4" t="s">
        <v>7260</v>
      </c>
    </row>
    <row r="4747">
      <c r="A4747" s="1">
        <v>4745.0</v>
      </c>
      <c r="B4747" s="4" t="s">
        <v>7297</v>
      </c>
      <c r="C4747" s="5" t="str">
        <f>IFERROR(__xludf.DUMMYFUNCTION("GOOGLETRANSLATE(D:D,""auto"",""en"")"),"7 people singing karaoke OK diagnosis")</f>
        <v>7 people singing karaoke OK diagnosis</v>
      </c>
      <c r="D4747" s="4" t="s">
        <v>7328</v>
      </c>
      <c r="E4747" s="4">
        <v>0.0</v>
      </c>
      <c r="F4747" s="4">
        <v>46.0</v>
      </c>
      <c r="G4747" s="4" t="s">
        <v>7329</v>
      </c>
    </row>
    <row r="4748">
      <c r="A4748" s="1">
        <v>4746.0</v>
      </c>
      <c r="B4748" s="4" t="s">
        <v>7297</v>
      </c>
      <c r="C4748" s="5" t="str">
        <f>IFERROR(__xludf.DUMMYFUNCTION("GOOGLETRANSLATE(D:D,""auto"",""en"")"),"Liu Xin reject the indictment")</f>
        <v>Liu Xin reject the indictment</v>
      </c>
      <c r="D4748" s="4" t="s">
        <v>7330</v>
      </c>
      <c r="E4748" s="4">
        <v>0.0</v>
      </c>
      <c r="F4748" s="4">
        <v>47.0</v>
      </c>
      <c r="G4748" s="4" t="s">
        <v>7331</v>
      </c>
    </row>
    <row r="4749">
      <c r="A4749" s="1">
        <v>4747.0</v>
      </c>
      <c r="B4749" s="4" t="s">
        <v>7297</v>
      </c>
      <c r="C4749" s="5" t="str">
        <f>IFERROR(__xludf.DUMMYFUNCTION("GOOGLETRANSLATE(D:D,""auto"",""en"")"),"Han closed strengthen community management")</f>
        <v>Han closed strengthen community management</v>
      </c>
      <c r="D4749" s="4" t="s">
        <v>7263</v>
      </c>
      <c r="E4749" s="4">
        <v>0.0</v>
      </c>
      <c r="F4749" s="4">
        <v>48.0</v>
      </c>
      <c r="G4749" s="4" t="s">
        <v>7264</v>
      </c>
    </row>
    <row r="4750">
      <c r="A4750" s="1">
        <v>4748.0</v>
      </c>
      <c r="B4750" s="4" t="s">
        <v>7297</v>
      </c>
      <c r="C4750" s="5" t="str">
        <f>IFERROR(__xludf.DUMMYFUNCTION("GOOGLETRANSLATE(D:D,""auto"",""en"")"),"US excess milk is drained")</f>
        <v>US excess milk is drained</v>
      </c>
      <c r="D4750" s="4" t="s">
        <v>7239</v>
      </c>
      <c r="E4750" s="4">
        <v>0.0</v>
      </c>
      <c r="F4750" s="4">
        <v>49.0</v>
      </c>
      <c r="G4750" s="4" t="s">
        <v>7240</v>
      </c>
    </row>
    <row r="4751">
      <c r="A4751" s="1">
        <v>4749.0</v>
      </c>
      <c r="B4751" s="4" t="s">
        <v>7297</v>
      </c>
      <c r="C4751" s="5" t="str">
        <f>IFERROR(__xludf.DUMMYFUNCTION("GOOGLETRANSLATE(D:D,""auto"",""en"")"),"You just want a good spring")</f>
        <v>You just want a good spring</v>
      </c>
      <c r="D4751" s="4" t="s">
        <v>7332</v>
      </c>
      <c r="E4751" s="4">
        <v>0.0</v>
      </c>
      <c r="F4751" s="4">
        <v>50.0</v>
      </c>
      <c r="G4751" s="4" t="s">
        <v>7333</v>
      </c>
    </row>
    <row r="4752">
      <c r="A4752" s="1">
        <v>4750.0</v>
      </c>
      <c r="B4752" s="4" t="s">
        <v>7334</v>
      </c>
      <c r="C4752" s="5" t="str">
        <f>IFERROR(__xludf.DUMMYFUNCTION("GOOGLETRANSLATE(D:D,""auto"",""en"")"),"Mongolian sheep have not yet donated to China")</f>
        <v>Mongolian sheep have not yet donated to China</v>
      </c>
      <c r="D4752" s="4" t="s">
        <v>7335</v>
      </c>
      <c r="E4752" s="4">
        <v>0.0</v>
      </c>
      <c r="F4752" s="4">
        <v>1.0</v>
      </c>
      <c r="G4752" s="4" t="s">
        <v>7336</v>
      </c>
    </row>
    <row r="4753">
      <c r="A4753" s="1">
        <v>4751.0</v>
      </c>
      <c r="B4753" s="4" t="s">
        <v>7334</v>
      </c>
      <c r="C4753" s="5" t="str">
        <f>IFERROR(__xludf.DUMMYFUNCTION("GOOGLETRANSLATE(D:D,""auto"",""en"")"),"Jingdong Liu Qiang East responded retiring")</f>
        <v>Jingdong Liu Qiang East responded retiring</v>
      </c>
      <c r="D4753" s="4" t="s">
        <v>7300</v>
      </c>
      <c r="E4753" s="4">
        <v>0.0</v>
      </c>
      <c r="F4753" s="4">
        <v>2.0</v>
      </c>
      <c r="G4753" s="4" t="s">
        <v>7301</v>
      </c>
    </row>
    <row r="4754">
      <c r="A4754" s="1">
        <v>4752.0</v>
      </c>
      <c r="B4754" s="4" t="s">
        <v>7334</v>
      </c>
      <c r="C4754" s="5" t="str">
        <f>IFERROR(__xludf.DUMMYFUNCTION("GOOGLETRANSLATE(D:D,""auto"",""en"")"),"Overheating limit consumer orders received talk")</f>
        <v>Overheating limit consumer orders received talk</v>
      </c>
      <c r="D4754" s="4" t="s">
        <v>7337</v>
      </c>
      <c r="E4754" s="4">
        <v>0.0</v>
      </c>
      <c r="F4754" s="4">
        <v>3.0</v>
      </c>
      <c r="G4754" s="4" t="s">
        <v>7338</v>
      </c>
    </row>
    <row r="4755">
      <c r="A4755" s="1">
        <v>4753.0</v>
      </c>
      <c r="B4755" s="4" t="s">
        <v>7334</v>
      </c>
      <c r="C4755" s="5" t="str">
        <f>IFERROR(__xludf.DUMMYFUNCTION("GOOGLETRANSLATE(D:D,""auto"",""en"")"),"Bryant Hall of Fame")</f>
        <v>Bryant Hall of Fame</v>
      </c>
      <c r="D4755" s="4" t="s">
        <v>7339</v>
      </c>
      <c r="E4755" s="4">
        <v>0.0</v>
      </c>
      <c r="F4755" s="4">
        <v>4.0</v>
      </c>
      <c r="G4755" s="4" t="s">
        <v>7340</v>
      </c>
    </row>
    <row r="4756">
      <c r="A4756" s="1">
        <v>4754.0</v>
      </c>
      <c r="B4756" s="4" t="s">
        <v>7334</v>
      </c>
      <c r="C4756" s="5" t="str">
        <f>IFERROR(__xludf.DUMMYFUNCTION("GOOGLETRANSLATE(D:D,""auto"",""en"")"),"Guangdong increased five cases of indigenous cases")</f>
        <v>Guangdong increased five cases of indigenous cases</v>
      </c>
      <c r="D4756" s="4" t="s">
        <v>7341</v>
      </c>
      <c r="E4756" s="4">
        <v>0.0</v>
      </c>
      <c r="F4756" s="4">
        <v>5.0</v>
      </c>
      <c r="G4756" s="4" t="s">
        <v>7342</v>
      </c>
    </row>
    <row r="4757">
      <c r="A4757" s="1">
        <v>4755.0</v>
      </c>
      <c r="B4757" s="4" t="s">
        <v>7334</v>
      </c>
      <c r="C4757" s="5" t="str">
        <f>IFERROR(__xludf.DUMMYFUNCTION("GOOGLETRANSLATE(D:D,""auto"",""en"")"),"ZHANG Wen-hong talk about packaging disinfection")</f>
        <v>ZHANG Wen-hong talk about packaging disinfection</v>
      </c>
      <c r="D4757" s="4" t="s">
        <v>7343</v>
      </c>
      <c r="E4757" s="4">
        <v>0.0</v>
      </c>
      <c r="F4757" s="4">
        <v>6.0</v>
      </c>
      <c r="G4757" s="4" t="s">
        <v>7344</v>
      </c>
    </row>
    <row r="4758">
      <c r="A4758" s="1">
        <v>4756.0</v>
      </c>
      <c r="B4758" s="4" t="s">
        <v>7334</v>
      </c>
      <c r="C4758" s="5" t="str">
        <f>IFERROR(__xludf.DUMMYFUNCTION("GOOGLETRANSLATE(D:D,""auto"",""en"")"),"US Ambassador letters of thanks")</f>
        <v>US Ambassador letters of thanks</v>
      </c>
      <c r="D4758" s="4" t="s">
        <v>7345</v>
      </c>
      <c r="E4758" s="4">
        <v>0.0</v>
      </c>
      <c r="F4758" s="4">
        <v>7.0</v>
      </c>
      <c r="G4758" s="4" t="s">
        <v>7346</v>
      </c>
    </row>
    <row r="4759">
      <c r="A4759" s="1">
        <v>4757.0</v>
      </c>
      <c r="B4759" s="4" t="s">
        <v>7334</v>
      </c>
      <c r="C4759" s="5" t="str">
        <f>IFERROR(__xludf.DUMMYFUNCTION("GOOGLETRANSLATE(D:D,""auto"",""en"")"),"US doctors detect new crown antibody")</f>
        <v>US doctors detect new crown antibody</v>
      </c>
      <c r="D4759" s="4" t="s">
        <v>7347</v>
      </c>
      <c r="E4759" s="4">
        <v>0.0</v>
      </c>
      <c r="F4759" s="4">
        <v>8.0</v>
      </c>
      <c r="G4759" s="4" t="s">
        <v>7348</v>
      </c>
    </row>
    <row r="4760">
      <c r="A4760" s="1">
        <v>4758.0</v>
      </c>
      <c r="B4760" s="4" t="s">
        <v>7334</v>
      </c>
      <c r="C4760" s="5" t="str">
        <f>IFERROR(__xludf.DUMMYFUNCTION("GOOGLETRANSLATE(D:D,""auto"",""en"")"),"Hangzhou 16 siren is sealed")</f>
        <v>Hangzhou 16 siren is sealed</v>
      </c>
      <c r="D4760" s="4" t="s">
        <v>7349</v>
      </c>
      <c r="E4760" s="4">
        <v>0.0</v>
      </c>
      <c r="F4760" s="4">
        <v>9.0</v>
      </c>
      <c r="G4760" s="4" t="s">
        <v>7350</v>
      </c>
    </row>
    <row r="4761">
      <c r="A4761" s="1">
        <v>4759.0</v>
      </c>
      <c r="B4761" s="4" t="s">
        <v>7334</v>
      </c>
      <c r="C4761" s="5" t="str">
        <f>IFERROR(__xludf.DUMMYFUNCTION("GOOGLETRANSLATE(D:D,""auto"",""en"")"),"United States confirmed a total of over 300,000")</f>
        <v>United States confirmed a total of over 300,000</v>
      </c>
      <c r="D4761" s="4" t="s">
        <v>7351</v>
      </c>
      <c r="E4761" s="4">
        <v>0.0</v>
      </c>
      <c r="F4761" s="4">
        <v>10.0</v>
      </c>
      <c r="G4761" s="4" t="s">
        <v>7352</v>
      </c>
    </row>
    <row r="4762">
      <c r="A4762" s="1">
        <v>4760.0</v>
      </c>
      <c r="B4762" s="4" t="s">
        <v>7334</v>
      </c>
      <c r="C4762" s="5" t="str">
        <f>IFERROR(__xludf.DUMMYFUNCTION("GOOGLETRANSLATE(D:D,""auto"",""en"")"),"Around the time school list")</f>
        <v>Around the time school list</v>
      </c>
      <c r="D4762" s="4" t="s">
        <v>7353</v>
      </c>
      <c r="E4762" s="4">
        <v>0.0</v>
      </c>
      <c r="F4762" s="4">
        <v>11.0</v>
      </c>
      <c r="G4762" s="4" t="s">
        <v>7354</v>
      </c>
    </row>
    <row r="4763">
      <c r="A4763" s="1">
        <v>4761.0</v>
      </c>
      <c r="B4763" s="4" t="s">
        <v>7334</v>
      </c>
      <c r="C4763" s="5" t="str">
        <f>IFERROR(__xludf.DUMMYFUNCTION("GOOGLETRANSLATE(D:D,""auto"",""en"")"),"Lu Hubei medical aid cardiac arrest")</f>
        <v>Lu Hubei medical aid cardiac arrest</v>
      </c>
      <c r="D4763" s="4" t="s">
        <v>7355</v>
      </c>
      <c r="E4763" s="4">
        <v>0.0</v>
      </c>
      <c r="F4763" s="4">
        <v>12.0</v>
      </c>
      <c r="G4763" s="4" t="s">
        <v>7356</v>
      </c>
    </row>
    <row r="4764">
      <c r="A4764" s="1">
        <v>4762.0</v>
      </c>
      <c r="B4764" s="4" t="s">
        <v>7334</v>
      </c>
      <c r="C4764" s="5" t="str">
        <f>IFERROR(__xludf.DUMMYFUNCTION("GOOGLETRANSLATE(D:D,""auto"",""en"")"),"Denmark 6,000 masks experiment")</f>
        <v>Denmark 6,000 masks experiment</v>
      </c>
      <c r="D4764" s="4" t="s">
        <v>7357</v>
      </c>
      <c r="E4764" s="4">
        <v>0.0</v>
      </c>
      <c r="F4764" s="4">
        <v>13.0</v>
      </c>
      <c r="G4764" s="4" t="s">
        <v>7358</v>
      </c>
    </row>
    <row r="4765">
      <c r="A4765" s="1">
        <v>4763.0</v>
      </c>
      <c r="B4765" s="4" t="s">
        <v>7334</v>
      </c>
      <c r="C4765" s="5" t="str">
        <f>IFERROR(__xludf.DUMMYFUNCTION("GOOGLETRANSLATE(D:D,""auto"",""en"")"),"Chenzhou official notification derailment")</f>
        <v>Chenzhou official notification derailment</v>
      </c>
      <c r="D4765" s="4" t="s">
        <v>7359</v>
      </c>
      <c r="E4765" s="4">
        <v>0.0</v>
      </c>
      <c r="F4765" s="4">
        <v>14.0</v>
      </c>
      <c r="G4765" s="4" t="s">
        <v>7360</v>
      </c>
    </row>
    <row r="4766">
      <c r="A4766" s="1">
        <v>4764.0</v>
      </c>
      <c r="B4766" s="4" t="s">
        <v>7334</v>
      </c>
      <c r="C4766" s="5" t="str">
        <f>IFERROR(__xludf.DUMMYFUNCTION("GOOGLETRANSLATE(D:D,""auto"",""en"")"),"First-tier cities falling house prices")</f>
        <v>First-tier cities falling house prices</v>
      </c>
      <c r="D4766" s="4" t="s">
        <v>7361</v>
      </c>
      <c r="E4766" s="4">
        <v>0.0</v>
      </c>
      <c r="F4766" s="4">
        <v>15.0</v>
      </c>
      <c r="G4766" s="4" t="s">
        <v>7362</v>
      </c>
    </row>
    <row r="4767">
      <c r="A4767" s="1">
        <v>4765.0</v>
      </c>
      <c r="B4767" s="4" t="s">
        <v>7334</v>
      </c>
      <c r="C4767" s="5" t="str">
        <f>IFERROR(__xludf.DUMMYFUNCTION("GOOGLETRANSLATE(D:D,""auto"",""en"")"),"Chongqing is now African swine fever epidemic")</f>
        <v>Chongqing is now African swine fever epidemic</v>
      </c>
      <c r="D4767" s="4" t="s">
        <v>7363</v>
      </c>
      <c r="E4767" s="4">
        <v>0.0</v>
      </c>
      <c r="F4767" s="4">
        <v>16.0</v>
      </c>
      <c r="G4767" s="4" t="s">
        <v>7364</v>
      </c>
    </row>
    <row r="4768">
      <c r="A4768" s="1">
        <v>4766.0</v>
      </c>
      <c r="B4768" s="4" t="s">
        <v>7334</v>
      </c>
      <c r="C4768" s="5" t="str">
        <f>IFERROR(__xludf.DUMMYFUNCTION("GOOGLETRANSLATE(D:D,""auto"",""en"")"),"Xiamen urged the tourism and hotel industry")</f>
        <v>Xiamen urged the tourism and hotel industry</v>
      </c>
      <c r="D4768" s="4" t="s">
        <v>7365</v>
      </c>
      <c r="E4768" s="4">
        <v>0.0</v>
      </c>
      <c r="F4768" s="4">
        <v>17.0</v>
      </c>
      <c r="G4768" s="4" t="s">
        <v>7366</v>
      </c>
    </row>
    <row r="4769">
      <c r="A4769" s="1">
        <v>4767.0</v>
      </c>
      <c r="B4769" s="4" t="s">
        <v>7334</v>
      </c>
      <c r="C4769" s="5" t="str">
        <f>IFERROR(__xludf.DUMMYFUNCTION("GOOGLETRANSLATE(D:D,""auto"",""en"")"),"US worldwide evacuations")</f>
        <v>US worldwide evacuations</v>
      </c>
      <c r="D4769" s="4" t="s">
        <v>7367</v>
      </c>
      <c r="E4769" s="4">
        <v>0.0</v>
      </c>
      <c r="F4769" s="4">
        <v>18.0</v>
      </c>
      <c r="G4769" s="4" t="s">
        <v>7368</v>
      </c>
    </row>
    <row r="4770">
      <c r="A4770" s="1">
        <v>4768.0</v>
      </c>
      <c r="B4770" s="4" t="s">
        <v>7334</v>
      </c>
      <c r="C4770" s="5" t="str">
        <f>IFERROR(__xludf.DUMMYFUNCTION("GOOGLETRANSLATE(D:D,""auto"",""en"")"),"Jingdong Liu Qiang East outgoing legal")</f>
        <v>Jingdong Liu Qiang East outgoing legal</v>
      </c>
      <c r="D4770" s="4" t="s">
        <v>7314</v>
      </c>
      <c r="E4770" s="4">
        <v>0.0</v>
      </c>
      <c r="F4770" s="4">
        <v>19.0</v>
      </c>
      <c r="G4770" s="4" t="s">
        <v>7315</v>
      </c>
    </row>
    <row r="4771">
      <c r="A4771" s="1">
        <v>4769.0</v>
      </c>
      <c r="B4771" s="4" t="s">
        <v>7334</v>
      </c>
      <c r="C4771" s="5" t="str">
        <f>IFERROR(__xludf.DUMMYFUNCTION("GOOGLETRANSLATE(D:D,""auto"",""en"")"),"3M's response to White House criticism")</f>
        <v>3M's response to White House criticism</v>
      </c>
      <c r="D4771" s="4" t="s">
        <v>7369</v>
      </c>
      <c r="E4771" s="4">
        <v>0.0</v>
      </c>
      <c r="F4771" s="4">
        <v>20.0</v>
      </c>
      <c r="G4771" s="4" t="s">
        <v>7370</v>
      </c>
    </row>
    <row r="4772">
      <c r="A4772" s="1">
        <v>4770.0</v>
      </c>
      <c r="B4772" s="4" t="s">
        <v>7334</v>
      </c>
      <c r="C4772" s="5" t="str">
        <f>IFERROR(__xludf.DUMMYFUNCTION("GOOGLETRANSLATE(D:D,""auto"",""en"")"),"Delta Air Lines was traced to conceal the truth")</f>
        <v>Delta Air Lines was traced to conceal the truth</v>
      </c>
      <c r="D4772" s="4" t="s">
        <v>7371</v>
      </c>
      <c r="E4772" s="4">
        <v>0.0</v>
      </c>
      <c r="F4772" s="4">
        <v>21.0</v>
      </c>
      <c r="G4772" s="4" t="s">
        <v>7372</v>
      </c>
    </row>
    <row r="4773">
      <c r="A4773" s="1">
        <v>4771.0</v>
      </c>
      <c r="B4773" s="4" t="s">
        <v>7334</v>
      </c>
      <c r="C4773" s="5" t="str">
        <f>IFERROR(__xludf.DUMMYFUNCTION("GOOGLETRANSLATE(D:D,""auto"",""en"")"),"Some colleges and universities will be opening in Nanjing")</f>
        <v>Some colleges and universities will be opening in Nanjing</v>
      </c>
      <c r="D4773" s="4" t="s">
        <v>7373</v>
      </c>
      <c r="E4773" s="4">
        <v>0.0</v>
      </c>
      <c r="F4773" s="4">
        <v>22.0</v>
      </c>
      <c r="G4773" s="4" t="s">
        <v>7374</v>
      </c>
    </row>
    <row r="4774">
      <c r="A4774" s="1">
        <v>4772.0</v>
      </c>
      <c r="B4774" s="4" t="s">
        <v>7334</v>
      </c>
      <c r="C4774" s="5" t="str">
        <f>IFERROR(__xludf.DUMMYFUNCTION("GOOGLETRANSLATE(D:D,""auto"",""en"")"),"India lost to 9,000 cases")</f>
        <v>India lost to 9,000 cases</v>
      </c>
      <c r="D4774" s="4" t="s">
        <v>7249</v>
      </c>
      <c r="E4774" s="4">
        <v>0.0</v>
      </c>
      <c r="F4774" s="4">
        <v>23.0</v>
      </c>
      <c r="G4774" s="4" t="s">
        <v>7250</v>
      </c>
    </row>
    <row r="4775">
      <c r="A4775" s="1">
        <v>4773.0</v>
      </c>
      <c r="B4775" s="4" t="s">
        <v>7334</v>
      </c>
      <c r="C4775" s="5" t="str">
        <f>IFERROR(__xludf.DUMMYFUNCTION("GOOGLETRANSLATE(D:D,""auto"",""en"")"),"3.2 earthquake occurred in Ningxia")</f>
        <v>3.2 earthquake occurred in Ningxia</v>
      </c>
      <c r="D4775" s="4" t="s">
        <v>7375</v>
      </c>
      <c r="E4775" s="4">
        <v>0.0</v>
      </c>
      <c r="F4775" s="4">
        <v>24.0</v>
      </c>
      <c r="G4775" s="4" t="s">
        <v>7376</v>
      </c>
    </row>
    <row r="4776">
      <c r="A4776" s="1">
        <v>4774.0</v>
      </c>
      <c r="B4776" s="4" t="s">
        <v>7334</v>
      </c>
      <c r="C4776" s="5" t="str">
        <f>IFERROR(__xludf.DUMMYFUNCTION("GOOGLETRANSLATE(D:D,""auto"",""en"")"),"Mr Yu Rui Xing Coffee Talk")</f>
        <v>Mr Yu Rui Xing Coffee Talk</v>
      </c>
      <c r="D4776" s="4" t="s">
        <v>7377</v>
      </c>
      <c r="E4776" s="4">
        <v>0.0</v>
      </c>
      <c r="F4776" s="4">
        <v>25.0</v>
      </c>
      <c r="G4776" s="4" t="s">
        <v>7378</v>
      </c>
    </row>
    <row r="4777">
      <c r="A4777" s="1">
        <v>4775.0</v>
      </c>
      <c r="B4777" s="4" t="s">
        <v>7334</v>
      </c>
      <c r="C4777" s="5" t="str">
        <f>IFERROR(__xludf.DUMMYFUNCTION("GOOGLETRANSLATE(D:D,""auto"",""en"")"),"Beijing continued prevention and control of state or")</f>
        <v>Beijing continued prevention and control of state or</v>
      </c>
      <c r="D4777" s="4" t="s">
        <v>7379</v>
      </c>
      <c r="E4777" s="4">
        <v>0.0</v>
      </c>
      <c r="F4777" s="4">
        <v>26.0</v>
      </c>
      <c r="G4777" s="4" t="s">
        <v>7380</v>
      </c>
    </row>
    <row r="4778">
      <c r="A4778" s="1">
        <v>4776.0</v>
      </c>
      <c r="B4778" s="4" t="s">
        <v>7334</v>
      </c>
      <c r="C4778" s="5" t="str">
        <f>IFERROR(__xludf.DUMMYFUNCTION("GOOGLETRANSLATE(D:D,""auto"",""en"")"),"ZHANG Wen-hong talk mild detection")</f>
        <v>ZHANG Wen-hong talk mild detection</v>
      </c>
      <c r="D4778" s="4" t="s">
        <v>7381</v>
      </c>
      <c r="E4778" s="4">
        <v>0.0</v>
      </c>
      <c r="F4778" s="4">
        <v>27.0</v>
      </c>
      <c r="G4778" s="4" t="s">
        <v>7382</v>
      </c>
    </row>
    <row r="4779">
      <c r="A4779" s="1">
        <v>4777.0</v>
      </c>
      <c r="B4779" s="4" t="s">
        <v>7334</v>
      </c>
      <c r="C4779" s="5" t="str">
        <f>IFERROR(__xludf.DUMMYFUNCTION("GOOGLETRANSLATE(D:D,""auto"",""en"")"),"Trump blasted 3M Company")</f>
        <v>Trump blasted 3M Company</v>
      </c>
      <c r="D4779" s="4" t="s">
        <v>7265</v>
      </c>
      <c r="E4779" s="4">
        <v>0.0</v>
      </c>
      <c r="F4779" s="4">
        <v>28.0</v>
      </c>
      <c r="G4779" s="4" t="s">
        <v>7266</v>
      </c>
    </row>
    <row r="4780">
      <c r="A4780" s="1">
        <v>4778.0</v>
      </c>
      <c r="B4780" s="4" t="s">
        <v>7334</v>
      </c>
      <c r="C4780" s="5" t="str">
        <f>IFERROR(__xludf.DUMMYFUNCTION("GOOGLETRANSLATE(D:D,""auto"",""en"")"),"Cat group infection Niikappu virulent")</f>
        <v>Cat group infection Niikappu virulent</v>
      </c>
      <c r="D4780" s="4" t="s">
        <v>7312</v>
      </c>
      <c r="E4780" s="4">
        <v>0.0</v>
      </c>
      <c r="F4780" s="4">
        <v>29.0</v>
      </c>
      <c r="G4780" s="4" t="s">
        <v>7313</v>
      </c>
    </row>
    <row r="4781">
      <c r="A4781" s="1">
        <v>4779.0</v>
      </c>
      <c r="B4781" s="4" t="s">
        <v>7334</v>
      </c>
      <c r="C4781" s="5" t="str">
        <f>IFERROR(__xludf.DUMMYFUNCTION("GOOGLETRANSLATE(D:D,""auto"",""en"")"),"Guo Moupeng is to terminate the contract")</f>
        <v>Guo Moupeng is to terminate the contract</v>
      </c>
      <c r="D4781" s="4" t="s">
        <v>7383</v>
      </c>
      <c r="E4781" s="4">
        <v>0.0</v>
      </c>
      <c r="F4781" s="4">
        <v>30.0</v>
      </c>
      <c r="G4781" s="4" t="s">
        <v>7384</v>
      </c>
    </row>
    <row r="4782">
      <c r="A4782" s="1">
        <v>4780.0</v>
      </c>
      <c r="B4782" s="4" t="s">
        <v>7334</v>
      </c>
      <c r="C4782" s="5" t="str">
        <f>IFERROR(__xludf.DUMMYFUNCTION("GOOGLETRANSLATE(D:D,""auto"",""en"")"),"British Prime Minister fiancee suspected of being infected")</f>
        <v>British Prime Minister fiancee suspected of being infected</v>
      </c>
      <c r="D4782" s="4" t="s">
        <v>7385</v>
      </c>
      <c r="E4782" s="4">
        <v>0.0</v>
      </c>
      <c r="F4782" s="4">
        <v>31.0</v>
      </c>
      <c r="G4782" s="4" t="s">
        <v>7386</v>
      </c>
    </row>
    <row r="4783">
      <c r="A4783" s="1">
        <v>4781.0</v>
      </c>
      <c r="B4783" s="4" t="s">
        <v>7334</v>
      </c>
      <c r="C4783" s="5" t="str">
        <f>IFERROR(__xludf.DUMMYFUNCTION("GOOGLETRANSLATE(D:D,""auto"",""en"")"),"New York 6 days or welcome turning point")</f>
        <v>New York 6 days or welcome turning point</v>
      </c>
      <c r="D4783" s="4" t="s">
        <v>7387</v>
      </c>
      <c r="E4783" s="4">
        <v>0.0</v>
      </c>
      <c r="F4783" s="4">
        <v>32.0</v>
      </c>
      <c r="G4783" s="4" t="s">
        <v>7388</v>
      </c>
    </row>
    <row r="4784">
      <c r="A4784" s="1">
        <v>4782.0</v>
      </c>
      <c r="B4784" s="4" t="s">
        <v>7334</v>
      </c>
      <c r="C4784" s="5" t="str">
        <f>IFERROR(__xludf.DUMMYFUNCTION("GOOGLETRANSLATE(D:D,""auto"",""en"")"),"Tibet line burst avalanche")</f>
        <v>Tibet line burst avalanche</v>
      </c>
      <c r="D4784" s="4" t="s">
        <v>7389</v>
      </c>
      <c r="E4784" s="4">
        <v>0.0</v>
      </c>
      <c r="F4784" s="4">
        <v>33.0</v>
      </c>
      <c r="G4784" s="4" t="s">
        <v>7390</v>
      </c>
    </row>
    <row r="4785">
      <c r="A4785" s="1">
        <v>4783.0</v>
      </c>
      <c r="B4785" s="4" t="s">
        <v>7334</v>
      </c>
      <c r="C4785" s="5" t="str">
        <f>IFERROR(__xludf.DUMMYFUNCTION("GOOGLETRANSLATE(D:D,""auto"",""en"")"),"Trump refuted accusations in Germany")</f>
        <v>Trump refuted accusations in Germany</v>
      </c>
      <c r="D4785" s="4" t="s">
        <v>7391</v>
      </c>
      <c r="E4785" s="4">
        <v>0.0</v>
      </c>
      <c r="F4785" s="4">
        <v>34.0</v>
      </c>
      <c r="G4785" s="4" t="s">
        <v>7392</v>
      </c>
    </row>
    <row r="4786">
      <c r="A4786" s="1">
        <v>4784.0</v>
      </c>
      <c r="B4786" s="4" t="s">
        <v>7334</v>
      </c>
      <c r="C4786" s="5" t="str">
        <f>IFERROR(__xludf.DUMMYFUNCTION("GOOGLETRANSLATE(D:D,""auto"",""en"")"),"Trump angrily female reporter")</f>
        <v>Trump angrily female reporter</v>
      </c>
      <c r="D4786" s="4" t="s">
        <v>7393</v>
      </c>
      <c r="E4786" s="4">
        <v>0.0</v>
      </c>
      <c r="F4786" s="4">
        <v>35.0</v>
      </c>
      <c r="G4786" s="4" t="s">
        <v>7394</v>
      </c>
    </row>
    <row r="4787">
      <c r="A4787" s="1">
        <v>4785.0</v>
      </c>
      <c r="B4787" s="4" t="s">
        <v>7334</v>
      </c>
      <c r="C4787" s="5" t="str">
        <f>IFERROR(__xludf.DUMMYFUNCTION("GOOGLETRANSLATE(D:D,""auto"",""en"")"),"Lombardy people have to wear masks")</f>
        <v>Lombardy people have to wear masks</v>
      </c>
      <c r="D4787" s="4" t="s">
        <v>7395</v>
      </c>
      <c r="E4787" s="4">
        <v>0.0</v>
      </c>
      <c r="F4787" s="4">
        <v>36.0</v>
      </c>
      <c r="G4787" s="4" t="s">
        <v>7396</v>
      </c>
    </row>
    <row r="4788">
      <c r="A4788" s="1">
        <v>4786.0</v>
      </c>
      <c r="B4788" s="4" t="s">
        <v>7334</v>
      </c>
      <c r="C4788" s="5" t="str">
        <f>IFERROR(__xludf.DUMMYFUNCTION("GOOGLETRANSLATE(D:D,""auto"",""en"")"),"Huangshan scenic spot full")</f>
        <v>Huangshan scenic spot full</v>
      </c>
      <c r="D4788" s="4" t="s">
        <v>7397</v>
      </c>
      <c r="E4788" s="4">
        <v>0.0</v>
      </c>
      <c r="F4788" s="4">
        <v>37.0</v>
      </c>
      <c r="G4788" s="4" t="s">
        <v>7398</v>
      </c>
    </row>
    <row r="4789">
      <c r="A4789" s="1">
        <v>4787.0</v>
      </c>
      <c r="B4789" s="4" t="s">
        <v>7334</v>
      </c>
      <c r="C4789" s="5" t="str">
        <f>IFERROR(__xludf.DUMMYFUNCTION("GOOGLETRANSLATE(D:D,""auto"",""en"")"),"Brazil rejected only Chinese aid")</f>
        <v>Brazil rejected only Chinese aid</v>
      </c>
      <c r="D4789" s="4" t="s">
        <v>7241</v>
      </c>
      <c r="E4789" s="4">
        <v>0.0</v>
      </c>
      <c r="F4789" s="4">
        <v>38.0</v>
      </c>
      <c r="G4789" s="4" t="s">
        <v>7242</v>
      </c>
    </row>
    <row r="4790">
      <c r="A4790" s="1">
        <v>4788.0</v>
      </c>
      <c r="B4790" s="4" t="s">
        <v>7334</v>
      </c>
      <c r="C4790" s="5" t="str">
        <f>IFERROR(__xludf.DUMMYFUNCTION("GOOGLETRANSLATE(D:D,""auto"",""en"")"),"Fortunately, chairman of Swiss coffee sound")</f>
        <v>Fortunately, chairman of Swiss coffee sound</v>
      </c>
      <c r="D4790" s="4" t="s">
        <v>7235</v>
      </c>
      <c r="E4790" s="4">
        <v>0.0</v>
      </c>
      <c r="F4790" s="4">
        <v>39.0</v>
      </c>
      <c r="G4790" s="4" t="s">
        <v>7236</v>
      </c>
    </row>
    <row r="4791">
      <c r="A4791" s="1">
        <v>4789.0</v>
      </c>
      <c r="B4791" s="4" t="s">
        <v>7334</v>
      </c>
      <c r="C4791" s="5" t="str">
        <f>IFERROR(__xludf.DUMMYFUNCTION("GOOGLETRANSLATE(D:D,""auto"",""en"")"),"British health care to talk about Chinese epidemic prevention")</f>
        <v>British health care to talk about Chinese epidemic prevention</v>
      </c>
      <c r="D4791" s="4" t="s">
        <v>7399</v>
      </c>
      <c r="E4791" s="4">
        <v>0.0</v>
      </c>
      <c r="F4791" s="4">
        <v>40.0</v>
      </c>
      <c r="G4791" s="4" t="s">
        <v>7400</v>
      </c>
    </row>
    <row r="4792">
      <c r="A4792" s="1">
        <v>4790.0</v>
      </c>
      <c r="B4792" s="4" t="s">
        <v>7334</v>
      </c>
      <c r="C4792" s="5" t="str">
        <f>IFERROR(__xludf.DUMMYFUNCTION("GOOGLETRANSLATE(D:D,""auto"",""en"")"),"Huawei's stake in power equipment")</f>
        <v>Huawei's stake in power equipment</v>
      </c>
      <c r="D4792" s="4" t="s">
        <v>7316</v>
      </c>
      <c r="E4792" s="4">
        <v>0.0</v>
      </c>
      <c r="F4792" s="4">
        <v>41.0</v>
      </c>
      <c r="G4792" s="4" t="s">
        <v>7317</v>
      </c>
    </row>
    <row r="4793">
      <c r="A4793" s="1">
        <v>4791.0</v>
      </c>
      <c r="B4793" s="4" t="s">
        <v>7334</v>
      </c>
      <c r="C4793" s="5" t="str">
        <f>IFERROR(__xludf.DUMMYFUNCTION("GOOGLETRANSLATE(D:D,""auto"",""en"")"),"National new cases of 30 cases")</f>
        <v>National new cases of 30 cases</v>
      </c>
      <c r="D4793" s="4" t="s">
        <v>7401</v>
      </c>
      <c r="E4793" s="4">
        <v>0.0</v>
      </c>
      <c r="F4793" s="4">
        <v>42.0</v>
      </c>
      <c r="G4793" s="4" t="s">
        <v>7402</v>
      </c>
    </row>
    <row r="4794">
      <c r="A4794" s="1">
        <v>4792.0</v>
      </c>
      <c r="B4794" s="4" t="s">
        <v>7334</v>
      </c>
      <c r="C4794" s="5" t="str">
        <f>IFERROR(__xludf.DUMMYFUNCTION("GOOGLETRANSLATE(D:D,""auto"",""en"")"),"ZHANG Wen-hong praise in Chinese law")</f>
        <v>ZHANG Wen-hong praise in Chinese law</v>
      </c>
      <c r="D4794" s="4" t="s">
        <v>7403</v>
      </c>
      <c r="E4794" s="4">
        <v>0.0</v>
      </c>
      <c r="F4794" s="4">
        <v>43.0</v>
      </c>
      <c r="G4794" s="4" t="s">
        <v>7404</v>
      </c>
    </row>
    <row r="4795">
      <c r="A4795" s="1">
        <v>4793.0</v>
      </c>
      <c r="B4795" s="4" t="s">
        <v>7334</v>
      </c>
      <c r="C4795" s="5" t="str">
        <f>IFERROR(__xludf.DUMMYFUNCTION("GOOGLETRANSLATE(D:D,""auto"",""en"")"),"The fishing boat hit China Coast Guard ship")</f>
        <v>The fishing boat hit China Coast Guard ship</v>
      </c>
      <c r="D4795" s="4" t="s">
        <v>7255</v>
      </c>
      <c r="E4795" s="4">
        <v>0.0</v>
      </c>
      <c r="F4795" s="4">
        <v>44.0</v>
      </c>
      <c r="G4795" s="4" t="s">
        <v>7256</v>
      </c>
    </row>
    <row r="4796">
      <c r="A4796" s="1">
        <v>4794.0</v>
      </c>
      <c r="B4796" s="4" t="s">
        <v>7334</v>
      </c>
      <c r="C4796" s="5" t="str">
        <f>IFERROR(__xludf.DUMMYFUNCTION("GOOGLETRANSLATE(D:D,""auto"",""en"")"),"Thailand burst African horse sickness")</f>
        <v>Thailand burst African horse sickness</v>
      </c>
      <c r="D4796" s="4" t="s">
        <v>7253</v>
      </c>
      <c r="E4796" s="4">
        <v>0.0</v>
      </c>
      <c r="F4796" s="4">
        <v>45.0</v>
      </c>
      <c r="G4796" s="4" t="s">
        <v>7254</v>
      </c>
    </row>
    <row r="4797">
      <c r="A4797" s="1">
        <v>4795.0</v>
      </c>
      <c r="B4797" s="4" t="s">
        <v>7334</v>
      </c>
      <c r="C4797" s="5" t="str">
        <f>IFERROR(__xludf.DUMMYFUNCTION("GOOGLETRANSLATE(D:D,""auto"",""en"")"),"These 13 cases confirmed a")</f>
        <v>These 13 cases confirmed a</v>
      </c>
      <c r="D4797" s="4" t="s">
        <v>7275</v>
      </c>
      <c r="E4797" s="4">
        <v>0.0</v>
      </c>
      <c r="F4797" s="4">
        <v>46.0</v>
      </c>
      <c r="G4797" s="4" t="s">
        <v>7276</v>
      </c>
    </row>
    <row r="4798">
      <c r="A4798" s="1">
        <v>4796.0</v>
      </c>
      <c r="B4798" s="4" t="s">
        <v>7334</v>
      </c>
      <c r="C4798" s="5" t="str">
        <f>IFERROR(__xludf.DUMMYFUNCTION("GOOGLETRANSLATE(D:D,""auto"",""en"")"),"Sun Wenbin was executed")</f>
        <v>Sun Wenbin was executed</v>
      </c>
      <c r="D4798" s="4" t="s">
        <v>7243</v>
      </c>
      <c r="E4798" s="4">
        <v>0.0</v>
      </c>
      <c r="F4798" s="4">
        <v>47.0</v>
      </c>
      <c r="G4798" s="4" t="s">
        <v>7244</v>
      </c>
    </row>
    <row r="4799">
      <c r="A4799" s="1">
        <v>4797.0</v>
      </c>
      <c r="B4799" s="4" t="s">
        <v>7334</v>
      </c>
      <c r="C4799" s="5" t="str">
        <f>IFERROR(__xludf.DUMMYFUNCTION("GOOGLETRANSLATE(D:D,""auto"",""en"")"),"Huangshan scenic area full response")</f>
        <v>Huangshan scenic area full response</v>
      </c>
      <c r="D4799" s="4" t="s">
        <v>7405</v>
      </c>
      <c r="E4799" s="4">
        <v>0.0</v>
      </c>
      <c r="F4799" s="4">
        <v>48.0</v>
      </c>
      <c r="G4799" s="4" t="s">
        <v>7406</v>
      </c>
    </row>
    <row r="4800">
      <c r="A4800" s="1">
        <v>4798.0</v>
      </c>
      <c r="B4800" s="4" t="s">
        <v>7334</v>
      </c>
      <c r="C4800" s="5" t="str">
        <f>IFERROR(__xludf.DUMMYFUNCTION("GOOGLETRANSLATE(D:D,""auto"",""en"")"),"Recruit 6,000 people to wear a mask test")</f>
        <v>Recruit 6,000 people to wear a mask test</v>
      </c>
      <c r="D4800" s="4" t="s">
        <v>7407</v>
      </c>
      <c r="E4800" s="4">
        <v>0.0</v>
      </c>
      <c r="F4800" s="4">
        <v>49.0</v>
      </c>
      <c r="G4800" s="4" t="s">
        <v>7408</v>
      </c>
    </row>
    <row r="4801">
      <c r="A4801" s="1">
        <v>4799.0</v>
      </c>
      <c r="B4801" s="4" t="s">
        <v>7334</v>
      </c>
      <c r="C4801" s="5" t="str">
        <f>IFERROR(__xludf.DUMMYFUNCTION("GOOGLETRANSLATE(D:D,""auto"",""en"")"),"On the official store 500 kg of rice")</f>
        <v>On the official store 500 kg of rice</v>
      </c>
      <c r="D4801" s="4" t="s">
        <v>7227</v>
      </c>
      <c r="E4801" s="4">
        <v>0.0</v>
      </c>
      <c r="F4801" s="4">
        <v>50.0</v>
      </c>
      <c r="G4801" s="4" t="s">
        <v>7228</v>
      </c>
    </row>
    <row r="4802">
      <c r="A4802" s="1">
        <v>4800.0</v>
      </c>
      <c r="B4802" s="4" t="s">
        <v>7409</v>
      </c>
      <c r="C4802" s="5" t="str">
        <f>IFERROR(__xludf.DUMMYFUNCTION("GOOGLETRANSLATE(D:D,""auto"",""en"")"),"April 8 will now super moon")</f>
        <v>April 8 will now super moon</v>
      </c>
      <c r="D4802" s="4" t="s">
        <v>7410</v>
      </c>
      <c r="E4802" s="4">
        <v>0.0</v>
      </c>
      <c r="F4802" s="4">
        <v>1.0</v>
      </c>
      <c r="G4802" s="4" t="s">
        <v>7411</v>
      </c>
    </row>
    <row r="4803">
      <c r="A4803" s="1">
        <v>4801.0</v>
      </c>
      <c r="B4803" s="4" t="s">
        <v>7409</v>
      </c>
      <c r="C4803" s="5" t="str">
        <f>IFERROR(__xludf.DUMMYFUNCTION("GOOGLETRANSLATE(D:D,""auto"",""en"")"),"US worldwide evacuations")</f>
        <v>US worldwide evacuations</v>
      </c>
      <c r="D4803" s="4" t="s">
        <v>7367</v>
      </c>
      <c r="E4803" s="4">
        <v>0.0</v>
      </c>
      <c r="F4803" s="4">
        <v>2.0</v>
      </c>
      <c r="G4803" s="4" t="s">
        <v>7368</v>
      </c>
    </row>
    <row r="4804">
      <c r="A4804" s="1">
        <v>4802.0</v>
      </c>
      <c r="B4804" s="4" t="s">
        <v>7409</v>
      </c>
      <c r="C4804" s="5" t="str">
        <f>IFERROR(__xludf.DUMMYFUNCTION("GOOGLETRANSLATE(D:D,""auto"",""en"")"),"People's Daily to talk about Zhang quietly")</f>
        <v>People's Daily to talk about Zhang quietly</v>
      </c>
      <c r="D4804" s="4" t="s">
        <v>7412</v>
      </c>
      <c r="E4804" s="4">
        <v>0.0</v>
      </c>
      <c r="F4804" s="4">
        <v>3.0</v>
      </c>
      <c r="G4804" s="4" t="s">
        <v>7413</v>
      </c>
    </row>
    <row r="4805">
      <c r="A4805" s="1">
        <v>4803.0</v>
      </c>
      <c r="B4805" s="4" t="s">
        <v>7409</v>
      </c>
      <c r="C4805" s="5" t="str">
        <f>IFERROR(__xludf.DUMMYFUNCTION("GOOGLETRANSLATE(D:D,""auto"",""en"")"),"Chongqing is now African swine fever epidemic")</f>
        <v>Chongqing is now African swine fever epidemic</v>
      </c>
      <c r="D4805" s="4" t="s">
        <v>7363</v>
      </c>
      <c r="E4805" s="4">
        <v>0.0</v>
      </c>
      <c r="F4805" s="4">
        <v>4.0</v>
      </c>
      <c r="G4805" s="4" t="s">
        <v>7364</v>
      </c>
    </row>
    <row r="4806">
      <c r="A4806" s="1">
        <v>4804.0</v>
      </c>
      <c r="B4806" s="4" t="s">
        <v>7409</v>
      </c>
      <c r="C4806" s="5" t="str">
        <f>IFERROR(__xludf.DUMMYFUNCTION("GOOGLETRANSLATE(D:D,""auto"",""en"")"),"On the streets of preferential treatment of foreign workers")</f>
        <v>On the streets of preferential treatment of foreign workers</v>
      </c>
      <c r="D4806" s="4" t="s">
        <v>7414</v>
      </c>
      <c r="E4806" s="4">
        <v>0.0</v>
      </c>
      <c r="F4806" s="4">
        <v>5.0</v>
      </c>
      <c r="G4806" s="4" t="s">
        <v>7415</v>
      </c>
    </row>
    <row r="4807">
      <c r="A4807" s="1">
        <v>4805.0</v>
      </c>
      <c r="B4807" s="4" t="s">
        <v>7409</v>
      </c>
      <c r="C4807" s="5" t="str">
        <f>IFERROR(__xludf.DUMMYFUNCTION("GOOGLETRANSLATE(D:D,""auto"",""en"")"),"Guangdong four districts to adjust the level of risk")</f>
        <v>Guangdong four districts to adjust the level of risk</v>
      </c>
      <c r="D4807" s="4" t="s">
        <v>7416</v>
      </c>
      <c r="E4807" s="4">
        <v>0.0</v>
      </c>
      <c r="F4807" s="4">
        <v>6.0</v>
      </c>
      <c r="G4807" s="4" t="s">
        <v>7417</v>
      </c>
    </row>
    <row r="4808">
      <c r="A4808" s="1">
        <v>4806.0</v>
      </c>
      <c r="B4808" s="4" t="s">
        <v>7409</v>
      </c>
      <c r="C4808" s="5" t="str">
        <f>IFERROR(__xludf.DUMMYFUNCTION("GOOGLETRANSLATE(D:D,""auto"",""en"")"),"Retired high jump champion Zhang Guowei")</f>
        <v>Retired high jump champion Zhang Guowei</v>
      </c>
      <c r="D4808" s="4" t="s">
        <v>7418</v>
      </c>
      <c r="E4808" s="4">
        <v>0.0</v>
      </c>
      <c r="F4808" s="4">
        <v>7.0</v>
      </c>
      <c r="G4808" s="4" t="s">
        <v>7419</v>
      </c>
    </row>
    <row r="4809">
      <c r="A4809" s="1">
        <v>4807.0</v>
      </c>
      <c r="B4809" s="4" t="s">
        <v>7409</v>
      </c>
      <c r="C4809" s="5" t="str">
        <f>IFERROR(__xludf.DUMMYFUNCTION("GOOGLETRANSLATE(D:D,""auto"",""en"")"),"Japan or the state of emergency")</f>
        <v>Japan or the state of emergency</v>
      </c>
      <c r="D4809" s="4" t="s">
        <v>7420</v>
      </c>
      <c r="E4809" s="4">
        <v>0.0</v>
      </c>
      <c r="F4809" s="4">
        <v>8.0</v>
      </c>
      <c r="G4809" s="4" t="s">
        <v>7421</v>
      </c>
    </row>
    <row r="4810">
      <c r="A4810" s="1">
        <v>4808.0</v>
      </c>
      <c r="B4810" s="4" t="s">
        <v>7409</v>
      </c>
      <c r="C4810" s="5" t="str">
        <f>IFERROR(__xludf.DUMMYFUNCTION("GOOGLETRANSLATE(D:D,""auto"",""en"")"),"Trump talk about Chinese epidemic prevention materials")</f>
        <v>Trump talk about Chinese epidemic prevention materials</v>
      </c>
      <c r="D4810" s="4" t="s">
        <v>7422</v>
      </c>
      <c r="E4810" s="4">
        <v>0.0</v>
      </c>
      <c r="F4810" s="4">
        <v>9.0</v>
      </c>
      <c r="G4810" s="4" t="s">
        <v>7423</v>
      </c>
    </row>
    <row r="4811">
      <c r="A4811" s="1">
        <v>4809.0</v>
      </c>
      <c r="B4811" s="4" t="s">
        <v>7409</v>
      </c>
      <c r="C4811" s="5" t="str">
        <f>IFERROR(__xludf.DUMMYFUNCTION("GOOGLETRANSLATE(D:D,""auto"",""en"")"),"US 47 enters a state of calamity")</f>
        <v>US 47 enters a state of calamity</v>
      </c>
      <c r="D4811" s="4" t="s">
        <v>7424</v>
      </c>
      <c r="E4811" s="4">
        <v>0.0</v>
      </c>
      <c r="F4811" s="4">
        <v>10.0</v>
      </c>
      <c r="G4811" s="4" t="s">
        <v>7425</v>
      </c>
    </row>
    <row r="4812">
      <c r="A4812" s="1">
        <v>4810.0</v>
      </c>
      <c r="B4812" s="4" t="s">
        <v>7409</v>
      </c>
      <c r="C4812" s="5" t="str">
        <f>IFERROR(__xludf.DUMMYFUNCTION("GOOGLETRANSLATE(D:D,""auto"",""en"")"),"CCB staff issued new regulations")</f>
        <v>CCB staff issued new regulations</v>
      </c>
      <c r="D4812" s="4" t="s">
        <v>7426</v>
      </c>
      <c r="E4812" s="4">
        <v>0.0</v>
      </c>
      <c r="F4812" s="4">
        <v>11.0</v>
      </c>
      <c r="G4812" s="4" t="s">
        <v>7427</v>
      </c>
    </row>
    <row r="4813">
      <c r="A4813" s="1">
        <v>4811.0</v>
      </c>
      <c r="B4813" s="4" t="s">
        <v>7409</v>
      </c>
      <c r="C4813" s="5" t="str">
        <f>IFERROR(__xludf.DUMMYFUNCTION("GOOGLETRANSLATE(D:D,""auto"",""en"")"),"Asymptomatic one case by Qinghai")</f>
        <v>Asymptomatic one case by Qinghai</v>
      </c>
      <c r="D4813" s="4" t="s">
        <v>7428</v>
      </c>
      <c r="E4813" s="4">
        <v>0.0</v>
      </c>
      <c r="F4813" s="4">
        <v>12.0</v>
      </c>
      <c r="G4813" s="4" t="s">
        <v>7429</v>
      </c>
    </row>
    <row r="4814">
      <c r="A4814" s="1">
        <v>4812.0</v>
      </c>
      <c r="B4814" s="4" t="s">
        <v>7409</v>
      </c>
      <c r="C4814" s="5" t="str">
        <f>IFERROR(__xludf.DUMMYFUNCTION("GOOGLETRANSLATE(D:D,""auto"",""en"")"),"Province 31 new cases of 39 cases")</f>
        <v>Province 31 new cases of 39 cases</v>
      </c>
      <c r="D4814" s="4" t="s">
        <v>7430</v>
      </c>
      <c r="E4814" s="4">
        <v>0.0</v>
      </c>
      <c r="F4814" s="4">
        <v>13.0</v>
      </c>
      <c r="G4814" s="4" t="s">
        <v>7431</v>
      </c>
    </row>
    <row r="4815">
      <c r="A4815" s="1">
        <v>4813.0</v>
      </c>
      <c r="B4815" s="4" t="s">
        <v>7409</v>
      </c>
      <c r="C4815" s="5" t="str">
        <f>IFERROR(__xludf.DUMMYFUNCTION("GOOGLETRANSLATE(D:D,""auto"",""en"")"),"Colleges and universities closed-end management")</f>
        <v>Colleges and universities closed-end management</v>
      </c>
      <c r="D4815" s="4" t="s">
        <v>7432</v>
      </c>
      <c r="E4815" s="4">
        <v>0.0</v>
      </c>
      <c r="F4815" s="4">
        <v>14.0</v>
      </c>
      <c r="G4815" s="4" t="s">
        <v>7433</v>
      </c>
    </row>
    <row r="4816">
      <c r="A4816" s="1">
        <v>4814.0</v>
      </c>
      <c r="B4816" s="4" t="s">
        <v>7409</v>
      </c>
      <c r="C4816" s="5" t="str">
        <f>IFERROR(__xludf.DUMMYFUNCTION("GOOGLETRANSLATE(D:D,""auto"",""en"")"),"ZHANG Wen-hong worried about the spread of the virus")</f>
        <v>ZHANG Wen-hong worried about the spread of the virus</v>
      </c>
      <c r="D4816" s="4" t="s">
        <v>7434</v>
      </c>
      <c r="E4816" s="4">
        <v>0.0</v>
      </c>
      <c r="F4816" s="4">
        <v>15.0</v>
      </c>
      <c r="G4816" s="4" t="s">
        <v>7435</v>
      </c>
    </row>
    <row r="4817">
      <c r="A4817" s="1">
        <v>4815.0</v>
      </c>
      <c r="B4817" s="4" t="s">
        <v>7409</v>
      </c>
      <c r="C4817" s="5" t="str">
        <f>IFERROR(__xludf.DUMMYFUNCTION("GOOGLETRANSLATE(D:D,""auto"",""en"")"),"Thailand hospital patient swear")</f>
        <v>Thailand hospital patient swear</v>
      </c>
      <c r="D4817" s="4" t="s">
        <v>7436</v>
      </c>
      <c r="E4817" s="4">
        <v>0.0</v>
      </c>
      <c r="F4817" s="4">
        <v>16.0</v>
      </c>
      <c r="G4817" s="4" t="s">
        <v>7437</v>
      </c>
    </row>
    <row r="4818">
      <c r="A4818" s="1">
        <v>4816.0</v>
      </c>
      <c r="B4818" s="4" t="s">
        <v>7409</v>
      </c>
      <c r="C4818" s="5" t="str">
        <f>IFERROR(__xludf.DUMMYFUNCTION("GOOGLETRANSLATE(D:D,""auto"",""en"")"),"8 days 2.1 million visitor arrivals")</f>
        <v>8 days 2.1 million visitor arrivals</v>
      </c>
      <c r="D4818" s="4" t="s">
        <v>7438</v>
      </c>
      <c r="E4818" s="4">
        <v>0.0</v>
      </c>
      <c r="F4818" s="4">
        <v>17.0</v>
      </c>
      <c r="G4818" s="4" t="s">
        <v>7439</v>
      </c>
    </row>
    <row r="4819">
      <c r="A4819" s="1">
        <v>4817.0</v>
      </c>
      <c r="B4819" s="4" t="s">
        <v>7409</v>
      </c>
      <c r="C4819" s="5" t="str">
        <f>IFERROR(__xludf.DUMMYFUNCTION("GOOGLETRANSLATE(D:D,""auto"",""en"")"),"Canadian Governor Nupi United States")</f>
        <v>Canadian Governor Nupi United States</v>
      </c>
      <c r="D4819" s="4" t="s">
        <v>7440</v>
      </c>
      <c r="E4819" s="4">
        <v>0.0</v>
      </c>
      <c r="F4819" s="4">
        <v>18.0</v>
      </c>
      <c r="G4819" s="4" t="s">
        <v>7441</v>
      </c>
    </row>
    <row r="4820">
      <c r="A4820" s="1">
        <v>4818.0</v>
      </c>
      <c r="B4820" s="4" t="s">
        <v>7409</v>
      </c>
      <c r="C4820" s="5" t="str">
        <f>IFERROR(__xludf.DUMMYFUNCTION("GOOGLETRANSLATE(D:D,""auto"",""en"")"),"South Korea refused to expel aliens isolation")</f>
        <v>South Korea refused to expel aliens isolation</v>
      </c>
      <c r="D4820" s="4" t="s">
        <v>7442</v>
      </c>
      <c r="E4820" s="4">
        <v>0.0</v>
      </c>
      <c r="F4820" s="4">
        <v>19.0</v>
      </c>
      <c r="G4820" s="4" t="s">
        <v>7443</v>
      </c>
    </row>
    <row r="4821">
      <c r="A4821" s="1">
        <v>4819.0</v>
      </c>
      <c r="B4821" s="4" t="s">
        <v>7409</v>
      </c>
      <c r="C4821" s="5" t="str">
        <f>IFERROR(__xludf.DUMMYFUNCTION("GOOGLETRANSLATE(D:D,""auto"",""en"")"),"The number of foreign media exposed the United States died of illness omission")</f>
        <v>The number of foreign media exposed the United States died of illness omission</v>
      </c>
      <c r="D4821" s="4" t="s">
        <v>7444</v>
      </c>
      <c r="E4821" s="4">
        <v>0.0</v>
      </c>
      <c r="F4821" s="4">
        <v>20.0</v>
      </c>
      <c r="G4821" s="4" t="s">
        <v>7445</v>
      </c>
    </row>
    <row r="4822">
      <c r="A4822" s="1">
        <v>4820.0</v>
      </c>
      <c r="B4822" s="4" t="s">
        <v>7409</v>
      </c>
      <c r="C4822" s="5" t="str">
        <f>IFERROR(__xludf.DUMMYFUNCTION("GOOGLETRANSLATE(D:D,""auto"",""en"")"),"Man Chun Xi Road, destruction of property")</f>
        <v>Man Chun Xi Road, destruction of property</v>
      </c>
      <c r="D4822" s="4" t="s">
        <v>7446</v>
      </c>
      <c r="E4822" s="4">
        <v>0.0</v>
      </c>
      <c r="F4822" s="4">
        <v>21.0</v>
      </c>
      <c r="G4822" s="4" t="s">
        <v>7447</v>
      </c>
    </row>
    <row r="4823">
      <c r="A4823" s="1">
        <v>4821.0</v>
      </c>
      <c r="B4823" s="4" t="s">
        <v>7409</v>
      </c>
      <c r="C4823" s="5" t="str">
        <f>IFERROR(__xludf.DUMMYFUNCTION("GOOGLETRANSLATE(D:D,""auto"",""en"")"),"India National lights 9 minutes")</f>
        <v>India National lights 9 minutes</v>
      </c>
      <c r="D4823" s="4" t="s">
        <v>7448</v>
      </c>
      <c r="E4823" s="4">
        <v>0.0</v>
      </c>
      <c r="F4823" s="4">
        <v>22.0</v>
      </c>
      <c r="G4823" s="4" t="s">
        <v>7449</v>
      </c>
    </row>
    <row r="4824">
      <c r="A4824" s="1">
        <v>4822.0</v>
      </c>
      <c r="B4824" s="4" t="s">
        <v>7409</v>
      </c>
      <c r="C4824" s="5" t="str">
        <f>IFERROR(__xludf.DUMMYFUNCTION("GOOGLETRANSLATE(D:D,""auto"",""en"")"),"E nurse Zhang quietly died aid")</f>
        <v>E nurse Zhang quietly died aid</v>
      </c>
      <c r="D4824" s="4" t="s">
        <v>7450</v>
      </c>
      <c r="E4824" s="4">
        <v>0.0</v>
      </c>
      <c r="F4824" s="4">
        <v>23.0</v>
      </c>
      <c r="G4824" s="4" t="s">
        <v>7451</v>
      </c>
    </row>
    <row r="4825">
      <c r="A4825" s="1">
        <v>4823.0</v>
      </c>
      <c r="B4825" s="4" t="s">
        <v>7409</v>
      </c>
      <c r="C4825" s="5" t="str">
        <f>IFERROR(__xludf.DUMMYFUNCTION("GOOGLETRANSLATE(D:D,""auto"",""en"")"),"Pupils have been confirmed in England")</f>
        <v>Pupils have been confirmed in England</v>
      </c>
      <c r="D4825" s="4" t="s">
        <v>7452</v>
      </c>
      <c r="E4825" s="4">
        <v>0.0</v>
      </c>
      <c r="F4825" s="4">
        <v>24.0</v>
      </c>
      <c r="G4825" s="4" t="s">
        <v>7453</v>
      </c>
    </row>
    <row r="4826">
      <c r="A4826" s="1">
        <v>4824.0</v>
      </c>
      <c r="B4826" s="4" t="s">
        <v>7409</v>
      </c>
      <c r="C4826" s="5" t="str">
        <f>IFERROR(__xludf.DUMMYFUNCTION("GOOGLETRANSLATE(D:D,""auto"",""en"")"),"Around the time school list")</f>
        <v>Around the time school list</v>
      </c>
      <c r="D4826" s="4" t="s">
        <v>7353</v>
      </c>
      <c r="E4826" s="4">
        <v>0.0</v>
      </c>
      <c r="F4826" s="4">
        <v>25.0</v>
      </c>
      <c r="G4826" s="4" t="s">
        <v>7354</v>
      </c>
    </row>
    <row r="4827">
      <c r="A4827" s="1">
        <v>4825.0</v>
      </c>
      <c r="B4827" s="4" t="s">
        <v>7409</v>
      </c>
      <c r="C4827" s="5" t="str">
        <f>IFERROR(__xludf.DUMMYFUNCTION("GOOGLETRANSLATE(D:D,""auto"",""en"")"),"First-tier cities falling house prices")</f>
        <v>First-tier cities falling house prices</v>
      </c>
      <c r="D4827" s="4" t="s">
        <v>7361</v>
      </c>
      <c r="E4827" s="4">
        <v>0.0</v>
      </c>
      <c r="F4827" s="4">
        <v>26.0</v>
      </c>
      <c r="G4827" s="4" t="s">
        <v>7362</v>
      </c>
    </row>
    <row r="4828">
      <c r="A4828" s="1">
        <v>4826.0</v>
      </c>
      <c r="B4828" s="4" t="s">
        <v>7409</v>
      </c>
      <c r="C4828" s="5" t="str">
        <f>IFERROR(__xludf.DUMMYFUNCTION("GOOGLETRANSLATE(D:D,""auto"",""en"")"),"American Tiger a new crown positive")</f>
        <v>American Tiger a new crown positive</v>
      </c>
      <c r="D4828" s="4" t="s">
        <v>7454</v>
      </c>
      <c r="E4828" s="4">
        <v>0.0</v>
      </c>
      <c r="F4828" s="4">
        <v>27.0</v>
      </c>
      <c r="G4828" s="4" t="s">
        <v>7455</v>
      </c>
    </row>
    <row r="4829">
      <c r="A4829" s="1">
        <v>4827.0</v>
      </c>
      <c r="B4829" s="4" t="s">
        <v>7409</v>
      </c>
      <c r="C4829" s="5" t="str">
        <f>IFERROR(__xludf.DUMMYFUNCTION("GOOGLETRANSLATE(D:D,""auto"",""en"")"),"American recruit one million reservists")</f>
        <v>American recruit one million reservists</v>
      </c>
      <c r="D4829" s="4" t="s">
        <v>7456</v>
      </c>
      <c r="E4829" s="4">
        <v>0.0</v>
      </c>
      <c r="F4829" s="4">
        <v>28.0</v>
      </c>
      <c r="G4829" s="4" t="s">
        <v>7457</v>
      </c>
    </row>
    <row r="4830">
      <c r="A4830" s="1">
        <v>4828.0</v>
      </c>
      <c r="B4830" s="4" t="s">
        <v>7409</v>
      </c>
      <c r="C4830" s="5" t="str">
        <f>IFERROR(__xludf.DUMMYFUNCTION("GOOGLETRANSLATE(D:D,""auto"",""en"")"),"Heilongjiang 20 new cases of imported")</f>
        <v>Heilongjiang 20 new cases of imported</v>
      </c>
      <c r="D4830" s="4" t="s">
        <v>7458</v>
      </c>
      <c r="E4830" s="4">
        <v>0.0</v>
      </c>
      <c r="F4830" s="4">
        <v>29.0</v>
      </c>
      <c r="G4830" s="4" t="s">
        <v>7459</v>
      </c>
    </row>
    <row r="4831">
      <c r="A4831" s="1">
        <v>4829.0</v>
      </c>
      <c r="B4831" s="4" t="s">
        <v>7409</v>
      </c>
      <c r="C4831" s="5" t="str">
        <f>IFERROR(__xludf.DUMMYFUNCTION("GOOGLETRANSLATE(D:D,""auto"",""en"")"),"Czech president even behind China")</f>
        <v>Czech president even behind China</v>
      </c>
      <c r="D4831" s="4" t="s">
        <v>7460</v>
      </c>
      <c r="E4831" s="4">
        <v>0.0</v>
      </c>
      <c r="F4831" s="4">
        <v>30.0</v>
      </c>
      <c r="G4831" s="4" t="s">
        <v>7461</v>
      </c>
    </row>
    <row r="4832">
      <c r="A4832" s="1">
        <v>4830.0</v>
      </c>
      <c r="B4832" s="4" t="s">
        <v>7409</v>
      </c>
      <c r="C4832" s="5" t="str">
        <f>IFERROR(__xludf.DUMMYFUNCTION("GOOGLETRANSLATE(D:D,""auto"",""en"")"),"Zhejiang, a pig transport truck caught fire")</f>
        <v>Zhejiang, a pig transport truck caught fire</v>
      </c>
      <c r="D4832" s="4" t="s">
        <v>7462</v>
      </c>
      <c r="E4832" s="4">
        <v>0.0</v>
      </c>
      <c r="F4832" s="4">
        <v>31.0</v>
      </c>
      <c r="G4832" s="4" t="s">
        <v>7463</v>
      </c>
    </row>
    <row r="4833">
      <c r="A4833" s="1">
        <v>4831.0</v>
      </c>
      <c r="B4833" s="4" t="s">
        <v>7409</v>
      </c>
      <c r="C4833" s="5" t="str">
        <f>IFERROR(__xludf.DUMMYFUNCTION("GOOGLETRANSLATE(D:D,""auto"",""en"")"),"British Prime Minister admitted detection")</f>
        <v>British Prime Minister admitted detection</v>
      </c>
      <c r="D4833" s="4" t="s">
        <v>7464</v>
      </c>
      <c r="E4833" s="4">
        <v>0.0</v>
      </c>
      <c r="F4833" s="4">
        <v>32.0</v>
      </c>
      <c r="G4833" s="4" t="s">
        <v>7465</v>
      </c>
    </row>
    <row r="4834">
      <c r="A4834" s="1">
        <v>4832.0</v>
      </c>
      <c r="B4834" s="4" t="s">
        <v>7409</v>
      </c>
      <c r="C4834" s="5" t="str">
        <f>IFERROR(__xludf.DUMMYFUNCTION("GOOGLETRANSLATE(D:D,""auto"",""en"")"),"6 days by 434 asymptomatic")</f>
        <v>6 days by 434 asymptomatic</v>
      </c>
      <c r="D4834" s="4" t="s">
        <v>7466</v>
      </c>
      <c r="E4834" s="4">
        <v>0.0</v>
      </c>
      <c r="F4834" s="4">
        <v>33.0</v>
      </c>
      <c r="G4834" s="4" t="s">
        <v>7467</v>
      </c>
    </row>
    <row r="4835">
      <c r="A4835" s="1">
        <v>4833.0</v>
      </c>
      <c r="B4835" s="4" t="s">
        <v>7409</v>
      </c>
      <c r="C4835" s="5" t="str">
        <f>IFERROR(__xludf.DUMMYFUNCTION("GOOGLETRANSLATE(D:D,""auto"",""en"")"),"Former MP sentenced in Hong Kong")</f>
        <v>Former MP sentenced in Hong Kong</v>
      </c>
      <c r="D4835" s="4" t="s">
        <v>7468</v>
      </c>
      <c r="E4835" s="4">
        <v>0.0</v>
      </c>
      <c r="F4835" s="4">
        <v>34.0</v>
      </c>
      <c r="G4835" s="4" t="s">
        <v>7469</v>
      </c>
    </row>
    <row r="4836">
      <c r="A4836" s="1">
        <v>4834.0</v>
      </c>
      <c r="B4836" s="4" t="s">
        <v>7409</v>
      </c>
      <c r="C4836" s="5" t="str">
        <f>IFERROR(__xludf.DUMMYFUNCTION("GOOGLETRANSLATE(D:D,""auto"",""en"")"),"Chaoyang Park responded dinner")</f>
        <v>Chaoyang Park responded dinner</v>
      </c>
      <c r="D4836" s="4" t="s">
        <v>7470</v>
      </c>
      <c r="E4836" s="4">
        <v>0.0</v>
      </c>
      <c r="F4836" s="4">
        <v>35.0</v>
      </c>
      <c r="G4836" s="4" t="s">
        <v>7471</v>
      </c>
    </row>
    <row r="4837">
      <c r="A4837" s="1">
        <v>4835.0</v>
      </c>
      <c r="B4837" s="4" t="s">
        <v>7409</v>
      </c>
      <c r="C4837" s="5" t="str">
        <f>IFERROR(__xludf.DUMMYFUNCTION("GOOGLETRANSLATE(D:D,""auto"",""en"")"),"The nurse Zhang quietly sounding lover")</f>
        <v>The nurse Zhang quietly sounding lover</v>
      </c>
      <c r="D4837" s="4" t="s">
        <v>7472</v>
      </c>
      <c r="E4837" s="4">
        <v>0.0</v>
      </c>
      <c r="F4837" s="4">
        <v>36.0</v>
      </c>
      <c r="G4837" s="4" t="s">
        <v>7473</v>
      </c>
    </row>
    <row r="4838">
      <c r="A4838" s="1">
        <v>4836.0</v>
      </c>
      <c r="B4838" s="4" t="s">
        <v>7409</v>
      </c>
      <c r="C4838" s="5" t="str">
        <f>IFERROR(__xludf.DUMMYFUNCTION("GOOGLETRANSLATE(D:D,""auto"",""en"")"),"Exposure to the United States in December that the epidemic")</f>
        <v>Exposure to the United States in December that the epidemic</v>
      </c>
      <c r="D4838" s="4" t="s">
        <v>7474</v>
      </c>
      <c r="E4838" s="4">
        <v>0.0</v>
      </c>
      <c r="F4838" s="4">
        <v>37.0</v>
      </c>
      <c r="G4838" s="4" t="s">
        <v>7475</v>
      </c>
    </row>
    <row r="4839">
      <c r="A4839" s="1">
        <v>4837.0</v>
      </c>
      <c r="B4839" s="4" t="s">
        <v>7409</v>
      </c>
      <c r="C4839" s="5" t="str">
        <f>IFERROR(__xludf.DUMMYFUNCTION("GOOGLETRANSLATE(D:D,""auto"",""en"")"),"Denmark 6,000 masks experiment")</f>
        <v>Denmark 6,000 masks experiment</v>
      </c>
      <c r="D4839" s="4" t="s">
        <v>7357</v>
      </c>
      <c r="E4839" s="4">
        <v>0.0</v>
      </c>
      <c r="F4839" s="4">
        <v>38.0</v>
      </c>
      <c r="G4839" s="4" t="s">
        <v>7358</v>
      </c>
    </row>
    <row r="4840">
      <c r="A4840" s="1">
        <v>4838.0</v>
      </c>
      <c r="B4840" s="4" t="s">
        <v>7409</v>
      </c>
      <c r="C4840" s="5" t="str">
        <f>IFERROR(__xludf.DUMMYFUNCTION("GOOGLETRANSLATE(D:D,""auto"",""en"")"),"WHO epidemic talk about China")</f>
        <v>WHO epidemic talk about China</v>
      </c>
      <c r="D4840" s="4" t="s">
        <v>7476</v>
      </c>
      <c r="E4840" s="4">
        <v>0.0</v>
      </c>
      <c r="F4840" s="4">
        <v>39.0</v>
      </c>
      <c r="G4840" s="4" t="s">
        <v>7477</v>
      </c>
    </row>
    <row r="4841">
      <c r="A4841" s="1">
        <v>4839.0</v>
      </c>
      <c r="B4841" s="4" t="s">
        <v>7409</v>
      </c>
      <c r="C4841" s="5" t="str">
        <f>IFERROR(__xludf.DUMMYFUNCTION("GOOGLETRANSLATE(D:D,""auto"",""en"")"),"Trump seeking drugs to Modi")</f>
        <v>Trump seeking drugs to Modi</v>
      </c>
      <c r="D4841" s="4" t="s">
        <v>7478</v>
      </c>
      <c r="E4841" s="4">
        <v>0.0</v>
      </c>
      <c r="F4841" s="4">
        <v>40.0</v>
      </c>
      <c r="G4841" s="4" t="s">
        <v>7479</v>
      </c>
    </row>
    <row r="4842">
      <c r="A4842" s="1">
        <v>4840.0</v>
      </c>
      <c r="B4842" s="4" t="s">
        <v>7409</v>
      </c>
      <c r="C4842" s="5" t="str">
        <f>IFERROR(__xludf.DUMMYFUNCTION("GOOGLETRANSLATE(D:D,""auto"",""en"")"),"Fortunately, dropped out of the Swiss CEO Rich List")</f>
        <v>Fortunately, dropped out of the Swiss CEO Rich List</v>
      </c>
      <c r="D4842" s="4" t="s">
        <v>7480</v>
      </c>
      <c r="E4842" s="4">
        <v>0.0</v>
      </c>
      <c r="F4842" s="4">
        <v>41.0</v>
      </c>
      <c r="G4842" s="4" t="s">
        <v>7481</v>
      </c>
    </row>
    <row r="4843">
      <c r="A4843" s="1">
        <v>4841.0</v>
      </c>
      <c r="B4843" s="4" t="s">
        <v>7409</v>
      </c>
      <c r="C4843" s="5" t="str">
        <f>IFERROR(__xludf.DUMMYFUNCTION("GOOGLETRANSLATE(D:D,""auto"",""en"")"),"Roosevelt was criticized captain")</f>
        <v>Roosevelt was criticized captain</v>
      </c>
      <c r="D4843" s="4" t="s">
        <v>7482</v>
      </c>
      <c r="E4843" s="4">
        <v>0.0</v>
      </c>
      <c r="F4843" s="4">
        <v>42.0</v>
      </c>
      <c r="G4843" s="4" t="s">
        <v>7483</v>
      </c>
    </row>
    <row r="4844">
      <c r="A4844" s="1">
        <v>4842.0</v>
      </c>
      <c r="B4844" s="4" t="s">
        <v>7409</v>
      </c>
      <c r="C4844" s="5" t="str">
        <f>IFERROR(__xludf.DUMMYFUNCTION("GOOGLETRANSLATE(D:D,""auto"",""en"")"),"Lu asymptomatic infection details")</f>
        <v>Lu asymptomatic infection details</v>
      </c>
      <c r="D4844" s="4" t="s">
        <v>7484</v>
      </c>
      <c r="E4844" s="4">
        <v>0.0</v>
      </c>
      <c r="F4844" s="4">
        <v>43.0</v>
      </c>
      <c r="G4844" s="4" t="s">
        <v>7485</v>
      </c>
    </row>
    <row r="4845">
      <c r="A4845" s="1">
        <v>4843.0</v>
      </c>
      <c r="B4845" s="4" t="s">
        <v>7409</v>
      </c>
      <c r="C4845" s="5" t="str">
        <f>IFERROR(__xludf.DUMMYFUNCTION("GOOGLETRANSLATE(D:D,""auto"",""en"")"),"Captain America was sacked diagnosed")</f>
        <v>Captain America was sacked diagnosed</v>
      </c>
      <c r="D4845" s="4" t="s">
        <v>7486</v>
      </c>
      <c r="E4845" s="4">
        <v>0.0</v>
      </c>
      <c r="F4845" s="4">
        <v>44.0</v>
      </c>
      <c r="G4845" s="4" t="s">
        <v>7487</v>
      </c>
    </row>
    <row r="4846">
      <c r="A4846" s="1">
        <v>4844.0</v>
      </c>
      <c r="B4846" s="4" t="s">
        <v>7409</v>
      </c>
      <c r="C4846" s="5" t="str">
        <f>IFERROR(__xludf.DUMMYFUNCTION("GOOGLETRANSLATE(D:D,""auto"",""en"")"),"Golden hear the whistle sound of tears")</f>
        <v>Golden hear the whistle sound of tears</v>
      </c>
      <c r="D4846" s="4" t="s">
        <v>7488</v>
      </c>
      <c r="E4846" s="4">
        <v>0.0</v>
      </c>
      <c r="F4846" s="4">
        <v>45.0</v>
      </c>
      <c r="G4846" s="4" t="s">
        <v>7489</v>
      </c>
    </row>
    <row r="4847">
      <c r="A4847" s="1">
        <v>4845.0</v>
      </c>
      <c r="B4847" s="4" t="s">
        <v>7409</v>
      </c>
      <c r="C4847" s="5" t="str">
        <f>IFERROR(__xludf.DUMMYFUNCTION("GOOGLETRANSLATE(D:D,""auto"",""en"")"),"Delta Air Lines was traced to conceal the truth")</f>
        <v>Delta Air Lines was traced to conceal the truth</v>
      </c>
      <c r="D4847" s="4" t="s">
        <v>7371</v>
      </c>
      <c r="E4847" s="4">
        <v>0.0</v>
      </c>
      <c r="F4847" s="4">
        <v>46.0</v>
      </c>
      <c r="G4847" s="4" t="s">
        <v>7372</v>
      </c>
    </row>
    <row r="4848">
      <c r="A4848" s="1">
        <v>4846.0</v>
      </c>
      <c r="B4848" s="4" t="s">
        <v>7409</v>
      </c>
      <c r="C4848" s="5" t="str">
        <f>IFERROR(__xludf.DUMMYFUNCTION("GOOGLETRANSLATE(D:D,""auto"",""en"")"),"80 million current limited withdrawals")</f>
        <v>80 million current limited withdrawals</v>
      </c>
      <c r="D4848" s="4" t="s">
        <v>7490</v>
      </c>
      <c r="E4848" s="4">
        <v>0.0</v>
      </c>
      <c r="F4848" s="4">
        <v>47.0</v>
      </c>
      <c r="G4848" s="4" t="s">
        <v>7491</v>
      </c>
    </row>
    <row r="4849">
      <c r="A4849" s="1">
        <v>4847.0</v>
      </c>
      <c r="B4849" s="4" t="s">
        <v>7409</v>
      </c>
      <c r="C4849" s="5" t="str">
        <f>IFERROR(__xludf.DUMMYFUNCTION("GOOGLETRANSLATE(D:D,""auto"",""en"")"),"Beijing continued prevention and control of state or")</f>
        <v>Beijing continued prevention and control of state or</v>
      </c>
      <c r="D4849" s="4" t="s">
        <v>7379</v>
      </c>
      <c r="E4849" s="4">
        <v>0.0</v>
      </c>
      <c r="F4849" s="4">
        <v>48.0</v>
      </c>
      <c r="G4849" s="4" t="s">
        <v>7380</v>
      </c>
    </row>
    <row r="4850">
      <c r="A4850" s="1">
        <v>4848.0</v>
      </c>
      <c r="B4850" s="4" t="s">
        <v>7409</v>
      </c>
      <c r="C4850" s="5" t="str">
        <f>IFERROR(__xludf.DUMMYFUNCTION("GOOGLETRANSLATE(D:D,""auto"",""en"")"),"Guangdong increased five cases of indigenous cases")</f>
        <v>Guangdong increased five cases of indigenous cases</v>
      </c>
      <c r="D4850" s="4" t="s">
        <v>7341</v>
      </c>
      <c r="E4850" s="4">
        <v>0.0</v>
      </c>
      <c r="F4850" s="4">
        <v>49.0</v>
      </c>
      <c r="G4850" s="4" t="s">
        <v>7342</v>
      </c>
    </row>
    <row r="4851">
      <c r="A4851" s="1">
        <v>4849.0</v>
      </c>
      <c r="B4851" s="4" t="s">
        <v>7409</v>
      </c>
      <c r="C4851" s="5" t="str">
        <f>IFERROR(__xludf.DUMMYFUNCTION("GOOGLETRANSLATE(D:D,""auto"",""en"")"),"Do not wear a mask contrast airflow")</f>
        <v>Do not wear a mask contrast airflow</v>
      </c>
      <c r="D4851" s="4" t="s">
        <v>7492</v>
      </c>
      <c r="E4851" s="4">
        <v>0.0</v>
      </c>
      <c r="F4851" s="4">
        <v>50.0</v>
      </c>
      <c r="G4851" s="4" t="s">
        <v>7493</v>
      </c>
    </row>
    <row r="4852">
      <c r="A4852" s="1">
        <v>4850.0</v>
      </c>
      <c r="B4852" s="4" t="s">
        <v>7494</v>
      </c>
      <c r="C4852" s="5" t="str">
        <f>IFERROR(__xludf.DUMMYFUNCTION("GOOGLETRANSLATE(D:D,""auto"",""en"")"),"Multinational masks battle depression")</f>
        <v>Multinational masks battle depression</v>
      </c>
      <c r="D4852" s="4" t="s">
        <v>7495</v>
      </c>
      <c r="E4852" s="4">
        <v>0.0</v>
      </c>
      <c r="F4852" s="4">
        <v>1.0</v>
      </c>
      <c r="G4852" s="4" t="s">
        <v>7496</v>
      </c>
    </row>
    <row r="4853">
      <c r="A4853" s="1">
        <v>4851.0</v>
      </c>
      <c r="B4853" s="4" t="s">
        <v>7494</v>
      </c>
      <c r="C4853" s="5" t="str">
        <f>IFERROR(__xludf.DUMMYFUNCTION("GOOGLETRANSLATE(D:D,""auto"",""en"")"),"E nurse Zhang quietly died aid")</f>
        <v>E nurse Zhang quietly died aid</v>
      </c>
      <c r="D4853" s="4" t="s">
        <v>7450</v>
      </c>
      <c r="E4853" s="4">
        <v>0.0</v>
      </c>
      <c r="F4853" s="4">
        <v>2.0</v>
      </c>
      <c r="G4853" s="4" t="s">
        <v>7451</v>
      </c>
    </row>
    <row r="4854">
      <c r="A4854" s="1">
        <v>4852.0</v>
      </c>
      <c r="B4854" s="4" t="s">
        <v>7494</v>
      </c>
      <c r="C4854" s="5" t="str">
        <f>IFERROR(__xludf.DUMMYFUNCTION("GOOGLETRANSLATE(D:D,""auto"",""en"")"),"The number of foreign media exposed the United States died of illness omission")</f>
        <v>The number of foreign media exposed the United States died of illness omission</v>
      </c>
      <c r="D4854" s="4" t="s">
        <v>7444</v>
      </c>
      <c r="E4854" s="4">
        <v>0.0</v>
      </c>
      <c r="F4854" s="4">
        <v>3.0</v>
      </c>
      <c r="G4854" s="4" t="s">
        <v>7445</v>
      </c>
    </row>
    <row r="4855">
      <c r="A4855" s="1">
        <v>4853.0</v>
      </c>
      <c r="B4855" s="4" t="s">
        <v>7494</v>
      </c>
      <c r="C4855" s="5" t="str">
        <f>IFERROR(__xludf.DUMMYFUNCTION("GOOGLETRANSLATE(D:D,""auto"",""en"")"),"British Prime Minister hospitalized after starting sound")</f>
        <v>British Prime Minister hospitalized after starting sound</v>
      </c>
      <c r="D4855" s="4" t="s">
        <v>7497</v>
      </c>
      <c r="E4855" s="4">
        <v>0.0</v>
      </c>
      <c r="F4855" s="4">
        <v>4.0</v>
      </c>
      <c r="G4855" s="4" t="s">
        <v>7498</v>
      </c>
    </row>
    <row r="4856">
      <c r="A4856" s="1">
        <v>4854.0</v>
      </c>
      <c r="B4856" s="4" t="s">
        <v>7494</v>
      </c>
      <c r="C4856" s="5" t="str">
        <f>IFERROR(__xludf.DUMMYFUNCTION("GOOGLETRANSLATE(D:D,""auto"",""en"")"),"Former MP sentenced in Hong Kong")</f>
        <v>Former MP sentenced in Hong Kong</v>
      </c>
      <c r="D4856" s="4" t="s">
        <v>7468</v>
      </c>
      <c r="E4856" s="4">
        <v>0.0</v>
      </c>
      <c r="F4856" s="4">
        <v>5.0</v>
      </c>
      <c r="G4856" s="4" t="s">
        <v>7469</v>
      </c>
    </row>
    <row r="4857">
      <c r="A4857" s="1">
        <v>4855.0</v>
      </c>
      <c r="B4857" s="4" t="s">
        <v>7494</v>
      </c>
      <c r="C4857" s="5" t="str">
        <f>IFERROR(__xludf.DUMMYFUNCTION("GOOGLETRANSLATE(D:D,""auto"",""en"")"),"India National lights 9 minutes")</f>
        <v>India National lights 9 minutes</v>
      </c>
      <c r="D4857" s="4" t="s">
        <v>7448</v>
      </c>
      <c r="E4857" s="4">
        <v>0.0</v>
      </c>
      <c r="F4857" s="4">
        <v>6.0</v>
      </c>
      <c r="G4857" s="4" t="s">
        <v>7449</v>
      </c>
    </row>
    <row r="4858">
      <c r="A4858" s="1">
        <v>4856.0</v>
      </c>
      <c r="B4858" s="4" t="s">
        <v>7494</v>
      </c>
      <c r="C4858" s="5" t="str">
        <f>IFERROR(__xludf.DUMMYFUNCTION("GOOGLETRANSLATE(D:D,""auto"",""en"")"),"British Prime Minister transferred to ICU")</f>
        <v>British Prime Minister transferred to ICU</v>
      </c>
      <c r="D4858" s="4" t="s">
        <v>7499</v>
      </c>
      <c r="E4858" s="4">
        <v>0.0</v>
      </c>
      <c r="F4858" s="4">
        <v>7.0</v>
      </c>
      <c r="G4858" s="4" t="s">
        <v>7500</v>
      </c>
    </row>
    <row r="4859">
      <c r="A4859" s="1">
        <v>4857.0</v>
      </c>
      <c r="B4859" s="4" t="s">
        <v>7494</v>
      </c>
      <c r="C4859" s="5" t="str">
        <f>IFERROR(__xludf.DUMMYFUNCTION("GOOGLETRANSLATE(D:D,""auto"",""en"")"),"Zhang quietly help her husband again")</f>
        <v>Zhang quietly help her husband again</v>
      </c>
      <c r="D4859" s="4" t="s">
        <v>7501</v>
      </c>
      <c r="E4859" s="4">
        <v>0.0</v>
      </c>
      <c r="F4859" s="4">
        <v>8.0</v>
      </c>
      <c r="G4859" s="4" t="s">
        <v>7502</v>
      </c>
    </row>
    <row r="4860">
      <c r="A4860" s="1">
        <v>4858.0</v>
      </c>
      <c r="B4860" s="4" t="s">
        <v>7494</v>
      </c>
      <c r="C4860" s="5" t="str">
        <f>IFERROR(__xludf.DUMMYFUNCTION("GOOGLETRANSLATE(D:D,""auto"",""en"")"),"Shang Wenjie studio response")</f>
        <v>Shang Wenjie studio response</v>
      </c>
      <c r="D4860" s="4" t="s">
        <v>7503</v>
      </c>
      <c r="E4860" s="4">
        <v>0.0</v>
      </c>
      <c r="F4860" s="4">
        <v>9.0</v>
      </c>
      <c r="G4860" s="4" t="s">
        <v>7504</v>
      </c>
    </row>
    <row r="4861">
      <c r="A4861" s="1">
        <v>4859.0</v>
      </c>
      <c r="B4861" s="4" t="s">
        <v>7494</v>
      </c>
      <c r="C4861" s="5" t="str">
        <f>IFERROR(__xludf.DUMMYFUNCTION("GOOGLETRANSLATE(D:D,""auto"",""en"")"),"N, room and now men's version")</f>
        <v>N, room and now men's version</v>
      </c>
      <c r="D4861" s="4" t="s">
        <v>7505</v>
      </c>
      <c r="E4861" s="4">
        <v>0.0</v>
      </c>
      <c r="F4861" s="4">
        <v>10.0</v>
      </c>
      <c r="G4861" s="4" t="s">
        <v>7506</v>
      </c>
    </row>
    <row r="4862">
      <c r="A4862" s="1">
        <v>4860.0</v>
      </c>
      <c r="B4862" s="4" t="s">
        <v>7494</v>
      </c>
      <c r="C4862" s="5" t="str">
        <f>IFERROR(__xludf.DUMMYFUNCTION("GOOGLETRANSLATE(D:D,""auto"",""en"")"),"Guangzhou Yuexiu District Official Gazette")</f>
        <v>Guangzhou Yuexiu District Official Gazette</v>
      </c>
      <c r="D4862" s="4" t="s">
        <v>7507</v>
      </c>
      <c r="E4862" s="4">
        <v>0.0</v>
      </c>
      <c r="F4862" s="4">
        <v>11.0</v>
      </c>
      <c r="G4862" s="4" t="s">
        <v>7508</v>
      </c>
    </row>
    <row r="4863">
      <c r="A4863" s="1">
        <v>4861.0</v>
      </c>
      <c r="B4863" s="4" t="s">
        <v>7494</v>
      </c>
      <c r="C4863" s="5" t="str">
        <f>IFERROR(__xludf.DUMMYFUNCTION("GOOGLETRANSLATE(D:D,""auto"",""en"")"),"Pupils have been confirmed in England")</f>
        <v>Pupils have been confirmed in England</v>
      </c>
      <c r="D4863" s="4" t="s">
        <v>7452</v>
      </c>
      <c r="E4863" s="4">
        <v>0.0</v>
      </c>
      <c r="F4863" s="4">
        <v>12.0</v>
      </c>
      <c r="G4863" s="4" t="s">
        <v>7453</v>
      </c>
    </row>
    <row r="4864">
      <c r="A4864" s="1">
        <v>4862.0</v>
      </c>
      <c r="B4864" s="4" t="s">
        <v>7494</v>
      </c>
      <c r="C4864" s="5" t="str">
        <f>IFERROR(__xludf.DUMMYFUNCTION("GOOGLETRANSLATE(D:D,""auto"",""en"")"),"Shaanxi new seven were in close contact")</f>
        <v>Shaanxi new seven were in close contact</v>
      </c>
      <c r="D4864" s="4" t="s">
        <v>7509</v>
      </c>
      <c r="E4864" s="4">
        <v>0.0</v>
      </c>
      <c r="F4864" s="4">
        <v>13.0</v>
      </c>
      <c r="G4864" s="4" t="s">
        <v>7510</v>
      </c>
    </row>
    <row r="4865">
      <c r="A4865" s="1">
        <v>4863.0</v>
      </c>
      <c r="B4865" s="4" t="s">
        <v>7494</v>
      </c>
      <c r="C4865" s="5" t="str">
        <f>IFERROR(__xludf.DUMMYFUNCTION("GOOGLETRANSLATE(D:D,""auto"",""en"")"),"British NHS doctors to talk about Johnson")</f>
        <v>British NHS doctors to talk about Johnson</v>
      </c>
      <c r="D4865" s="4" t="s">
        <v>7511</v>
      </c>
      <c r="E4865" s="4">
        <v>0.0</v>
      </c>
      <c r="F4865" s="4">
        <v>14.0</v>
      </c>
      <c r="G4865" s="4" t="s">
        <v>7512</v>
      </c>
    </row>
    <row r="4866">
      <c r="A4866" s="1">
        <v>4864.0</v>
      </c>
      <c r="B4866" s="4" t="s">
        <v>7494</v>
      </c>
      <c r="C4866" s="5" t="str">
        <f>IFERROR(__xludf.DUMMYFUNCTION("GOOGLETRANSLATE(D:D,""auto"",""en"")"),"Guangzhou foreign men ordered to leave")</f>
        <v>Guangzhou foreign men ordered to leave</v>
      </c>
      <c r="D4866" s="4" t="s">
        <v>7513</v>
      </c>
      <c r="E4866" s="4">
        <v>0.0</v>
      </c>
      <c r="F4866" s="4">
        <v>15.0</v>
      </c>
      <c r="G4866" s="4" t="s">
        <v>7514</v>
      </c>
    </row>
    <row r="4867">
      <c r="A4867" s="1">
        <v>4865.0</v>
      </c>
      <c r="B4867" s="4" t="s">
        <v>7494</v>
      </c>
      <c r="C4867" s="5" t="str">
        <f>IFERROR(__xludf.DUMMYFUNCTION("GOOGLETRANSLATE(D:D,""auto"",""en"")"),"Huanggang Mourns Zhang quietly")</f>
        <v>Huanggang Mourns Zhang quietly</v>
      </c>
      <c r="D4867" s="4" t="s">
        <v>7515</v>
      </c>
      <c r="E4867" s="4">
        <v>0.0</v>
      </c>
      <c r="F4867" s="4">
        <v>16.0</v>
      </c>
      <c r="G4867" s="4" t="s">
        <v>7516</v>
      </c>
    </row>
    <row r="4868">
      <c r="A4868" s="1">
        <v>4866.0</v>
      </c>
      <c r="B4868" s="4" t="s">
        <v>7494</v>
      </c>
      <c r="C4868" s="5" t="str">
        <f>IFERROR(__xludf.DUMMYFUNCTION("GOOGLETRANSLATE(D:D,""auto"",""en"")"),"肖战 return to work")</f>
        <v>肖战 return to work</v>
      </c>
      <c r="D4868" s="4" t="s">
        <v>7517</v>
      </c>
      <c r="E4868" s="4">
        <v>0.0</v>
      </c>
      <c r="F4868" s="4">
        <v>17.0</v>
      </c>
      <c r="G4868" s="4" t="s">
        <v>7518</v>
      </c>
    </row>
    <row r="4869">
      <c r="A4869" s="1">
        <v>4867.0</v>
      </c>
      <c r="B4869" s="4" t="s">
        <v>7494</v>
      </c>
      <c r="C4869" s="5" t="str">
        <f>IFERROR(__xludf.DUMMYFUNCTION("GOOGLETRANSLATE(D:D,""auto"",""en"")"),"Wan asymptomatic patients by 1")</f>
        <v>Wan asymptomatic patients by 1</v>
      </c>
      <c r="D4869" s="4" t="s">
        <v>7519</v>
      </c>
      <c r="E4869" s="4">
        <v>0.0</v>
      </c>
      <c r="F4869" s="4">
        <v>18.0</v>
      </c>
      <c r="G4869" s="4" t="s">
        <v>7520</v>
      </c>
    </row>
    <row r="4870">
      <c r="A4870" s="1">
        <v>4868.0</v>
      </c>
      <c r="B4870" s="4" t="s">
        <v>7494</v>
      </c>
      <c r="C4870" s="5" t="str">
        <f>IFERROR(__xludf.DUMMYFUNCTION("GOOGLETRANSLATE(D:D,""auto"",""en"")"),"Tianjin school time")</f>
        <v>Tianjin school time</v>
      </c>
      <c r="D4870" s="4" t="s">
        <v>7521</v>
      </c>
      <c r="E4870" s="4">
        <v>0.0</v>
      </c>
      <c r="F4870" s="4">
        <v>19.0</v>
      </c>
      <c r="G4870" s="4" t="s">
        <v>7522</v>
      </c>
    </row>
    <row r="4871">
      <c r="A4871" s="1">
        <v>4869.0</v>
      </c>
      <c r="B4871" s="4" t="s">
        <v>7494</v>
      </c>
      <c r="C4871" s="5" t="str">
        <f>IFERROR(__xludf.DUMMYFUNCTION("GOOGLETRANSLATE(D:D,""auto"",""en"")"),"Wei Zhang quietly talking about the national health committee")</f>
        <v>Wei Zhang quietly talking about the national health committee</v>
      </c>
      <c r="D4871" s="4" t="s">
        <v>7523</v>
      </c>
      <c r="E4871" s="4">
        <v>0.0</v>
      </c>
      <c r="F4871" s="4">
        <v>20.0</v>
      </c>
      <c r="G4871" s="4" t="s">
        <v>7524</v>
      </c>
    </row>
    <row r="4872">
      <c r="A4872" s="1">
        <v>4870.0</v>
      </c>
      <c r="B4872" s="4" t="s">
        <v>7494</v>
      </c>
      <c r="C4872" s="5" t="str">
        <f>IFERROR(__xludf.DUMMYFUNCTION("GOOGLETRANSLATE(D:D,""auto"",""en"")"),"BWF suspended game")</f>
        <v>BWF suspended game</v>
      </c>
      <c r="D4872" s="4" t="s">
        <v>7525</v>
      </c>
      <c r="E4872" s="4">
        <v>0.0</v>
      </c>
      <c r="F4872" s="4">
        <v>21.0</v>
      </c>
      <c r="G4872" s="4" t="s">
        <v>7526</v>
      </c>
    </row>
    <row r="4873">
      <c r="A4873" s="1">
        <v>4871.0</v>
      </c>
      <c r="B4873" s="4" t="s">
        <v>7494</v>
      </c>
      <c r="C4873" s="5" t="str">
        <f>IFERROR(__xludf.DUMMYFUNCTION("GOOGLETRANSLATE(D:D,""auto"",""en"")"),"Stole a red envelope follow firefighters")</f>
        <v>Stole a red envelope follow firefighters</v>
      </c>
      <c r="D4873" s="4" t="s">
        <v>7527</v>
      </c>
      <c r="E4873" s="4">
        <v>0.0</v>
      </c>
      <c r="F4873" s="4">
        <v>22.0</v>
      </c>
      <c r="G4873" s="4" t="s">
        <v>7528</v>
      </c>
    </row>
    <row r="4874">
      <c r="A4874" s="1">
        <v>4872.0</v>
      </c>
      <c r="B4874" s="4" t="s">
        <v>7494</v>
      </c>
      <c r="C4874" s="5" t="str">
        <f>IFERROR(__xludf.DUMMYFUNCTION("GOOGLETRANSLATE(D:D,""auto"",""en"")"),"Embassy in exclusion of inappropriate comments")</f>
        <v>Embassy in exclusion of inappropriate comments</v>
      </c>
      <c r="D4874" s="4" t="s">
        <v>7529</v>
      </c>
      <c r="E4874" s="4">
        <v>0.0</v>
      </c>
      <c r="F4874" s="4">
        <v>23.0</v>
      </c>
      <c r="G4874" s="4" t="s">
        <v>7530</v>
      </c>
    </row>
    <row r="4875">
      <c r="A4875" s="1">
        <v>4873.0</v>
      </c>
      <c r="B4875" s="4" t="s">
        <v>7494</v>
      </c>
      <c r="C4875" s="5" t="str">
        <f>IFERROR(__xludf.DUMMYFUNCTION("GOOGLETRANSLATE(D:D,""auto"",""en"")"),"Song Hye Kyo party responded sale of luxury")</f>
        <v>Song Hye Kyo party responded sale of luxury</v>
      </c>
      <c r="D4875" s="4" t="s">
        <v>7531</v>
      </c>
      <c r="E4875" s="4">
        <v>0.0</v>
      </c>
      <c r="F4875" s="4">
        <v>24.0</v>
      </c>
      <c r="G4875" s="4" t="s">
        <v>7532</v>
      </c>
    </row>
    <row r="4876">
      <c r="A4876" s="1">
        <v>4874.0</v>
      </c>
      <c r="B4876" s="4" t="s">
        <v>7494</v>
      </c>
      <c r="C4876" s="5" t="str">
        <f>IFERROR(__xludf.DUMMYFUNCTION("GOOGLETRANSLATE(D:D,""auto"",""en"")"),"Ma Dong anchor apology")</f>
        <v>Ma Dong anchor apology</v>
      </c>
      <c r="D4876" s="4" t="s">
        <v>7533</v>
      </c>
      <c r="E4876" s="4">
        <v>0.0</v>
      </c>
      <c r="F4876" s="4">
        <v>25.0</v>
      </c>
      <c r="G4876" s="4" t="s">
        <v>7534</v>
      </c>
    </row>
    <row r="4877">
      <c r="A4877" s="1">
        <v>4875.0</v>
      </c>
      <c r="B4877" s="4" t="s">
        <v>7494</v>
      </c>
      <c r="C4877" s="5" t="str">
        <f>IFERROR(__xludf.DUMMYFUNCTION("GOOGLETRANSLATE(D:D,""auto"",""en"")"),"Xiaogan barber shop stabbing incident")</f>
        <v>Xiaogan barber shop stabbing incident</v>
      </c>
      <c r="D4877" s="4" t="s">
        <v>7535</v>
      </c>
      <c r="E4877" s="4">
        <v>0.0</v>
      </c>
      <c r="F4877" s="4">
        <v>26.0</v>
      </c>
      <c r="G4877" s="4" t="s">
        <v>7536</v>
      </c>
    </row>
    <row r="4878">
      <c r="A4878" s="1">
        <v>4876.0</v>
      </c>
      <c r="B4878" s="4" t="s">
        <v>7494</v>
      </c>
      <c r="C4878" s="5" t="str">
        <f>IFERROR(__xludf.DUMMYFUNCTION("GOOGLETRANSLATE(D:D,""auto"",""en"")"),"China Civil Aviation Authority issued a public notice")</f>
        <v>China Civil Aviation Authority issued a public notice</v>
      </c>
      <c r="D4878" s="4" t="s">
        <v>7537</v>
      </c>
      <c r="E4878" s="4">
        <v>0.0</v>
      </c>
      <c r="F4878" s="4">
        <v>27.0</v>
      </c>
      <c r="G4878" s="4" t="s">
        <v>7538</v>
      </c>
    </row>
    <row r="4879">
      <c r="A4879" s="1">
        <v>4877.0</v>
      </c>
      <c r="B4879" s="4" t="s">
        <v>7494</v>
      </c>
      <c r="C4879" s="5" t="str">
        <f>IFERROR(__xludf.DUMMYFUNCTION("GOOGLETRANSLATE(D:D,""auto"",""en"")"),"Zhang Liang delete dynamic divorce")</f>
        <v>Zhang Liang delete dynamic divorce</v>
      </c>
      <c r="D4879" s="4" t="s">
        <v>7539</v>
      </c>
      <c r="E4879" s="4">
        <v>0.0</v>
      </c>
      <c r="F4879" s="4">
        <v>28.0</v>
      </c>
      <c r="G4879" s="4" t="s">
        <v>7540</v>
      </c>
    </row>
    <row r="4880">
      <c r="A4880" s="1">
        <v>4878.0</v>
      </c>
      <c r="B4880" s="4" t="s">
        <v>7494</v>
      </c>
      <c r="C4880" s="5" t="str">
        <f>IFERROR(__xludf.DUMMYFUNCTION("GOOGLETRANSLATE(D:D,""auto"",""en"")"),"Huang Jiayi made inappropriate remarks")</f>
        <v>Huang Jiayi made inappropriate remarks</v>
      </c>
      <c r="D4880" s="4" t="s">
        <v>7541</v>
      </c>
      <c r="E4880" s="4">
        <v>0.0</v>
      </c>
      <c r="F4880" s="4">
        <v>29.0</v>
      </c>
      <c r="G4880" s="4" t="s">
        <v>7542</v>
      </c>
    </row>
    <row r="4881">
      <c r="A4881" s="1">
        <v>4879.0</v>
      </c>
      <c r="B4881" s="4" t="s">
        <v>7494</v>
      </c>
      <c r="C4881" s="5" t="str">
        <f>IFERROR(__xludf.DUMMYFUNCTION("GOOGLETRANSLATE(D:D,""auto"",""en"")"),"Song Hye Kyo listed on the sale of luxury")</f>
        <v>Song Hye Kyo listed on the sale of luxury</v>
      </c>
      <c r="D4881" s="4" t="s">
        <v>7543</v>
      </c>
      <c r="E4881" s="4">
        <v>0.0</v>
      </c>
      <c r="F4881" s="4">
        <v>30.0</v>
      </c>
      <c r="G4881" s="4" t="s">
        <v>7544</v>
      </c>
    </row>
    <row r="4882">
      <c r="A4882" s="1">
        <v>4880.0</v>
      </c>
      <c r="B4882" s="4" t="s">
        <v>7494</v>
      </c>
      <c r="C4882" s="5" t="str">
        <f>IFERROR(__xludf.DUMMYFUNCTION("GOOGLETRANSLATE(D:D,""auto"",""en"")"),"Express aircraft parts more and more dead")</f>
        <v>Express aircraft parts more and more dead</v>
      </c>
      <c r="D4882" s="4" t="s">
        <v>7545</v>
      </c>
      <c r="E4882" s="4">
        <v>0.0</v>
      </c>
      <c r="F4882" s="4">
        <v>31.0</v>
      </c>
      <c r="G4882" s="4" t="s">
        <v>7546</v>
      </c>
    </row>
    <row r="4883">
      <c r="A4883" s="1">
        <v>4881.0</v>
      </c>
      <c r="B4883" s="4" t="s">
        <v>7494</v>
      </c>
      <c r="C4883" s="5" t="str">
        <f>IFERROR(__xludf.DUMMYFUNCTION("GOOGLETRANSLATE(D:D,""auto"",""en"")"),"Liangshan mountain collapsed burst")</f>
        <v>Liangshan mountain collapsed burst</v>
      </c>
      <c r="D4883" s="4" t="s">
        <v>7547</v>
      </c>
      <c r="E4883" s="4">
        <v>0.0</v>
      </c>
      <c r="F4883" s="4">
        <v>32.0</v>
      </c>
      <c r="G4883" s="4" t="s">
        <v>7548</v>
      </c>
    </row>
    <row r="4884">
      <c r="A4884" s="1">
        <v>4882.0</v>
      </c>
      <c r="B4884" s="4" t="s">
        <v>7494</v>
      </c>
      <c r="C4884" s="5" t="str">
        <f>IFERROR(__xludf.DUMMYFUNCTION("GOOGLETRANSLATE(D:D,""auto"",""en"")"),"Chongqing Start dates announced")</f>
        <v>Chongqing Start dates announced</v>
      </c>
      <c r="D4884" s="4" t="s">
        <v>7549</v>
      </c>
      <c r="E4884" s="4">
        <v>0.0</v>
      </c>
      <c r="F4884" s="4">
        <v>33.0</v>
      </c>
      <c r="G4884" s="4" t="s">
        <v>7550</v>
      </c>
    </row>
    <row r="4885">
      <c r="A4885" s="1">
        <v>4883.0</v>
      </c>
      <c r="B4885" s="4" t="s">
        <v>7494</v>
      </c>
      <c r="C4885" s="5" t="str">
        <f>IFERROR(__xludf.DUMMYFUNCTION("GOOGLETRANSLATE(D:D,""auto"",""en"")"),"WHO condemns French scientists")</f>
        <v>WHO condemns French scientists</v>
      </c>
      <c r="D4885" s="4" t="s">
        <v>7551</v>
      </c>
      <c r="E4885" s="4">
        <v>0.0</v>
      </c>
      <c r="F4885" s="4">
        <v>34.0</v>
      </c>
      <c r="G4885" s="4" t="s">
        <v>7552</v>
      </c>
    </row>
    <row r="4886">
      <c r="A4886" s="1">
        <v>4884.0</v>
      </c>
      <c r="B4886" s="4" t="s">
        <v>7494</v>
      </c>
      <c r="C4886" s="5" t="str">
        <f>IFERROR(__xludf.DUMMYFUNCTION("GOOGLETRANSLATE(D:D,""auto"",""en"")"),"Zhang quietly issued a document husband")</f>
        <v>Zhang quietly issued a document husband</v>
      </c>
      <c r="D4886" s="4" t="s">
        <v>7553</v>
      </c>
      <c r="E4886" s="4">
        <v>0.0</v>
      </c>
      <c r="F4886" s="4">
        <v>35.0</v>
      </c>
      <c r="G4886" s="4" t="s">
        <v>7554</v>
      </c>
    </row>
    <row r="4887">
      <c r="A4887" s="1">
        <v>4885.0</v>
      </c>
      <c r="B4887" s="4" t="s">
        <v>7494</v>
      </c>
      <c r="C4887" s="5" t="str">
        <f>IFERROR(__xludf.DUMMYFUNCTION("GOOGLETRANSLATE(D:D,""auto"",""en"")"),"The new DNA vaccine first crown")</f>
        <v>The new DNA vaccine first crown</v>
      </c>
      <c r="D4887" s="4" t="s">
        <v>7555</v>
      </c>
      <c r="E4887" s="4">
        <v>0.0</v>
      </c>
      <c r="F4887" s="4">
        <v>36.0</v>
      </c>
      <c r="G4887" s="4" t="s">
        <v>7556</v>
      </c>
    </row>
    <row r="4888">
      <c r="A4888" s="1">
        <v>4886.0</v>
      </c>
      <c r="B4888" s="4" t="s">
        <v>7494</v>
      </c>
      <c r="C4888" s="5" t="str">
        <f>IFERROR(__xludf.DUMMYFUNCTION("GOOGLETRANSLATE(D:D,""auto"",""en"")"),"Zhang quietly last image")</f>
        <v>Zhang quietly last image</v>
      </c>
      <c r="D4888" s="4" t="s">
        <v>7557</v>
      </c>
      <c r="E4888" s="4">
        <v>0.0</v>
      </c>
      <c r="F4888" s="4">
        <v>37.0</v>
      </c>
      <c r="G4888" s="4" t="s">
        <v>7558</v>
      </c>
    </row>
    <row r="4889">
      <c r="A4889" s="1">
        <v>4887.0</v>
      </c>
      <c r="B4889" s="4" t="s">
        <v>7494</v>
      </c>
      <c r="C4889" s="5" t="str">
        <f>IFERROR(__xludf.DUMMYFUNCTION("GOOGLETRANSLATE(D:D,""auto"",""en"")"),"From Wuhan voice notes")</f>
        <v>From Wuhan voice notes</v>
      </c>
      <c r="D4889" s="4" t="s">
        <v>7559</v>
      </c>
      <c r="E4889" s="4">
        <v>0.0</v>
      </c>
      <c r="F4889" s="4">
        <v>38.0</v>
      </c>
      <c r="G4889" s="4" t="s">
        <v>7560</v>
      </c>
    </row>
    <row r="4890">
      <c r="A4890" s="1">
        <v>4888.0</v>
      </c>
      <c r="B4890" s="4" t="s">
        <v>7494</v>
      </c>
      <c r="C4890" s="5" t="str">
        <f>IFERROR(__xludf.DUMMYFUNCTION("GOOGLETRANSLATE(D:D,""auto"",""en"")"),"6 days by 434 asymptomatic")</f>
        <v>6 days by 434 asymptomatic</v>
      </c>
      <c r="D4890" s="4" t="s">
        <v>7466</v>
      </c>
      <c r="E4890" s="4">
        <v>0.0</v>
      </c>
      <c r="F4890" s="4">
        <v>39.0</v>
      </c>
      <c r="G4890" s="4" t="s">
        <v>7467</v>
      </c>
    </row>
    <row r="4891">
      <c r="A4891" s="1">
        <v>4889.0</v>
      </c>
      <c r="B4891" s="4" t="s">
        <v>7494</v>
      </c>
      <c r="C4891" s="5" t="str">
        <f>IFERROR(__xludf.DUMMYFUNCTION("GOOGLETRANSLATE(D:D,""auto"",""en"")"),"8 days 2.1 million visitor arrivals")</f>
        <v>8 days 2.1 million visitor arrivals</v>
      </c>
      <c r="D4891" s="4" t="s">
        <v>7438</v>
      </c>
      <c r="E4891" s="4">
        <v>0.0</v>
      </c>
      <c r="F4891" s="4">
        <v>40.0</v>
      </c>
      <c r="G4891" s="4" t="s">
        <v>7439</v>
      </c>
    </row>
    <row r="4892">
      <c r="A4892" s="1">
        <v>4890.0</v>
      </c>
      <c r="B4892" s="4" t="s">
        <v>7494</v>
      </c>
      <c r="C4892" s="5" t="str">
        <f>IFERROR(__xludf.DUMMYFUNCTION("GOOGLETRANSLATE(D:D,""auto"",""en"")"),"Beijing and more trains will be adjusted")</f>
        <v>Beijing and more trains will be adjusted</v>
      </c>
      <c r="D4892" s="4" t="s">
        <v>7561</v>
      </c>
      <c r="E4892" s="4">
        <v>0.0</v>
      </c>
      <c r="F4892" s="4">
        <v>41.0</v>
      </c>
      <c r="G4892" s="4" t="s">
        <v>7562</v>
      </c>
    </row>
    <row r="4893">
      <c r="A4893" s="1">
        <v>4891.0</v>
      </c>
      <c r="B4893" s="4" t="s">
        <v>7494</v>
      </c>
      <c r="C4893" s="5" t="str">
        <f>IFERROR(__xludf.DUMMYFUNCTION("GOOGLETRANSLATE(D:D,""auto"",""en"")"),"Japan's state of emergency")</f>
        <v>Japan's state of emergency</v>
      </c>
      <c r="D4893" s="4" t="s">
        <v>7563</v>
      </c>
      <c r="E4893" s="4">
        <v>0.0</v>
      </c>
      <c r="F4893" s="4">
        <v>42.0</v>
      </c>
      <c r="G4893" s="4" t="s">
        <v>7564</v>
      </c>
    </row>
    <row r="4894">
      <c r="A4894" s="1">
        <v>4892.0</v>
      </c>
      <c r="B4894" s="4" t="s">
        <v>7494</v>
      </c>
      <c r="C4894" s="5" t="str">
        <f>IFERROR(__xludf.DUMMYFUNCTION("GOOGLETRANSLATE(D:D,""auto"",""en"")"),"Kennedy family trouble again")</f>
        <v>Kennedy family trouble again</v>
      </c>
      <c r="D4894" s="4" t="s">
        <v>7565</v>
      </c>
      <c r="E4894" s="4">
        <v>0.0</v>
      </c>
      <c r="F4894" s="4">
        <v>43.0</v>
      </c>
      <c r="G4894" s="4" t="s">
        <v>7566</v>
      </c>
    </row>
    <row r="4895">
      <c r="A4895" s="1">
        <v>4893.0</v>
      </c>
      <c r="B4895" s="4" t="s">
        <v>7494</v>
      </c>
      <c r="C4895" s="5" t="str">
        <f>IFERROR(__xludf.DUMMYFUNCTION("GOOGLETRANSLATE(D:D,""auto"",""en"")"),"US Navy into the hardest hit")</f>
        <v>US Navy into the hardest hit</v>
      </c>
      <c r="D4895" s="4" t="s">
        <v>7567</v>
      </c>
      <c r="E4895" s="4">
        <v>0.0</v>
      </c>
      <c r="F4895" s="4">
        <v>44.0</v>
      </c>
      <c r="G4895" s="4" t="s">
        <v>7568</v>
      </c>
    </row>
    <row r="4896">
      <c r="A4896" s="1">
        <v>4894.0</v>
      </c>
      <c r="B4896" s="4" t="s">
        <v>7494</v>
      </c>
      <c r="C4896" s="5" t="str">
        <f>IFERROR(__xludf.DUMMYFUNCTION("GOOGLETRANSLATE(D:D,""auto"",""en"")"),"Nanjing 11 colleges and universities will be opening")</f>
        <v>Nanjing 11 colleges and universities will be opening</v>
      </c>
      <c r="D4896" s="4" t="s">
        <v>7569</v>
      </c>
      <c r="E4896" s="4">
        <v>0.0</v>
      </c>
      <c r="F4896" s="4">
        <v>45.0</v>
      </c>
      <c r="G4896" s="4" t="s">
        <v>7570</v>
      </c>
    </row>
    <row r="4897">
      <c r="A4897" s="1">
        <v>4895.0</v>
      </c>
      <c r="B4897" s="4" t="s">
        <v>7494</v>
      </c>
      <c r="C4897" s="5" t="str">
        <f>IFERROR(__xludf.DUMMYFUNCTION("GOOGLETRANSLATE(D:D,""auto"",""en"")"),"ZHANG Wen-hong worried about the spread of the virus")</f>
        <v>ZHANG Wen-hong worried about the spread of the virus</v>
      </c>
      <c r="D4897" s="4" t="s">
        <v>7434</v>
      </c>
      <c r="E4897" s="4">
        <v>0.0</v>
      </c>
      <c r="F4897" s="4">
        <v>46.0</v>
      </c>
      <c r="G4897" s="4" t="s">
        <v>7435</v>
      </c>
    </row>
    <row r="4898">
      <c r="A4898" s="1">
        <v>4896.0</v>
      </c>
      <c r="B4898" s="4" t="s">
        <v>7494</v>
      </c>
      <c r="C4898" s="5" t="str">
        <f>IFERROR(__xludf.DUMMYFUNCTION("GOOGLETRANSLATE(D:D,""auto"",""en"")"),"1 day Wuhan reopened")</f>
        <v>1 day Wuhan reopened</v>
      </c>
      <c r="D4898" s="4" t="s">
        <v>7571</v>
      </c>
      <c r="E4898" s="4">
        <v>0.0</v>
      </c>
      <c r="F4898" s="4">
        <v>47.0</v>
      </c>
      <c r="G4898" s="4" t="s">
        <v>7572</v>
      </c>
    </row>
    <row r="4899">
      <c r="A4899" s="1">
        <v>4897.0</v>
      </c>
      <c r="B4899" s="4" t="s">
        <v>7494</v>
      </c>
      <c r="C4899" s="5" t="str">
        <f>IFERROR(__xludf.DUMMYFUNCTION("GOOGLETRANSLATE(D:D,""auto"",""en"")"),"Hunan concealed jingfangxingju")</f>
        <v>Hunan concealed jingfangxingju</v>
      </c>
      <c r="D4899" s="4" t="s">
        <v>7573</v>
      </c>
      <c r="E4899" s="4">
        <v>0.0</v>
      </c>
      <c r="F4899" s="4">
        <v>48.0</v>
      </c>
      <c r="G4899" s="4" t="s">
        <v>7574</v>
      </c>
    </row>
    <row r="4900">
      <c r="A4900" s="1">
        <v>4898.0</v>
      </c>
      <c r="B4900" s="4" t="s">
        <v>7494</v>
      </c>
      <c r="C4900" s="5" t="str">
        <f>IFERROR(__xludf.DUMMYFUNCTION("GOOGLETRANSLATE(D:D,""auto"",""en"")"),"J · K · Rowling admit healed")</f>
        <v>J · K · Rowling admit healed</v>
      </c>
      <c r="D4900" s="4" t="s">
        <v>7575</v>
      </c>
      <c r="E4900" s="4">
        <v>0.0</v>
      </c>
      <c r="F4900" s="4">
        <v>49.0</v>
      </c>
      <c r="G4900" s="4" t="s">
        <v>7576</v>
      </c>
    </row>
    <row r="4901">
      <c r="A4901" s="1">
        <v>4899.0</v>
      </c>
      <c r="B4901" s="4" t="s">
        <v>7494</v>
      </c>
      <c r="C4901" s="5" t="str">
        <f>IFERROR(__xludf.DUMMYFUNCTION("GOOGLETRANSLATE(D:D,""auto"",""en"")"),"New continuous decline in Italy")</f>
        <v>New continuous decline in Italy</v>
      </c>
      <c r="D4901" s="4" t="s">
        <v>7577</v>
      </c>
      <c r="E4901" s="4">
        <v>0.0</v>
      </c>
      <c r="F4901" s="4">
        <v>50.0</v>
      </c>
      <c r="G4901" s="4" t="s">
        <v>7578</v>
      </c>
    </row>
    <row r="4902">
      <c r="A4902" s="1">
        <v>4900.0</v>
      </c>
      <c r="B4902" s="4" t="s">
        <v>7579</v>
      </c>
      <c r="C4902" s="5" t="str">
        <f>IFERROR(__xludf.DUMMYFUNCTION("GOOGLETRANSLATE(D:D,""auto"",""en"")"),"Liangshan mountain collapsed burst")</f>
        <v>Liangshan mountain collapsed burst</v>
      </c>
      <c r="D4902" s="4" t="s">
        <v>7547</v>
      </c>
      <c r="E4902" s="4">
        <v>0.0</v>
      </c>
      <c r="F4902" s="4">
        <v>1.0</v>
      </c>
      <c r="G4902" s="4" t="s">
        <v>7548</v>
      </c>
    </row>
    <row r="4903">
      <c r="A4903" s="1">
        <v>4901.0</v>
      </c>
      <c r="B4903" s="4" t="s">
        <v>7579</v>
      </c>
      <c r="C4903" s="5" t="str">
        <f>IFERROR(__xludf.DUMMYFUNCTION("GOOGLETRANSLATE(D:D,""auto"",""en"")"),"Shandong college temporarily back to school")</f>
        <v>Shandong college temporarily back to school</v>
      </c>
      <c r="D4903" s="4" t="s">
        <v>7580</v>
      </c>
      <c r="E4903" s="4">
        <v>0.0</v>
      </c>
      <c r="F4903" s="4">
        <v>2.0</v>
      </c>
      <c r="G4903" s="4" t="s">
        <v>7581</v>
      </c>
    </row>
    <row r="4904">
      <c r="A4904" s="1">
        <v>4902.0</v>
      </c>
      <c r="B4904" s="4" t="s">
        <v>7579</v>
      </c>
      <c r="C4904" s="5" t="str">
        <f>IFERROR(__xludf.DUMMYFUNCTION("GOOGLETRANSLATE(D:D,""auto"",""en"")"),"Wuhan reopened")</f>
        <v>Wuhan reopened</v>
      </c>
      <c r="D4904" s="4" t="s">
        <v>7582</v>
      </c>
      <c r="E4904" s="4">
        <v>0.0</v>
      </c>
      <c r="F4904" s="4">
        <v>3.0</v>
      </c>
      <c r="G4904" s="4" t="s">
        <v>7583</v>
      </c>
    </row>
    <row r="4905">
      <c r="A4905" s="1">
        <v>4903.0</v>
      </c>
      <c r="B4905" s="4" t="s">
        <v>7579</v>
      </c>
      <c r="C4905" s="5" t="str">
        <f>IFERROR(__xludf.DUMMYFUNCTION("GOOGLETRANSLATE(D:D,""auto"",""en"")"),"E types of schools delayed opening the school")</f>
        <v>E types of schools delayed opening the school</v>
      </c>
      <c r="D4905" s="4" t="s">
        <v>7584</v>
      </c>
      <c r="E4905" s="4">
        <v>0.0</v>
      </c>
      <c r="F4905" s="4">
        <v>4.0</v>
      </c>
      <c r="G4905" s="4" t="s">
        <v>7585</v>
      </c>
    </row>
    <row r="4906">
      <c r="A4906" s="1">
        <v>4904.0</v>
      </c>
      <c r="B4906" s="4" t="s">
        <v>7579</v>
      </c>
      <c r="C4906" s="5" t="str">
        <f>IFERROR(__xludf.DUMMYFUNCTION("GOOGLETRANSLATE(D:D,""auto"",""en"")"),"Chongqing Start dates announced")</f>
        <v>Chongqing Start dates announced</v>
      </c>
      <c r="D4906" s="4" t="s">
        <v>7549</v>
      </c>
      <c r="E4906" s="4">
        <v>0.0</v>
      </c>
      <c r="F4906" s="4">
        <v>5.0</v>
      </c>
      <c r="G4906" s="4" t="s">
        <v>7550</v>
      </c>
    </row>
    <row r="4907">
      <c r="A4907" s="1">
        <v>4905.0</v>
      </c>
      <c r="B4907" s="4" t="s">
        <v>7579</v>
      </c>
      <c r="C4907" s="5" t="str">
        <f>IFERROR(__xludf.DUMMYFUNCTION("GOOGLETRANSLATE(D:D,""auto"",""en"")"),"US White House spokesman departure")</f>
        <v>US White House spokesman departure</v>
      </c>
      <c r="D4907" s="4" t="s">
        <v>7586</v>
      </c>
      <c r="E4907" s="4">
        <v>0.0</v>
      </c>
      <c r="F4907" s="4">
        <v>6.0</v>
      </c>
      <c r="G4907" s="4" t="s">
        <v>7587</v>
      </c>
    </row>
    <row r="4908">
      <c r="A4908" s="1">
        <v>4906.0</v>
      </c>
      <c r="B4908" s="4" t="s">
        <v>7579</v>
      </c>
      <c r="C4908" s="5" t="str">
        <f>IFERROR(__xludf.DUMMYFUNCTION("GOOGLETRANSLATE(D:D,""auto"",""en"")"),"Wuhan, the first person out of the city")</f>
        <v>Wuhan, the first person out of the city</v>
      </c>
      <c r="D4908" s="4" t="s">
        <v>7588</v>
      </c>
      <c r="E4908" s="4">
        <v>0.0</v>
      </c>
      <c r="F4908" s="4">
        <v>7.0</v>
      </c>
      <c r="G4908" s="4" t="s">
        <v>7589</v>
      </c>
    </row>
    <row r="4909">
      <c r="A4909" s="1">
        <v>4907.0</v>
      </c>
      <c r="B4909" s="4" t="s">
        <v>7579</v>
      </c>
      <c r="C4909" s="5" t="str">
        <f>IFERROR(__xludf.DUMMYFUNCTION("GOOGLETRANSLATE(D:D,""auto"",""en"")"),"Trump stop funding the WHO")</f>
        <v>Trump stop funding the WHO</v>
      </c>
      <c r="D4909" s="4" t="s">
        <v>7590</v>
      </c>
      <c r="E4909" s="4">
        <v>0.0</v>
      </c>
      <c r="F4909" s="4">
        <v>8.0</v>
      </c>
      <c r="G4909" s="4" t="s">
        <v>7591</v>
      </c>
    </row>
    <row r="4910">
      <c r="A4910" s="1">
        <v>4908.0</v>
      </c>
      <c r="B4910" s="4" t="s">
        <v>7579</v>
      </c>
      <c r="C4910" s="5" t="str">
        <f>IFERROR(__xludf.DUMMYFUNCTION("GOOGLETRANSLATE(D:D,""auto"",""en"")"),"Hao Haidong angry hate doubters")</f>
        <v>Hao Haidong angry hate doubters</v>
      </c>
      <c r="D4910" s="4" t="s">
        <v>7592</v>
      </c>
      <c r="E4910" s="4">
        <v>0.0</v>
      </c>
      <c r="F4910" s="4">
        <v>9.0</v>
      </c>
      <c r="G4910" s="4" t="s">
        <v>7593</v>
      </c>
    </row>
    <row r="4911">
      <c r="A4911" s="1">
        <v>4909.0</v>
      </c>
      <c r="B4911" s="4" t="s">
        <v>7579</v>
      </c>
      <c r="C4911" s="5" t="str">
        <f>IFERROR(__xludf.DUMMYFUNCTION("GOOGLETRANSLATE(D:D,""auto"",""en"")"),"Britain requested the US to provide breathing machine")</f>
        <v>Britain requested the US to provide breathing machine</v>
      </c>
      <c r="D4911" s="4" t="s">
        <v>7594</v>
      </c>
      <c r="E4911" s="4">
        <v>0.0</v>
      </c>
      <c r="F4911" s="4">
        <v>10.0</v>
      </c>
      <c r="G4911" s="4" t="s">
        <v>7595</v>
      </c>
    </row>
    <row r="4912">
      <c r="A4912" s="1">
        <v>4910.0</v>
      </c>
      <c r="B4912" s="4" t="s">
        <v>7579</v>
      </c>
      <c r="C4912" s="5" t="str">
        <f>IFERROR(__xludf.DUMMYFUNCTION("GOOGLETRANSLATE(D:D,""auto"",""en"")"),"China and Jordan lost the final")</f>
        <v>China and Jordan lost the final</v>
      </c>
      <c r="D4912" s="4" t="s">
        <v>7596</v>
      </c>
      <c r="E4912" s="4">
        <v>0.0</v>
      </c>
      <c r="F4912" s="4">
        <v>11.0</v>
      </c>
      <c r="G4912" s="4" t="s">
        <v>7597</v>
      </c>
    </row>
    <row r="4913">
      <c r="A4913" s="1">
        <v>4911.0</v>
      </c>
      <c r="B4913" s="4" t="s">
        <v>7579</v>
      </c>
      <c r="C4913" s="5" t="str">
        <f>IFERROR(__xludf.DUMMYFUNCTION("GOOGLETRANSLATE(D:D,""auto"",""en"")"),"British Prime Minister fever has retired")</f>
        <v>British Prime Minister fever has retired</v>
      </c>
      <c r="D4913" s="4" t="s">
        <v>7598</v>
      </c>
      <c r="E4913" s="4">
        <v>0.0</v>
      </c>
      <c r="F4913" s="4">
        <v>12.0</v>
      </c>
      <c r="G4913" s="4" t="s">
        <v>7599</v>
      </c>
    </row>
    <row r="4914">
      <c r="A4914" s="1">
        <v>4912.0</v>
      </c>
      <c r="B4914" s="4" t="s">
        <v>7579</v>
      </c>
      <c r="C4914" s="5" t="str">
        <f>IFERROR(__xludf.DUMMYFUNCTION("GOOGLETRANSLATE(D:D,""auto"",""en"")"),"Han Wentao will take charter flights to return home")</f>
        <v>Han Wentao will take charter flights to return home</v>
      </c>
      <c r="D4914" s="4" t="s">
        <v>7600</v>
      </c>
      <c r="E4914" s="4">
        <v>0.0</v>
      </c>
      <c r="F4914" s="4">
        <v>13.0</v>
      </c>
      <c r="G4914" s="4" t="s">
        <v>7601</v>
      </c>
    </row>
    <row r="4915">
      <c r="A4915" s="1">
        <v>4913.0</v>
      </c>
      <c r="B4915" s="4" t="s">
        <v>7579</v>
      </c>
      <c r="C4915" s="5" t="str">
        <f>IFERROR(__xludf.DUMMYFUNCTION("GOOGLETRANSLATE(D:D,""auto"",""en"")"),"Acting US Secretary of the Navy to resign")</f>
        <v>Acting US Secretary of the Navy to resign</v>
      </c>
      <c r="D4915" s="4" t="s">
        <v>7602</v>
      </c>
      <c r="E4915" s="4">
        <v>0.0</v>
      </c>
      <c r="F4915" s="4">
        <v>14.0</v>
      </c>
      <c r="G4915" s="4" t="s">
        <v>7603</v>
      </c>
    </row>
    <row r="4916">
      <c r="A4916" s="1">
        <v>4914.0</v>
      </c>
      <c r="B4916" s="4" t="s">
        <v>7579</v>
      </c>
      <c r="C4916" s="5" t="str">
        <f>IFERROR(__xludf.DUMMYFUNCTION("GOOGLETRANSLATE(D:D,""auto"",""en"")"),"PS5 handle officially announced")</f>
        <v>PS5 handle officially announced</v>
      </c>
      <c r="D4916" s="4" t="s">
        <v>7604</v>
      </c>
      <c r="E4916" s="4">
        <v>0.0</v>
      </c>
      <c r="F4916" s="4">
        <v>15.0</v>
      </c>
      <c r="G4916" s="4" t="s">
        <v>7605</v>
      </c>
    </row>
    <row r="4917">
      <c r="A4917" s="1">
        <v>4915.0</v>
      </c>
      <c r="B4917" s="4" t="s">
        <v>7579</v>
      </c>
      <c r="C4917" s="5" t="str">
        <f>IFERROR(__xludf.DUMMYFUNCTION("GOOGLETRANSLATE(D:D,""auto"",""en"")"),"Experts re-check the flu swab")</f>
        <v>Experts re-check the flu swab</v>
      </c>
      <c r="D4917" s="4" t="s">
        <v>7606</v>
      </c>
      <c r="E4917" s="4">
        <v>0.0</v>
      </c>
      <c r="F4917" s="4">
        <v>16.0</v>
      </c>
      <c r="G4917" s="4" t="s">
        <v>7607</v>
      </c>
    </row>
    <row r="4918">
      <c r="A4918" s="1">
        <v>4916.0</v>
      </c>
      <c r="B4918" s="4" t="s">
        <v>7579</v>
      </c>
      <c r="C4918" s="5" t="str">
        <f>IFERROR(__xludf.DUMMYFUNCTION("GOOGLETRANSLATE(D:D,""auto"",""en"")"),"US new ultra 24,000 cases")</f>
        <v>US new ultra 24,000 cases</v>
      </c>
      <c r="D4918" s="4" t="s">
        <v>7608</v>
      </c>
      <c r="E4918" s="4">
        <v>0.0</v>
      </c>
      <c r="F4918" s="4">
        <v>17.0</v>
      </c>
      <c r="G4918" s="4" t="s">
        <v>7609</v>
      </c>
    </row>
    <row r="4919">
      <c r="A4919" s="1">
        <v>4917.0</v>
      </c>
      <c r="B4919" s="4" t="s">
        <v>7579</v>
      </c>
      <c r="C4919" s="5" t="str">
        <f>IFERROR(__xludf.DUMMYFUNCTION("GOOGLETRANSLATE(D:D,""auto"",""en"")"),"Trump ""Elixir"" is the shelf")</f>
        <v>Trump "Elixir" is the shelf</v>
      </c>
      <c r="D4919" s="4" t="s">
        <v>7610</v>
      </c>
      <c r="E4919" s="4">
        <v>0.0</v>
      </c>
      <c r="F4919" s="4">
        <v>18.0</v>
      </c>
      <c r="G4919" s="4" t="s">
        <v>7611</v>
      </c>
    </row>
    <row r="4920">
      <c r="A4920" s="1">
        <v>4918.0</v>
      </c>
      <c r="B4920" s="4" t="s">
        <v>7579</v>
      </c>
      <c r="C4920" s="5" t="str">
        <f>IFERROR(__xludf.DUMMYFUNCTION("GOOGLETRANSLATE(D:D,""auto"",""en"")"),"Hubei have come with a cargo")</f>
        <v>Hubei have come with a cargo</v>
      </c>
      <c r="D4920" s="4" t="s">
        <v>7612</v>
      </c>
      <c r="E4920" s="4">
        <v>0.0</v>
      </c>
      <c r="F4920" s="4">
        <v>19.0</v>
      </c>
      <c r="G4920" s="4" t="s">
        <v>7613</v>
      </c>
    </row>
    <row r="4921">
      <c r="A4921" s="1">
        <v>4919.0</v>
      </c>
      <c r="B4921" s="4" t="s">
        <v>7579</v>
      </c>
      <c r="C4921" s="5" t="str">
        <f>IFERROR(__xludf.DUMMYFUNCTION("GOOGLETRANSLATE(D:D,""auto"",""en"")"),"Wuhan 0:00 bell rang reopened")</f>
        <v>Wuhan 0:00 bell rang reopened</v>
      </c>
      <c r="D4921" s="4" t="s">
        <v>7614</v>
      </c>
      <c r="E4921" s="4">
        <v>0.0</v>
      </c>
      <c r="F4921" s="4">
        <v>20.0</v>
      </c>
      <c r="G4921" s="4" t="s">
        <v>7615</v>
      </c>
    </row>
    <row r="4922">
      <c r="A4922" s="1">
        <v>4920.0</v>
      </c>
      <c r="B4922" s="4" t="s">
        <v>7579</v>
      </c>
      <c r="C4922" s="5" t="str">
        <f>IFERROR(__xludf.DUMMYFUNCTION("GOOGLETRANSLATE(D:D,""auto"",""en"")"),"China refuted remarks compensation")</f>
        <v>China refuted remarks compensation</v>
      </c>
      <c r="D4922" s="4" t="s">
        <v>7616</v>
      </c>
      <c r="E4922" s="4">
        <v>0.0</v>
      </c>
      <c r="F4922" s="4">
        <v>21.0</v>
      </c>
      <c r="G4922" s="4" t="s">
        <v>7617</v>
      </c>
    </row>
    <row r="4923">
      <c r="A4923" s="1">
        <v>4921.0</v>
      </c>
      <c r="B4923" s="4" t="s">
        <v>7579</v>
      </c>
      <c r="C4923" s="5" t="str">
        <f>IFERROR(__xludf.DUMMYFUNCTION("GOOGLETRANSLATE(D:D,""auto"",""en"")"),"Switzerland thanked China for its assistance")</f>
        <v>Switzerland thanked China for its assistance</v>
      </c>
      <c r="D4923" s="4" t="s">
        <v>7618</v>
      </c>
      <c r="E4923" s="4">
        <v>0.0</v>
      </c>
      <c r="F4923" s="4">
        <v>22.0</v>
      </c>
      <c r="G4923" s="4" t="s">
        <v>7619</v>
      </c>
    </row>
    <row r="4924">
      <c r="A4924" s="1">
        <v>4922.0</v>
      </c>
      <c r="B4924" s="4" t="s">
        <v>7579</v>
      </c>
      <c r="C4924" s="5" t="str">
        <f>IFERROR(__xludf.DUMMYFUNCTION("GOOGLETRANSLATE(D:D,""auto"",""en"")"),"Two were detained in Chinese law")</f>
        <v>Two were detained in Chinese law</v>
      </c>
      <c r="D4924" s="4" t="s">
        <v>7620</v>
      </c>
      <c r="E4924" s="4">
        <v>0.0</v>
      </c>
      <c r="F4924" s="4">
        <v>23.0</v>
      </c>
      <c r="G4924" s="4" t="s">
        <v>7621</v>
      </c>
    </row>
    <row r="4925">
      <c r="A4925" s="1">
        <v>4923.0</v>
      </c>
      <c r="B4925" s="4" t="s">
        <v>7579</v>
      </c>
      <c r="C4925" s="5" t="str">
        <f>IFERROR(__xludf.DUMMYFUNCTION("GOOGLETRANSLATE(D:D,""auto"",""en"")"),"Wuhan CDC issued")</f>
        <v>Wuhan CDC issued</v>
      </c>
      <c r="D4925" s="4" t="s">
        <v>7622</v>
      </c>
      <c r="E4925" s="4">
        <v>0.0</v>
      </c>
      <c r="F4925" s="4">
        <v>24.0</v>
      </c>
      <c r="G4925" s="4" t="s">
        <v>7623</v>
      </c>
    </row>
    <row r="4926">
      <c r="A4926" s="1">
        <v>4924.0</v>
      </c>
      <c r="B4926" s="4" t="s">
        <v>7579</v>
      </c>
      <c r="C4926" s="5" t="str">
        <f>IFERROR(__xludf.DUMMYFUNCTION("GOOGLETRANSLATE(D:D,""auto"",""en"")"),"China denounced the US strategic community statement")</f>
        <v>China denounced the US strategic community statement</v>
      </c>
      <c r="D4926" s="4" t="s">
        <v>7624</v>
      </c>
      <c r="E4926" s="4">
        <v>0.0</v>
      </c>
      <c r="F4926" s="4">
        <v>25.0</v>
      </c>
      <c r="G4926" s="4" t="s">
        <v>7625</v>
      </c>
    </row>
    <row r="4927">
      <c r="A4927" s="1">
        <v>4925.0</v>
      </c>
      <c r="B4927" s="4" t="s">
        <v>7579</v>
      </c>
      <c r="C4927" s="5" t="str">
        <f>IFERROR(__xludf.DUMMYFUNCTION("GOOGLETRANSLATE(D:D,""auto"",""en"")"),"Luyue by three cases of indigenous cases")</f>
        <v>Luyue by three cases of indigenous cases</v>
      </c>
      <c r="D4927" s="4" t="s">
        <v>7626</v>
      </c>
      <c r="E4927" s="4">
        <v>0.0</v>
      </c>
      <c r="F4927" s="4">
        <v>26.0</v>
      </c>
      <c r="G4927" s="4" t="s">
        <v>7627</v>
      </c>
    </row>
    <row r="4928">
      <c r="A4928" s="1">
        <v>4926.0</v>
      </c>
      <c r="B4928" s="4" t="s">
        <v>7579</v>
      </c>
      <c r="C4928" s="5" t="str">
        <f>IFERROR(__xludf.DUMMYFUNCTION("GOOGLETRANSLATE(D:D,""auto"",""en"")"),"April 8 morning Wuhan")</f>
        <v>April 8 morning Wuhan</v>
      </c>
      <c r="D4928" s="4" t="s">
        <v>7628</v>
      </c>
      <c r="E4928" s="4">
        <v>0.0</v>
      </c>
      <c r="F4928" s="4">
        <v>27.0</v>
      </c>
      <c r="G4928" s="4" t="s">
        <v>7629</v>
      </c>
    </row>
    <row r="4929">
      <c r="A4929" s="1">
        <v>4927.0</v>
      </c>
      <c r="B4929" s="4" t="s">
        <v>7579</v>
      </c>
      <c r="C4929" s="5" t="str">
        <f>IFERROR(__xludf.DUMMYFUNCTION("GOOGLETRANSLATE(D:D,""auto"",""en"")"),"Ethiopian state of emergency")</f>
        <v>Ethiopian state of emergency</v>
      </c>
      <c r="D4929" s="4" t="s">
        <v>7630</v>
      </c>
      <c r="E4929" s="4">
        <v>0.0</v>
      </c>
      <c r="F4929" s="4">
        <v>28.0</v>
      </c>
      <c r="G4929" s="4" t="s">
        <v>7631</v>
      </c>
    </row>
    <row r="4930">
      <c r="A4930" s="1">
        <v>4928.0</v>
      </c>
      <c r="B4930" s="4" t="s">
        <v>7579</v>
      </c>
      <c r="C4930" s="5" t="str">
        <f>IFERROR(__xludf.DUMMYFUNCTION("GOOGLETRANSLATE(D:D,""auto"",""en"")"),"Charles de Gaulle is now suspected cases")</f>
        <v>Charles de Gaulle is now suspected cases</v>
      </c>
      <c r="D4930" s="4" t="s">
        <v>7632</v>
      </c>
      <c r="E4930" s="4">
        <v>0.0</v>
      </c>
      <c r="F4930" s="4">
        <v>29.0</v>
      </c>
      <c r="G4930" s="4" t="s">
        <v>7633</v>
      </c>
    </row>
    <row r="4931">
      <c r="A4931" s="1">
        <v>4929.0</v>
      </c>
      <c r="B4931" s="4" t="s">
        <v>7579</v>
      </c>
      <c r="C4931" s="5" t="str">
        <f>IFERROR(__xludf.DUMMYFUNCTION("GOOGLETRANSLATE(D:D,""auto"",""en"")"),"Manzhouli Port Road closed")</f>
        <v>Manzhouli Port Road closed</v>
      </c>
      <c r="D4931" s="4" t="s">
        <v>7634</v>
      </c>
      <c r="E4931" s="4">
        <v>0.0</v>
      </c>
      <c r="F4931" s="4">
        <v>30.0</v>
      </c>
      <c r="G4931" s="4" t="s">
        <v>7635</v>
      </c>
    </row>
    <row r="4932">
      <c r="A4932" s="1">
        <v>4930.0</v>
      </c>
      <c r="B4932" s="4" t="s">
        <v>7579</v>
      </c>
      <c r="C4932" s="5" t="str">
        <f>IFERROR(__xludf.DUMMYFUNCTION("GOOGLETRANSLATE(D:D,""auto"",""en"")"),"The boy snapping 14 car logo")</f>
        <v>The boy snapping 14 car logo</v>
      </c>
      <c r="D4932" s="4" t="s">
        <v>7636</v>
      </c>
      <c r="E4932" s="4">
        <v>0.0</v>
      </c>
      <c r="F4932" s="4">
        <v>31.0</v>
      </c>
      <c r="G4932" s="4" t="s">
        <v>7637</v>
      </c>
    </row>
    <row r="4933">
      <c r="A4933" s="1">
        <v>4931.0</v>
      </c>
      <c r="B4933" s="4" t="s">
        <v>7579</v>
      </c>
      <c r="C4933" s="5" t="str">
        <f>IFERROR(__xludf.DUMMYFUNCTION("GOOGLETRANSLATE(D:D,""auto"",""en"")"),"CCTV respond Responsibility claims")</f>
        <v>CCTV respond Responsibility claims</v>
      </c>
      <c r="D4933" s="4" t="s">
        <v>7638</v>
      </c>
      <c r="E4933" s="4">
        <v>0.0</v>
      </c>
      <c r="F4933" s="4">
        <v>32.0</v>
      </c>
      <c r="G4933" s="4" t="s">
        <v>7639</v>
      </c>
    </row>
    <row r="4934">
      <c r="A4934" s="1">
        <v>4932.0</v>
      </c>
      <c r="B4934" s="4" t="s">
        <v>7579</v>
      </c>
      <c r="C4934" s="5" t="str">
        <f>IFERROR(__xludf.DUMMYFUNCTION("GOOGLETRANSLATE(D:D,""auto"",""en"")"),"Express aircraft parts more and more dead")</f>
        <v>Express aircraft parts more and more dead</v>
      </c>
      <c r="D4934" s="4" t="s">
        <v>7545</v>
      </c>
      <c r="E4934" s="4">
        <v>0.0</v>
      </c>
      <c r="F4934" s="4">
        <v>33.0</v>
      </c>
      <c r="G4934" s="4" t="s">
        <v>7546</v>
      </c>
    </row>
    <row r="4935">
      <c r="A4935" s="1">
        <v>4933.0</v>
      </c>
      <c r="B4935" s="4" t="s">
        <v>7579</v>
      </c>
      <c r="C4935" s="5" t="str">
        <f>IFERROR(__xludf.DUMMYFUNCTION("GOOGLETRANSLATE(D:D,""auto"",""en"")"),"Garnett refused to retire jersey")</f>
        <v>Garnett refused to retire jersey</v>
      </c>
      <c r="D4935" s="4" t="s">
        <v>7640</v>
      </c>
      <c r="E4935" s="4">
        <v>0.0</v>
      </c>
      <c r="F4935" s="4">
        <v>34.0</v>
      </c>
      <c r="G4935" s="4" t="s">
        <v>7641</v>
      </c>
    </row>
    <row r="4936">
      <c r="A4936" s="1">
        <v>4934.0</v>
      </c>
      <c r="B4936" s="4" t="s">
        <v>7579</v>
      </c>
      <c r="C4936" s="5" t="str">
        <f>IFERROR(__xludf.DUMMYFUNCTION("GOOGLETRANSLATE(D:D,""auto"",""en"")"),"Global diagnosed over 1.4 million")</f>
        <v>Global diagnosed over 1.4 million</v>
      </c>
      <c r="D4936" s="4" t="s">
        <v>7642</v>
      </c>
      <c r="E4936" s="4">
        <v>0.0</v>
      </c>
      <c r="F4936" s="4">
        <v>35.0</v>
      </c>
      <c r="G4936" s="4" t="s">
        <v>7643</v>
      </c>
    </row>
    <row r="4937">
      <c r="A4937" s="1">
        <v>4935.0</v>
      </c>
      <c r="B4937" s="4" t="s">
        <v>7579</v>
      </c>
      <c r="C4937" s="5" t="str">
        <f>IFERROR(__xludf.DUMMYFUNCTION("GOOGLETRANSLATE(D:D,""auto"",""en"")"),"US 3D printing N95 masks")</f>
        <v>US 3D printing N95 masks</v>
      </c>
      <c r="D4937" s="4" t="s">
        <v>7644</v>
      </c>
      <c r="E4937" s="4">
        <v>0.0</v>
      </c>
      <c r="F4937" s="4">
        <v>36.0</v>
      </c>
      <c r="G4937" s="4" t="s">
        <v>7645</v>
      </c>
    </row>
    <row r="4938">
      <c r="A4938" s="1">
        <v>4936.0</v>
      </c>
      <c r="B4938" s="4" t="s">
        <v>7579</v>
      </c>
      <c r="C4938" s="5" t="str">
        <f>IFERROR(__xludf.DUMMYFUNCTION("GOOGLETRANSLATE(D:D,""auto"",""en"")"),"WannaRen virus spread")</f>
        <v>WannaRen virus spread</v>
      </c>
      <c r="D4938" s="4" t="s">
        <v>7646</v>
      </c>
      <c r="E4938" s="4">
        <v>0.0</v>
      </c>
      <c r="F4938" s="4">
        <v>37.0</v>
      </c>
      <c r="G4938" s="4" t="s">
        <v>7647</v>
      </c>
    </row>
    <row r="4939">
      <c r="A4939" s="1">
        <v>4937.0</v>
      </c>
      <c r="B4939" s="4" t="s">
        <v>7579</v>
      </c>
      <c r="C4939" s="5" t="str">
        <f>IFERROR(__xludf.DUMMYFUNCTION("GOOGLETRANSLATE(D:D,""auto"",""en"")"),"Wuhan choked broadcast crew")</f>
        <v>Wuhan choked broadcast crew</v>
      </c>
      <c r="D4939" s="4" t="s">
        <v>7648</v>
      </c>
      <c r="E4939" s="4">
        <v>0.0</v>
      </c>
      <c r="F4939" s="4">
        <v>38.0</v>
      </c>
      <c r="G4939" s="4" t="s">
        <v>7649</v>
      </c>
    </row>
    <row r="4940">
      <c r="A4940" s="1">
        <v>4938.0</v>
      </c>
      <c r="B4940" s="4" t="s">
        <v>7579</v>
      </c>
      <c r="C4940" s="5" t="str">
        <f>IFERROR(__xludf.DUMMYFUNCTION("GOOGLETRANSLATE(D:D,""auto"",""en"")"),"Twitter CEO to donate $ 1 billion")</f>
        <v>Twitter CEO to donate $ 1 billion</v>
      </c>
      <c r="D4940" s="4" t="s">
        <v>7650</v>
      </c>
      <c r="E4940" s="4">
        <v>0.0</v>
      </c>
      <c r="F4940" s="4">
        <v>39.0</v>
      </c>
      <c r="G4940" s="4" t="s">
        <v>7651</v>
      </c>
    </row>
    <row r="4941">
      <c r="A4941" s="1">
        <v>4939.0</v>
      </c>
      <c r="B4941" s="4" t="s">
        <v>7579</v>
      </c>
      <c r="C4941" s="5" t="str">
        <f>IFERROR(__xludf.DUMMYFUNCTION("GOOGLETRANSLATE(D:D,""auto"",""en"")"),"Wu Lei is willing to stay Spaniards exposure")</f>
        <v>Wu Lei is willing to stay Spaniards exposure</v>
      </c>
      <c r="D4941" s="4" t="s">
        <v>7652</v>
      </c>
      <c r="E4941" s="4">
        <v>0.0</v>
      </c>
      <c r="F4941" s="4">
        <v>40.0</v>
      </c>
      <c r="G4941" s="4" t="s">
        <v>7653</v>
      </c>
    </row>
    <row r="4942">
      <c r="A4942" s="1">
        <v>4940.0</v>
      </c>
      <c r="B4942" s="4" t="s">
        <v>7579</v>
      </c>
      <c r="C4942" s="5" t="str">
        <f>IFERROR(__xludf.DUMMYFUNCTION("GOOGLETRANSLATE(D:D,""auto"",""en"")"),"Doctors questioned Johnson disease")</f>
        <v>Doctors questioned Johnson disease</v>
      </c>
      <c r="D4942" s="4" t="s">
        <v>7654</v>
      </c>
      <c r="E4942" s="4">
        <v>0.0</v>
      </c>
      <c r="F4942" s="4">
        <v>41.0</v>
      </c>
      <c r="G4942" s="4" t="s">
        <v>7655</v>
      </c>
    </row>
    <row r="4943">
      <c r="A4943" s="1">
        <v>4941.0</v>
      </c>
      <c r="B4943" s="4" t="s">
        <v>7579</v>
      </c>
      <c r="C4943" s="5" t="str">
        <f>IFERROR(__xludf.DUMMYFUNCTION("GOOGLETRANSLATE(D:D,""auto"",""en"")"),"Liu Qiang East was traced to sell masks")</f>
        <v>Liu Qiang East was traced to sell masks</v>
      </c>
      <c r="D4943" s="4" t="s">
        <v>7656</v>
      </c>
      <c r="E4943" s="4">
        <v>0.0</v>
      </c>
      <c r="F4943" s="4">
        <v>42.0</v>
      </c>
      <c r="G4943" s="4" t="s">
        <v>7657</v>
      </c>
    </row>
    <row r="4944">
      <c r="A4944" s="1">
        <v>4942.0</v>
      </c>
      <c r="B4944" s="4" t="s">
        <v>7579</v>
      </c>
      <c r="C4944" s="5" t="str">
        <f>IFERROR(__xludf.DUMMYFUNCTION("GOOGLETRANSLATE(D:D,""auto"",""en"")"),"Pa Brother single kill TheShy")</f>
        <v>Pa Brother single kill TheShy</v>
      </c>
      <c r="D4944" s="4" t="s">
        <v>7658</v>
      </c>
      <c r="E4944" s="4">
        <v>0.0</v>
      </c>
      <c r="F4944" s="4">
        <v>43.0</v>
      </c>
      <c r="G4944" s="4" t="s">
        <v>7659</v>
      </c>
    </row>
    <row r="4945">
      <c r="A4945" s="1">
        <v>4943.0</v>
      </c>
      <c r="B4945" s="4" t="s">
        <v>7579</v>
      </c>
      <c r="C4945" s="5" t="str">
        <f>IFERROR(__xludf.DUMMYFUNCTION("GOOGLETRANSLATE(D:D,""auto"",""en"")"),"Tarim significant oil and gas discoveries")</f>
        <v>Tarim significant oil and gas discoveries</v>
      </c>
      <c r="D4945" s="4" t="s">
        <v>7660</v>
      </c>
      <c r="E4945" s="4">
        <v>0.0</v>
      </c>
      <c r="F4945" s="4">
        <v>44.0</v>
      </c>
      <c r="G4945" s="4" t="s">
        <v>7661</v>
      </c>
    </row>
    <row r="4946">
      <c r="A4946" s="1">
        <v>4944.0</v>
      </c>
      <c r="B4946" s="4" t="s">
        <v>7579</v>
      </c>
      <c r="C4946" s="5" t="str">
        <f>IFERROR(__xludf.DUMMYFUNCTION("GOOGLETRANSLATE(D:D,""auto"",""en"")"),"Zhang Liang delete dynamic divorce")</f>
        <v>Zhang Liang delete dynamic divorce</v>
      </c>
      <c r="D4946" s="4" t="s">
        <v>7539</v>
      </c>
      <c r="E4946" s="4">
        <v>0.0</v>
      </c>
      <c r="F4946" s="4">
        <v>45.0</v>
      </c>
      <c r="G4946" s="4" t="s">
        <v>7540</v>
      </c>
    </row>
    <row r="4947">
      <c r="A4947" s="1">
        <v>4945.0</v>
      </c>
      <c r="B4947" s="4" t="s">
        <v>7579</v>
      </c>
      <c r="C4947" s="5" t="str">
        <f>IFERROR(__xludf.DUMMYFUNCTION("GOOGLETRANSLATE(D:D,""auto"",""en"")"),"China Civil Aviation Authority issued a public notice")</f>
        <v>China Civil Aviation Authority issued a public notice</v>
      </c>
      <c r="D4947" s="4" t="s">
        <v>7537</v>
      </c>
      <c r="E4947" s="4">
        <v>0.0</v>
      </c>
      <c r="F4947" s="4">
        <v>46.0</v>
      </c>
      <c r="G4947" s="4" t="s">
        <v>7538</v>
      </c>
    </row>
    <row r="4948">
      <c r="A4948" s="1">
        <v>4946.0</v>
      </c>
      <c r="B4948" s="4" t="s">
        <v>7579</v>
      </c>
      <c r="C4948" s="5" t="str">
        <f>IFERROR(__xludf.DUMMYFUNCTION("GOOGLETRANSLATE(D:D,""auto"",""en"")"),"Italian police flung open seagull")</f>
        <v>Italian police flung open seagull</v>
      </c>
      <c r="D4948" s="4" t="s">
        <v>7662</v>
      </c>
      <c r="E4948" s="4">
        <v>0.0</v>
      </c>
      <c r="F4948" s="4">
        <v>47.0</v>
      </c>
      <c r="G4948" s="4" t="s">
        <v>7663</v>
      </c>
    </row>
    <row r="4949">
      <c r="A4949" s="1">
        <v>4947.0</v>
      </c>
      <c r="B4949" s="4" t="s">
        <v>7579</v>
      </c>
      <c r="C4949" s="5" t="str">
        <f>IFERROR(__xludf.DUMMYFUNCTION("GOOGLETRANSLATE(D:D,""auto"",""en"")"),"Yuan Longping talk about Chinese food shortage")</f>
        <v>Yuan Longping talk about Chinese food shortage</v>
      </c>
      <c r="D4949" s="4" t="s">
        <v>7664</v>
      </c>
      <c r="E4949" s="4">
        <v>0.0</v>
      </c>
      <c r="F4949" s="4">
        <v>48.0</v>
      </c>
      <c r="G4949" s="4" t="s">
        <v>7665</v>
      </c>
    </row>
    <row r="4950">
      <c r="A4950" s="1">
        <v>4948.0</v>
      </c>
      <c r="B4950" s="4" t="s">
        <v>7579</v>
      </c>
      <c r="C4950" s="5" t="str">
        <f>IFERROR(__xludf.DUMMYFUNCTION("GOOGLETRANSLATE(D:D,""auto"",""en"")"),"Qingdao 2 new cases diagnosed")</f>
        <v>Qingdao 2 new cases diagnosed</v>
      </c>
      <c r="D4950" s="4" t="s">
        <v>7666</v>
      </c>
      <c r="E4950" s="4">
        <v>0.0</v>
      </c>
      <c r="F4950" s="4">
        <v>49.0</v>
      </c>
      <c r="G4950" s="4" t="s">
        <v>7667</v>
      </c>
    </row>
    <row r="4951">
      <c r="A4951" s="1">
        <v>4949.0</v>
      </c>
      <c r="B4951" s="4" t="s">
        <v>7579</v>
      </c>
      <c r="C4951" s="5" t="str">
        <f>IFERROR(__xludf.DUMMYFUNCTION("GOOGLETRANSLATE(D:D,""auto"",""en"")"),"Spain one million masks stolen")</f>
        <v>Spain one million masks stolen</v>
      </c>
      <c r="D4951" s="4" t="s">
        <v>7668</v>
      </c>
      <c r="E4951" s="4">
        <v>0.0</v>
      </c>
      <c r="F4951" s="4">
        <v>50.0</v>
      </c>
      <c r="G4951" s="4" t="s">
        <v>7669</v>
      </c>
    </row>
  </sheetData>
  <printOptions/>
  <pageMargins bottom="0.75" footer="0.0" header="0.0" left="0.7" right="0.7" top="0.75"/>
  <pageSetup orientation="landscape"/>
  <drawing r:id="rId1"/>
</worksheet>
</file>